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mezkh\271-ФЗ_Изменения в ЖК РФ\Проект приказа ДЖКХ по внесению изменений в КП\2018\04.06.2018\"/>
    </mc:Choice>
  </mc:AlternateContent>
  <bookViews>
    <workbookView xWindow="0" yWindow="0" windowWidth="28800" windowHeight="12140" tabRatio="586"/>
  </bookViews>
  <sheets>
    <sheet name="форма 1" sheetId="1" r:id="rId1"/>
    <sheet name="Форма 2" sheetId="4" r:id="rId2"/>
  </sheets>
  <externalReferences>
    <externalReference r:id="rId3"/>
  </externalReferences>
  <definedNames>
    <definedName name="_xlnm._FilterDatabase" localSheetId="0" hidden="1">'форма 1'!$A$8:$BG$930</definedName>
    <definedName name="_xlnm._FilterDatabase" localSheetId="1" hidden="1">'Форма 2'!$A$4:$K$3250</definedName>
    <definedName name="Z_071E1129_87BE_443E_A630_49B570385858_.wvu.FilterData" localSheetId="0" hidden="1">'форма 1'!$A$8:$S$13</definedName>
    <definedName name="Z_2153793A_FA21_4C81_8AE5_3C176D0CDF9C_.wvu.FilterData" localSheetId="0" hidden="1">'форма 1'!$A$8:$S$13</definedName>
    <definedName name="Z_3511D8A4_2A8D_4563_8DF1_C381EEDBF68F_.wvu.FilterData" localSheetId="0" hidden="1">'форма 1'!$A$8:$S$13</definedName>
    <definedName name="Z_3511D8A4_2A8D_4563_8DF1_C381EEDBF68F_.wvu.FilterData" localSheetId="1" hidden="1">'Форма 2'!$A$4:$K$4</definedName>
    <definedName name="Z_3511D8A4_2A8D_4563_8DF1_C381EEDBF68F_.wvu.PrintArea" localSheetId="0" hidden="1">'форма 1'!$A$1:$S$13</definedName>
    <definedName name="Z_3511D8A4_2A8D_4563_8DF1_C381EEDBF68F_.wvu.PrintArea" localSheetId="1" hidden="1">'Форма 2'!$A$1:$K$1154</definedName>
    <definedName name="Z_3511D8A4_2A8D_4563_8DF1_C381EEDBF68F_.wvu.PrintTitles" localSheetId="1" hidden="1">'Форма 2'!$4:$4</definedName>
    <definedName name="Z_4A739215_D16A_4EE7_A2DF_5890D7372CF6_.wvu.FilterData" localSheetId="0" hidden="1">'форма 1'!$A$8:$S$13</definedName>
    <definedName name="Z_4A739215_D16A_4EE7_A2DF_5890D7372CF6_.wvu.FilterData" localSheetId="1" hidden="1">'Форма 2'!$A$4:$K$6</definedName>
    <definedName name="Z_4BBD3242_ADF1_41E0_9651_34A11444B844_.wvu.FilterData" localSheetId="0" hidden="1">'форма 1'!$A$8:$S$13</definedName>
    <definedName name="Z_4BBD3242_ADF1_41E0_9651_34A11444B844_.wvu.FilterData" localSheetId="1" hidden="1">'Форма 2'!$A$4:$K$6</definedName>
    <definedName name="Z_513E810E_3E48_4817_A3BD_1F59CB59F4CA_.wvu.FilterData" localSheetId="1" hidden="1">'Форма 2'!$A$4:$K$6</definedName>
    <definedName name="Z_5F42B46C_E737_4DDF_A6B3_D01B97AD9617_.wvu.FilterData" localSheetId="0" hidden="1">'форма 1'!$A$8:$S$13</definedName>
    <definedName name="Z_5F42B46C_E737_4DDF_A6B3_D01B97AD9617_.wvu.FilterData" localSheetId="1" hidden="1">'Форма 2'!$A$4:$K$6</definedName>
    <definedName name="Z_6B855072_AFE4_4509_A179_E4F6A2796966_.wvu.FilterData" localSheetId="1" hidden="1">'Форма 2'!$A$4:$K$6</definedName>
    <definedName name="Z_7B1C413C_CFA4_46EC_80EB_4C481039F7CE_.wvu.FilterData" localSheetId="1" hidden="1">'Форма 2'!$A$4:$K$6</definedName>
    <definedName name="Z_7D125628_27D8_424A_B039_7F6935A9E22F_.wvu.FilterData" localSheetId="0" hidden="1">'форма 1'!$A$8:$S$13</definedName>
    <definedName name="Z_7D125628_27D8_424A_B039_7F6935A9E22F_.wvu.FilterData" localSheetId="1" hidden="1">'Форма 2'!$A$4:$K$6</definedName>
    <definedName name="Z_894246BE_CC98_45CA_9015_348B720E2996_.wvu.FilterData" localSheetId="0" hidden="1">'форма 1'!$A$8:$S$13</definedName>
    <definedName name="Z_9A08A02A_49DA_4249_BF63_47BD16E54DDA_.wvu.FilterData" localSheetId="1" hidden="1">'Форма 2'!$A$4:$K$6</definedName>
    <definedName name="Z_B69FB2D8_BCA5_4AC2_B0C9_F7BAD98AD860_.wvu.FilterData" localSheetId="0" hidden="1">'форма 1'!$A$8:$S$13</definedName>
    <definedName name="Z_B69FB2D8_BCA5_4AC2_B0C9_F7BAD98AD860_.wvu.FilterData" localSheetId="1" hidden="1">'Форма 2'!$A$4:$K$6</definedName>
    <definedName name="Z_BA9FD3DD_4F2C_454E_A268_F4AB041FD291_.wvu.FilterData" localSheetId="1" hidden="1">'Форма 2'!$A$4:$K$6</definedName>
    <definedName name="Z_C9A56928_F6D8_45BD_A377_A02C7A3A4EC3_.wvu.FilterData" localSheetId="0" hidden="1">'форма 1'!$A$8:$S$13</definedName>
    <definedName name="Z_C9A56928_F6D8_45BD_A377_A02C7A3A4EC3_.wvu.FilterData" localSheetId="1" hidden="1">'Форма 2'!$A$4:$K$6</definedName>
    <definedName name="Z_CC3EEC02_30D2_4905_AE21_71EA71520321_.wvu.FilterData" localSheetId="0" hidden="1">'форма 1'!$A$8:$S$13</definedName>
    <definedName name="Z_CC3EEC02_30D2_4905_AE21_71EA71520321_.wvu.FilterData" localSheetId="1" hidden="1">'Форма 2'!$A$4:$K$6</definedName>
    <definedName name="Z_CC3EEC02_30D2_4905_AE21_71EA71520321_.wvu.PrintArea" localSheetId="1" hidden="1">'Форма 2'!$A$1:$K$1154</definedName>
    <definedName name="Z_CC3EEC02_30D2_4905_AE21_71EA71520321_.wvu.PrintTitles" localSheetId="1" hidden="1">'Форма 2'!$4:$4</definedName>
    <definedName name="Z_D58D1C63_6768_4CFA_8358_86EE19640CB2_.wvu.FilterData" localSheetId="1" hidden="1">'Форма 2'!$A$4:$K$6</definedName>
    <definedName name="Z_E0198BA7_4C17_4517_AE42_FD3FC28E3706_.wvu.FilterData" localSheetId="0" hidden="1">'форма 1'!$A$8:$S$13</definedName>
    <definedName name="Z_E0198BA7_4C17_4517_AE42_FD3FC28E3706_.wvu.FilterData" localSheetId="1" hidden="1">'Форма 2'!$A$4:$K$6</definedName>
    <definedName name="Z_E4B115D4_BEE0_43CB_9EA7_2190A66EBA3F_.wvu.FilterData" localSheetId="0" hidden="1">'форма 1'!$A$8:$S$13</definedName>
    <definedName name="Z_E4B115D4_BEE0_43CB_9EA7_2190A66EBA3F_.wvu.FilterData" localSheetId="1" hidden="1">'Форма 2'!$A$4:$K$6</definedName>
    <definedName name="Z_F3AFC384_A20B_4171_8881_A61C399C6A68_.wvu.FilterData" localSheetId="1" hidden="1">'Форма 2'!$A$4:$K$6</definedName>
    <definedName name="_xlnm.Print_Titles" localSheetId="0">'форма 1'!$8:$8</definedName>
    <definedName name="_xlnm.Print_Titles" localSheetId="1">'Форма 2'!$4:$4</definedName>
    <definedName name="_xlnm.Print_Area" localSheetId="0">'форма 1'!$A$1:$S$930</definedName>
    <definedName name="_xlnm.Print_Area" localSheetId="1">'Форма 2'!$A$1:$K$3259</definedName>
  </definedNames>
  <calcPr calcId="152511" fullPrecision="0"/>
  <customWorkbookViews>
    <customWorkbookView name="Алыкова Анна Фаридовна - Личное представление" guid="{114D0552-1D3C-4C9A-AF28-55BD1176DD7C}" mergeInterval="0" personalView="1" maximized="1" xWindow="-8" yWindow="-8" windowWidth="1936" windowHeight="1056" activeSheetId="1"/>
    <customWorkbookView name="Сыроватская Татьяна Иннокентьевна - Личное представление" guid="{CC3EEC02-30D2-4905-AE21-71EA71520321}" mergeInterval="0" personalView="1" maximized="1" xWindow="-8" yWindow="-8" windowWidth="1936" windowHeight="1056" activeSheetId="4"/>
    <customWorkbookView name="Светлана Сергеевна Карпова - Личное представление" guid="{3511D8A4-2A8D-4563-8DF1-C381EEDBF68F}" mergeInterval="0" personalView="1" maximized="1" xWindow="-8" yWindow="-8" windowWidth="1936" windowHeight="1056" activeSheetId="4"/>
  </customWorkbookViews>
</workbook>
</file>

<file path=xl/calcChain.xml><?xml version="1.0" encoding="utf-8"?>
<calcChain xmlns="http://schemas.openxmlformats.org/spreadsheetml/2006/main">
  <c r="K2714" i="4" l="1"/>
  <c r="I2456" i="4"/>
  <c r="K2227" i="4"/>
  <c r="J2227" i="4"/>
  <c r="K2226" i="4"/>
  <c r="J2226" i="4"/>
  <c r="K2225" i="4"/>
  <c r="J2225" i="4"/>
  <c r="K2224" i="4"/>
  <c r="J2224" i="4"/>
  <c r="K2223" i="4"/>
  <c r="J2223" i="4"/>
  <c r="K2222" i="4"/>
  <c r="J2222" i="4"/>
  <c r="I1938" i="4"/>
  <c r="I1785" i="4"/>
  <c r="I1784" i="4"/>
  <c r="J1428" i="4" l="1"/>
  <c r="J1429" i="4"/>
  <c r="K2255" i="4"/>
  <c r="J2256" i="4"/>
  <c r="J2255" i="4"/>
  <c r="I2073" i="4"/>
  <c r="I2053" i="4"/>
  <c r="I2033" i="4"/>
  <c r="I2031" i="4"/>
  <c r="J1747" i="4"/>
  <c r="I1751" i="4"/>
  <c r="I1748" i="4"/>
  <c r="I1744" i="4"/>
  <c r="I1738" i="4"/>
  <c r="I1706" i="4"/>
  <c r="K2471" i="4"/>
  <c r="J2471" i="4"/>
  <c r="K2470" i="4"/>
  <c r="J2470" i="4"/>
  <c r="K2469" i="4"/>
  <c r="J2469" i="4"/>
  <c r="K2468" i="4"/>
  <c r="J2468" i="4"/>
  <c r="K2467" i="4"/>
  <c r="J2467" i="4"/>
  <c r="K2466" i="4"/>
  <c r="J2466" i="4"/>
  <c r="K2465" i="4"/>
  <c r="I2465" i="4" s="1"/>
  <c r="I2221" i="4"/>
  <c r="K2111" i="4"/>
  <c r="J2111" i="4"/>
  <c r="K2110" i="4"/>
  <c r="J2110" i="4"/>
  <c r="K2109" i="4"/>
  <c r="J2109" i="4"/>
  <c r="K2108" i="4"/>
  <c r="J2108" i="4"/>
  <c r="K2107" i="4"/>
  <c r="J2107" i="4"/>
  <c r="K2106" i="4"/>
  <c r="J2106" i="4"/>
  <c r="K2105" i="4"/>
  <c r="J2105" i="4"/>
  <c r="K2104" i="4"/>
  <c r="J2104" i="4"/>
  <c r="K2103" i="4"/>
  <c r="J2103" i="4"/>
  <c r="K2102" i="4"/>
  <c r="J2102" i="4"/>
  <c r="K2101" i="4"/>
  <c r="J2101" i="4"/>
  <c r="K2100" i="4"/>
  <c r="J2100" i="4"/>
  <c r="I2099" i="4"/>
  <c r="K1981" i="4"/>
  <c r="J1981" i="4"/>
  <c r="K1980" i="4"/>
  <c r="J1980" i="4"/>
  <c r="K1979" i="4"/>
  <c r="J1979" i="4"/>
  <c r="K1978" i="4"/>
  <c r="J1978" i="4"/>
  <c r="K1977" i="4"/>
  <c r="J1977" i="4"/>
  <c r="K1976" i="4"/>
  <c r="J1976" i="4"/>
  <c r="I1975" i="4"/>
  <c r="J528" i="1" l="1"/>
  <c r="P528" i="1" s="1"/>
  <c r="K2099" i="4"/>
  <c r="K2464" i="4"/>
  <c r="J1975" i="4"/>
  <c r="K1975" i="4"/>
  <c r="J2221" i="4"/>
  <c r="K2221" i="4"/>
  <c r="J2099" i="4"/>
  <c r="I2464" i="4"/>
  <c r="J2465" i="4"/>
  <c r="N528" i="1" l="1"/>
  <c r="Q528" i="1"/>
  <c r="J2464" i="4"/>
  <c r="O776" i="1" l="1"/>
  <c r="M776" i="1"/>
  <c r="L776" i="1"/>
  <c r="K776" i="1"/>
  <c r="I776" i="1"/>
  <c r="H776" i="1"/>
  <c r="G776" i="1"/>
  <c r="A778" i="1"/>
  <c r="A779" i="1" s="1"/>
  <c r="A780" i="1" s="1"/>
  <c r="A781" i="1" s="1"/>
  <c r="A782" i="1" s="1"/>
  <c r="A783" i="1" s="1"/>
  <c r="A784" i="1" s="1"/>
  <c r="A785" i="1" s="1"/>
  <c r="A786" i="1" s="1"/>
  <c r="A787" i="1" s="1"/>
  <c r="A788" i="1" s="1"/>
  <c r="A789" i="1" s="1"/>
  <c r="A790" i="1" s="1"/>
  <c r="A791" i="1" s="1"/>
  <c r="A792" i="1" s="1"/>
  <c r="A793" i="1" s="1"/>
  <c r="A794" i="1" s="1"/>
  <c r="A795" i="1" s="1"/>
  <c r="A796" i="1" s="1"/>
  <c r="A797" i="1" s="1"/>
  <c r="A798" i="1" s="1"/>
  <c r="A799" i="1" s="1"/>
  <c r="A800" i="1" s="1"/>
  <c r="A801" i="1" s="1"/>
  <c r="A802" i="1" s="1"/>
  <c r="A803" i="1" s="1"/>
  <c r="A804" i="1" s="1"/>
  <c r="A805" i="1" s="1"/>
  <c r="A806" i="1" s="1"/>
  <c r="D2700" i="4"/>
  <c r="K2821" i="4"/>
  <c r="J2821" i="4"/>
  <c r="K2820" i="4"/>
  <c r="I2820" i="4"/>
  <c r="K2819" i="4"/>
  <c r="I2819" i="4"/>
  <c r="K2818" i="4"/>
  <c r="J2818" i="4"/>
  <c r="K2817" i="4"/>
  <c r="I2817" i="4"/>
  <c r="K2816" i="4"/>
  <c r="I2816" i="4"/>
  <c r="K2812" i="4"/>
  <c r="J2812" i="4"/>
  <c r="K2811" i="4"/>
  <c r="J2811" i="4"/>
  <c r="K2810" i="4"/>
  <c r="J2810" i="4"/>
  <c r="K2809" i="4"/>
  <c r="J2809" i="4"/>
  <c r="K2808" i="4"/>
  <c r="J2808" i="4"/>
  <c r="K2807" i="4"/>
  <c r="J2807" i="4"/>
  <c r="K2806" i="4"/>
  <c r="J2806" i="4"/>
  <c r="K2805" i="4"/>
  <c r="J2805" i="4"/>
  <c r="K2804" i="4"/>
  <c r="J2804" i="4"/>
  <c r="K2803" i="4"/>
  <c r="J2803" i="4"/>
  <c r="K2802" i="4"/>
  <c r="J2802" i="4"/>
  <c r="K2801" i="4"/>
  <c r="J2801" i="4"/>
  <c r="K2800" i="4"/>
  <c r="J2800" i="4"/>
  <c r="K2799" i="4"/>
  <c r="J2799" i="4"/>
  <c r="K2798" i="4"/>
  <c r="J2798" i="4"/>
  <c r="K2797" i="4"/>
  <c r="J2797" i="4"/>
  <c r="K2796" i="4"/>
  <c r="J2796" i="4"/>
  <c r="K2795" i="4"/>
  <c r="J2795" i="4"/>
  <c r="I2794" i="4"/>
  <c r="I2787" i="4"/>
  <c r="J2787" i="4" s="1"/>
  <c r="I2785" i="4"/>
  <c r="J2785" i="4" s="1"/>
  <c r="I2783" i="4"/>
  <c r="J2783" i="4" s="1"/>
  <c r="K2782" i="4"/>
  <c r="K2758" i="4"/>
  <c r="J2758" i="4"/>
  <c r="K2757" i="4"/>
  <c r="J2757" i="4"/>
  <c r="K2756" i="4"/>
  <c r="J2756" i="4"/>
  <c r="K2755" i="4"/>
  <c r="J2755" i="4"/>
  <c r="K2754" i="4"/>
  <c r="J2754" i="4"/>
  <c r="K2753" i="4"/>
  <c r="J2753" i="4"/>
  <c r="I2752" i="4"/>
  <c r="K2751" i="4"/>
  <c r="J2751" i="4"/>
  <c r="K2750" i="4"/>
  <c r="J2750" i="4"/>
  <c r="K2749" i="4"/>
  <c r="J2749" i="4"/>
  <c r="I2748" i="4"/>
  <c r="K2734" i="4"/>
  <c r="J2734" i="4"/>
  <c r="K2733" i="4"/>
  <c r="J2733" i="4"/>
  <c r="K2732" i="4"/>
  <c r="J2732" i="4"/>
  <c r="K2731" i="4"/>
  <c r="J2731" i="4"/>
  <c r="K2730" i="4"/>
  <c r="J2730" i="4"/>
  <c r="K2729" i="4"/>
  <c r="J2729" i="4"/>
  <c r="K2728" i="4"/>
  <c r="J2728" i="4"/>
  <c r="K2727" i="4"/>
  <c r="J2727" i="4"/>
  <c r="K2726" i="4"/>
  <c r="J2726" i="4"/>
  <c r="K2725" i="4"/>
  <c r="J2725" i="4"/>
  <c r="K2724" i="4"/>
  <c r="J2724" i="4"/>
  <c r="K2723" i="4"/>
  <c r="J2723" i="4"/>
  <c r="I2722" i="4"/>
  <c r="Q781" i="1"/>
  <c r="J2718" i="4"/>
  <c r="I2717" i="4"/>
  <c r="J2716" i="4"/>
  <c r="I2715" i="4"/>
  <c r="A2705" i="4"/>
  <c r="J2704" i="4"/>
  <c r="J2703" i="4"/>
  <c r="J2702" i="4"/>
  <c r="K2704" i="4"/>
  <c r="K2703" i="4"/>
  <c r="K2702" i="4"/>
  <c r="K2701" i="4" s="1"/>
  <c r="Q777" i="1" s="1"/>
  <c r="I2701" i="4"/>
  <c r="I2782" i="4" l="1"/>
  <c r="J2782" i="4"/>
  <c r="J2715" i="4"/>
  <c r="I2714" i="4"/>
  <c r="K2815" i="4"/>
  <c r="Q801" i="1" s="1"/>
  <c r="K2794" i="4"/>
  <c r="Q799" i="1" s="1"/>
  <c r="J786" i="1"/>
  <c r="J777" i="1"/>
  <c r="P777" i="1" s="1"/>
  <c r="J783" i="1"/>
  <c r="N783" i="1" s="1"/>
  <c r="J799" i="1"/>
  <c r="N799" i="1" s="1"/>
  <c r="J787" i="1"/>
  <c r="N787" i="1" s="1"/>
  <c r="K2748" i="4"/>
  <c r="Q786" i="1" s="1"/>
  <c r="J2752" i="4"/>
  <c r="K2752" i="4"/>
  <c r="Q787" i="1" s="1"/>
  <c r="I2815" i="4"/>
  <c r="J2819" i="4"/>
  <c r="J2820" i="4"/>
  <c r="J2794" i="4"/>
  <c r="J2816" i="4"/>
  <c r="J2817" i="4"/>
  <c r="J2717" i="4"/>
  <c r="J2722" i="4"/>
  <c r="K2722" i="4"/>
  <c r="Q783" i="1" s="1"/>
  <c r="J2748" i="4"/>
  <c r="J2701" i="4"/>
  <c r="P799" i="1" l="1"/>
  <c r="P783" i="1"/>
  <c r="P787" i="1"/>
  <c r="J2714" i="4"/>
  <c r="P786" i="1"/>
  <c r="N786" i="1"/>
  <c r="J2815" i="4"/>
  <c r="J801" i="1"/>
  <c r="N777" i="1"/>
  <c r="J781" i="1" l="1"/>
  <c r="N781" i="1" s="1"/>
  <c r="N801" i="1"/>
  <c r="P801" i="1"/>
  <c r="P781" i="1" l="1"/>
  <c r="I1306" i="4" l="1"/>
  <c r="D1253" i="4"/>
  <c r="I1517" i="4"/>
  <c r="K1516" i="4"/>
  <c r="J1516" i="4"/>
  <c r="K1515" i="4"/>
  <c r="Q400" i="1" s="1"/>
  <c r="I1514" i="4"/>
  <c r="K1513" i="4"/>
  <c r="I1513" i="4" s="1"/>
  <c r="I1512" i="4"/>
  <c r="J1512" i="4" s="1"/>
  <c r="K1511" i="4"/>
  <c r="I1511" i="4" s="1"/>
  <c r="I1510" i="4"/>
  <c r="K1509" i="4"/>
  <c r="I1509" i="4" s="1"/>
  <c r="K1482" i="4"/>
  <c r="J1482" i="4"/>
  <c r="K1481" i="4"/>
  <c r="J1481" i="4"/>
  <c r="K1480" i="4"/>
  <c r="I1480" i="4"/>
  <c r="J1440" i="4"/>
  <c r="J1439" i="4"/>
  <c r="J1438" i="4"/>
  <c r="J1437" i="4"/>
  <c r="J1436" i="4"/>
  <c r="J1435" i="4"/>
  <c r="J1434" i="4"/>
  <c r="J1433" i="4"/>
  <c r="J1432" i="4"/>
  <c r="J1430" i="4"/>
  <c r="K1440" i="4"/>
  <c r="K1439" i="4"/>
  <c r="K1438" i="4"/>
  <c r="K1437" i="4"/>
  <c r="K1436" i="4"/>
  <c r="K1435" i="4"/>
  <c r="K1434" i="4"/>
  <c r="K1433" i="4"/>
  <c r="K1432" i="4"/>
  <c r="I1431" i="4"/>
  <c r="K1430" i="4"/>
  <c r="K1429" i="4"/>
  <c r="K1428" i="4"/>
  <c r="I1427" i="4"/>
  <c r="J1424" i="4"/>
  <c r="J1423" i="4"/>
  <c r="J1422" i="4"/>
  <c r="K1424" i="4"/>
  <c r="K1423" i="4"/>
  <c r="K1422" i="4"/>
  <c r="I1421" i="4"/>
  <c r="J1412" i="4"/>
  <c r="I1411" i="4"/>
  <c r="K1410" i="4"/>
  <c r="K1403" i="4" s="1"/>
  <c r="J1409" i="4"/>
  <c r="I1408" i="4"/>
  <c r="J1408" i="4" s="1"/>
  <c r="J1407" i="4"/>
  <c r="I1406" i="4"/>
  <c r="J1405" i="4"/>
  <c r="I1404" i="4"/>
  <c r="J1404" i="4" s="1"/>
  <c r="K1393" i="4"/>
  <c r="J1393" i="4"/>
  <c r="K1392" i="4"/>
  <c r="I1392" i="4" s="1"/>
  <c r="K1391" i="4"/>
  <c r="I1391" i="4" s="1"/>
  <c r="I1389" i="4"/>
  <c r="I1387" i="4"/>
  <c r="K1376" i="4"/>
  <c r="J1376" i="4"/>
  <c r="K1375" i="4"/>
  <c r="J1375" i="4"/>
  <c r="K1374" i="4"/>
  <c r="J1374" i="4"/>
  <c r="K1373" i="4"/>
  <c r="J1373" i="4"/>
  <c r="K1372" i="4"/>
  <c r="J1372" i="4"/>
  <c r="K1371" i="4"/>
  <c r="J1371" i="4"/>
  <c r="K1370" i="4"/>
  <c r="J1370" i="4"/>
  <c r="K1369" i="4"/>
  <c r="J1369" i="4"/>
  <c r="K1368" i="4"/>
  <c r="J1368" i="4"/>
  <c r="K1367" i="4"/>
  <c r="J1367" i="4"/>
  <c r="K1366" i="4"/>
  <c r="J1366" i="4"/>
  <c r="K1365" i="4"/>
  <c r="J1365" i="4"/>
  <c r="K1364" i="4"/>
  <c r="J1364" i="4"/>
  <c r="K1363" i="4"/>
  <c r="J1363" i="4"/>
  <c r="K1362" i="4"/>
  <c r="J1362" i="4"/>
  <c r="K1361" i="4"/>
  <c r="J1361" i="4"/>
  <c r="K1360" i="4"/>
  <c r="J1360" i="4"/>
  <c r="K1359" i="4"/>
  <c r="J1359" i="4"/>
  <c r="I1358" i="4"/>
  <c r="I1339" i="4"/>
  <c r="K1338" i="4"/>
  <c r="I1338" i="4" s="1"/>
  <c r="I1337" i="4"/>
  <c r="J1337" i="4" s="1"/>
  <c r="K1336" i="4"/>
  <c r="K1335" i="4" s="1"/>
  <c r="K1295" i="4"/>
  <c r="J1295" i="4"/>
  <c r="K1294" i="4"/>
  <c r="I1294" i="4"/>
  <c r="K1293" i="4"/>
  <c r="I1293" i="4"/>
  <c r="K1292" i="4"/>
  <c r="J1292" i="4"/>
  <c r="K1291" i="4"/>
  <c r="I1291" i="4"/>
  <c r="K1290" i="4"/>
  <c r="I1290" i="4"/>
  <c r="K1421" i="4" l="1"/>
  <c r="Q376" i="1" s="1"/>
  <c r="K1431" i="4"/>
  <c r="Q379" i="1" s="1"/>
  <c r="I1515" i="4"/>
  <c r="J1517" i="4"/>
  <c r="J1515" i="4" s="1"/>
  <c r="J376" i="1"/>
  <c r="J378" i="1"/>
  <c r="J364" i="1"/>
  <c r="J1427" i="4"/>
  <c r="J379" i="1"/>
  <c r="K1289" i="4"/>
  <c r="Q347" i="1" s="1"/>
  <c r="I1479" i="4"/>
  <c r="K1479" i="4"/>
  <c r="Q390" i="1" s="1"/>
  <c r="J1513" i="4"/>
  <c r="J1514" i="4"/>
  <c r="J1509" i="4"/>
  <c r="J1510" i="4"/>
  <c r="K1508" i="4"/>
  <c r="Q399" i="1" s="1"/>
  <c r="I1508" i="4"/>
  <c r="J1511" i="4"/>
  <c r="K1427" i="4"/>
  <c r="Q378" i="1" s="1"/>
  <c r="J1480" i="4"/>
  <c r="J1479" i="4" s="1"/>
  <c r="J1431" i="4"/>
  <c r="J1358" i="4"/>
  <c r="K1358" i="4"/>
  <c r="Q364" i="1" s="1"/>
  <c r="J1421" i="4"/>
  <c r="J1389" i="4"/>
  <c r="J1406" i="4"/>
  <c r="I1410" i="4"/>
  <c r="I1386" i="4"/>
  <c r="J1387" i="4"/>
  <c r="J1391" i="4"/>
  <c r="J1392" i="4"/>
  <c r="K1386" i="4"/>
  <c r="J1410" i="4"/>
  <c r="J1411" i="4"/>
  <c r="Q358" i="1"/>
  <c r="I1336" i="4"/>
  <c r="J1338" i="4"/>
  <c r="J1339" i="4"/>
  <c r="I1289" i="4"/>
  <c r="J1293" i="4"/>
  <c r="J1294" i="4"/>
  <c r="J1290" i="4"/>
  <c r="J1291" i="4"/>
  <c r="I1335" i="4" l="1"/>
  <c r="J358" i="1" s="1"/>
  <c r="J400" i="1"/>
  <c r="J347" i="1"/>
  <c r="J399" i="1"/>
  <c r="J390" i="1"/>
  <c r="N364" i="1"/>
  <c r="P364" i="1"/>
  <c r="N378" i="1"/>
  <c r="P378" i="1"/>
  <c r="N376" i="1"/>
  <c r="P376" i="1"/>
  <c r="N379" i="1"/>
  <c r="P379" i="1"/>
  <c r="J1508" i="4"/>
  <c r="J1403" i="4"/>
  <c r="I1403" i="4"/>
  <c r="J1386" i="4"/>
  <c r="J1336" i="4"/>
  <c r="J1335" i="4" s="1"/>
  <c r="J1289" i="4"/>
  <c r="D2528" i="4"/>
  <c r="N390" i="1" l="1"/>
  <c r="P390" i="1"/>
  <c r="N347" i="1"/>
  <c r="P347" i="1"/>
  <c r="P358" i="1"/>
  <c r="N358" i="1"/>
  <c r="K2347" i="4"/>
  <c r="I2318" i="4"/>
  <c r="K2318" i="4"/>
  <c r="K2041" i="4"/>
  <c r="J2094" i="4" l="1"/>
  <c r="J2431" i="4"/>
  <c r="J2374" i="4"/>
  <c r="K2368" i="4"/>
  <c r="J2368" i="4"/>
  <c r="J2249" i="4"/>
  <c r="J2243" i="4"/>
  <c r="K2216" i="4"/>
  <c r="J2216" i="4"/>
  <c r="K2145" i="4"/>
  <c r="J2145" i="4"/>
  <c r="J2122" i="4"/>
  <c r="J2119" i="4"/>
  <c r="J2116" i="4"/>
  <c r="J2028" i="4"/>
  <c r="J1990" i="4"/>
  <c r="J1964" i="4"/>
  <c r="J1911" i="4"/>
  <c r="J1831" i="4"/>
  <c r="J1824" i="4"/>
  <c r="J1743" i="4"/>
  <c r="J2093" i="4"/>
  <c r="J1663" i="4" l="1"/>
  <c r="J1661" i="4"/>
  <c r="J1659" i="4"/>
  <c r="K2896" i="4"/>
  <c r="K2895" i="4" s="1"/>
  <c r="I2894" i="4"/>
  <c r="I2893" i="4"/>
  <c r="K2892" i="4"/>
  <c r="I2891" i="4"/>
  <c r="I2890" i="4"/>
  <c r="K2889" i="4"/>
  <c r="K2888" i="4"/>
  <c r="K2887" i="4" s="1"/>
  <c r="I2886" i="4"/>
  <c r="I2885" i="4"/>
  <c r="K2884" i="4"/>
  <c r="I2883" i="4"/>
  <c r="J2882" i="4"/>
  <c r="K2881" i="4"/>
  <c r="I2880" i="4"/>
  <c r="I2879" i="4"/>
  <c r="I2878" i="4"/>
  <c r="I2877" i="4"/>
  <c r="I2876" i="4"/>
  <c r="I2875" i="4"/>
  <c r="I2874" i="4"/>
  <c r="I2873" i="4"/>
  <c r="K2872" i="4"/>
  <c r="I2871" i="4"/>
  <c r="I2870" i="4"/>
  <c r="K2869" i="4"/>
  <c r="K2868" i="4"/>
  <c r="I2868" i="4" s="1"/>
  <c r="K2867" i="4"/>
  <c r="I2867" i="4"/>
  <c r="I2866" i="4"/>
  <c r="I2865" i="4"/>
  <c r="I2864" i="4"/>
  <c r="I2863" i="4"/>
  <c r="I2862" i="4"/>
  <c r="I2861" i="4"/>
  <c r="I2860" i="4"/>
  <c r="I2859" i="4"/>
  <c r="K2857" i="4"/>
  <c r="I2857" i="4" s="1"/>
  <c r="K2856" i="4"/>
  <c r="I2856" i="4"/>
  <c r="I2855" i="4"/>
  <c r="I2854" i="4"/>
  <c r="I2853" i="4"/>
  <c r="I2852" i="4"/>
  <c r="I2851" i="4"/>
  <c r="I2850" i="4"/>
  <c r="I2849" i="4"/>
  <c r="I2848" i="4"/>
  <c r="K2846" i="4"/>
  <c r="I2846" i="4" s="1"/>
  <c r="K2845" i="4"/>
  <c r="I2845" i="4" s="1"/>
  <c r="K2844" i="4"/>
  <c r="I2844" i="4" s="1"/>
  <c r="K2843" i="4"/>
  <c r="I2843" i="4" s="1"/>
  <c r="K2841" i="4"/>
  <c r="I2841" i="4" s="1"/>
  <c r="K2840" i="4"/>
  <c r="I2840" i="4" s="1"/>
  <c r="K2839" i="4"/>
  <c r="I2839" i="4" s="1"/>
  <c r="K2838" i="4"/>
  <c r="I2838" i="4" s="1"/>
  <c r="K1669" i="4"/>
  <c r="K1668" i="4" s="1"/>
  <c r="I1669" i="4"/>
  <c r="K1667" i="4"/>
  <c r="K1666" i="4" s="1"/>
  <c r="I1667" i="4"/>
  <c r="K1665" i="4"/>
  <c r="K1664" i="4" s="1"/>
  <c r="I1665" i="4"/>
  <c r="I1662" i="4"/>
  <c r="I1660" i="4"/>
  <c r="I1658" i="4"/>
  <c r="I1657" i="4" s="1"/>
  <c r="K1657" i="4"/>
  <c r="K1656" i="4"/>
  <c r="J1656" i="4"/>
  <c r="K1655" i="4"/>
  <c r="J1655" i="4"/>
  <c r="K1654" i="4"/>
  <c r="J1654" i="4"/>
  <c r="K1653" i="4"/>
  <c r="J1653" i="4"/>
  <c r="K1652" i="4"/>
  <c r="J1652" i="4"/>
  <c r="K1651" i="4"/>
  <c r="J1651" i="4"/>
  <c r="K1650" i="4"/>
  <c r="J1650" i="4"/>
  <c r="K1649" i="4"/>
  <c r="J1649" i="4"/>
  <c r="K1648" i="4"/>
  <c r="J1648" i="4"/>
  <c r="K1647" i="4"/>
  <c r="K1646" i="4" s="1"/>
  <c r="J1647" i="4"/>
  <c r="I1646" i="4"/>
  <c r="K1645" i="4"/>
  <c r="K1644" i="4" s="1"/>
  <c r="I1645" i="4"/>
  <c r="I1643" i="4"/>
  <c r="K1642" i="4"/>
  <c r="K1641" i="4" s="1"/>
  <c r="I1642" i="4"/>
  <c r="J1640" i="4"/>
  <c r="J1639" i="4"/>
  <c r="K1638" i="4"/>
  <c r="I1638" i="4"/>
  <c r="J1637" i="4"/>
  <c r="J1636" i="4"/>
  <c r="K1635" i="4"/>
  <c r="I1635" i="4"/>
  <c r="J1634" i="4"/>
  <c r="J1633" i="4"/>
  <c r="K1632" i="4"/>
  <c r="I1632" i="4"/>
  <c r="K1631" i="4"/>
  <c r="I1631" i="4"/>
  <c r="K1630" i="4"/>
  <c r="I1630" i="4"/>
  <c r="K1629" i="4"/>
  <c r="I1629" i="4"/>
  <c r="K1628" i="4"/>
  <c r="I1628" i="4"/>
  <c r="K1626" i="4"/>
  <c r="I1626" i="4"/>
  <c r="K1625" i="4"/>
  <c r="I1625" i="4"/>
  <c r="K1624" i="4"/>
  <c r="I1624" i="4"/>
  <c r="K1623" i="4"/>
  <c r="I1623" i="4"/>
  <c r="K1621" i="4"/>
  <c r="I1621" i="4"/>
  <c r="K1620" i="4"/>
  <c r="I1620" i="4"/>
  <c r="K1619" i="4"/>
  <c r="I1619" i="4"/>
  <c r="K1618" i="4"/>
  <c r="I1618" i="4"/>
  <c r="I1616" i="4"/>
  <c r="K1615" i="4"/>
  <c r="K1614" i="4" s="1"/>
  <c r="I1615" i="4"/>
  <c r="K1613" i="4"/>
  <c r="I1613" i="4"/>
  <c r="K1612" i="4"/>
  <c r="I1612" i="4"/>
  <c r="K1611" i="4"/>
  <c r="I1611" i="4"/>
  <c r="K1610" i="4"/>
  <c r="K1609" i="4" s="1"/>
  <c r="I1610" i="4"/>
  <c r="K1608" i="4"/>
  <c r="K1607" i="4" s="1"/>
  <c r="J1608" i="4"/>
  <c r="J1607" i="4" s="1"/>
  <c r="I1607" i="4"/>
  <c r="I1606" i="4"/>
  <c r="K1605" i="4"/>
  <c r="I1605" i="4"/>
  <c r="I1604" i="4"/>
  <c r="K1603" i="4"/>
  <c r="I1603" i="4"/>
  <c r="I1602" i="4"/>
  <c r="K1601" i="4"/>
  <c r="I1601" i="4"/>
  <c r="I1600" i="4"/>
  <c r="K1599" i="4"/>
  <c r="I1599" i="4"/>
  <c r="I1597" i="4"/>
  <c r="K1596" i="4"/>
  <c r="I1596" i="4" s="1"/>
  <c r="K1594" i="4"/>
  <c r="I1594" i="4"/>
  <c r="K1593" i="4"/>
  <c r="I1593" i="4"/>
  <c r="K1592" i="4"/>
  <c r="I1592" i="4"/>
  <c r="K1591" i="4"/>
  <c r="I1591" i="4"/>
  <c r="K1590" i="4"/>
  <c r="K1589" i="4" s="1"/>
  <c r="I1590" i="4"/>
  <c r="K1588" i="4"/>
  <c r="I1588" i="4"/>
  <c r="K1587" i="4"/>
  <c r="I1587" i="4"/>
  <c r="K1586" i="4"/>
  <c r="I1586" i="4"/>
  <c r="K1585" i="4"/>
  <c r="I1585" i="4"/>
  <c r="K1584" i="4"/>
  <c r="K1583" i="4" s="1"/>
  <c r="I1584" i="4"/>
  <c r="K1582" i="4"/>
  <c r="I1582" i="4"/>
  <c r="K1581" i="4"/>
  <c r="I1581" i="4"/>
  <c r="K1580" i="4"/>
  <c r="I1580" i="4"/>
  <c r="K1579" i="4"/>
  <c r="K1578" i="4" s="1"/>
  <c r="I1579" i="4"/>
  <c r="J1646" i="4" l="1"/>
  <c r="I1644" i="4"/>
  <c r="I1578" i="4"/>
  <c r="I1589" i="4"/>
  <c r="K2847" i="4"/>
  <c r="K2858" i="4"/>
  <c r="I2888" i="4"/>
  <c r="J2888" i="4" s="1"/>
  <c r="J2887" i="4" s="1"/>
  <c r="J1660" i="4"/>
  <c r="J1602" i="4"/>
  <c r="I1614" i="4"/>
  <c r="J2891" i="4"/>
  <c r="J2875" i="4"/>
  <c r="J1658" i="4"/>
  <c r="J1662" i="4"/>
  <c r="J1643" i="4"/>
  <c r="J1665" i="4"/>
  <c r="J1664" i="4" s="1"/>
  <c r="J1667" i="4"/>
  <c r="J1666" i="4" s="1"/>
  <c r="J1669" i="4"/>
  <c r="J1668" i="4" s="1"/>
  <c r="K2837" i="4"/>
  <c r="J2890" i="4"/>
  <c r="J2867" i="4"/>
  <c r="J2876" i="4"/>
  <c r="I1609" i="4"/>
  <c r="I1583" i="4"/>
  <c r="J1597" i="4"/>
  <c r="J1606" i="4"/>
  <c r="J1616" i="4"/>
  <c r="J2849" i="4"/>
  <c r="J2851" i="4"/>
  <c r="J2853" i="4"/>
  <c r="J2855" i="4"/>
  <c r="J2860" i="4"/>
  <c r="J2862" i="4"/>
  <c r="J2864" i="4"/>
  <c r="J2866" i="4"/>
  <c r="J2871" i="4"/>
  <c r="J2873" i="4"/>
  <c r="J2877" i="4"/>
  <c r="J2879" i="4"/>
  <c r="J2883" i="4"/>
  <c r="J2881" i="4" s="1"/>
  <c r="J2885" i="4"/>
  <c r="J2893" i="4"/>
  <c r="J1599" i="4"/>
  <c r="J1600" i="4"/>
  <c r="J1603" i="4"/>
  <c r="J1604" i="4"/>
  <c r="I1617" i="4"/>
  <c r="J1619" i="4"/>
  <c r="J1620" i="4"/>
  <c r="J1621" i="4"/>
  <c r="J1623" i="4"/>
  <c r="J1625" i="4"/>
  <c r="J1629" i="4"/>
  <c r="J1631" i="4"/>
  <c r="J2848" i="4"/>
  <c r="J2850" i="4"/>
  <c r="J2852" i="4"/>
  <c r="J2854" i="4"/>
  <c r="J2859" i="4"/>
  <c r="J2861" i="4"/>
  <c r="J2863" i="4"/>
  <c r="J2865" i="4"/>
  <c r="J2868" i="4"/>
  <c r="J2870" i="4"/>
  <c r="J2869" i="4" s="1"/>
  <c r="J2874" i="4"/>
  <c r="J2878" i="4"/>
  <c r="J2880" i="4"/>
  <c r="J2886" i="4"/>
  <c r="J2894" i="4"/>
  <c r="J1638" i="4"/>
  <c r="I2869" i="4"/>
  <c r="I2872" i="4"/>
  <c r="I2896" i="4"/>
  <c r="J1626" i="4"/>
  <c r="I1627" i="4"/>
  <c r="K1627" i="4"/>
  <c r="J1630" i="4"/>
  <c r="K2842" i="4"/>
  <c r="I2881" i="4"/>
  <c r="J2889" i="4"/>
  <c r="J2838" i="4"/>
  <c r="I2837" i="4"/>
  <c r="J2840" i="4"/>
  <c r="J2844" i="4"/>
  <c r="J2846" i="4"/>
  <c r="J2857" i="4"/>
  <c r="I2847" i="4"/>
  <c r="I2858" i="4"/>
  <c r="J2839" i="4"/>
  <c r="J2841" i="4"/>
  <c r="J2843" i="4"/>
  <c r="I2842" i="4"/>
  <c r="J2845" i="4"/>
  <c r="J2856" i="4"/>
  <c r="I2884" i="4"/>
  <c r="I2889" i="4"/>
  <c r="I2892" i="4"/>
  <c r="K1595" i="4"/>
  <c r="K1617" i="4"/>
  <c r="J1632" i="4"/>
  <c r="J1635" i="4"/>
  <c r="I1641" i="4"/>
  <c r="I1595" i="4"/>
  <c r="J1618" i="4"/>
  <c r="K1622" i="4"/>
  <c r="J1624" i="4"/>
  <c r="J1628" i="4"/>
  <c r="J1642" i="4"/>
  <c r="K1598" i="4"/>
  <c r="I1622" i="4"/>
  <c r="I1664" i="4"/>
  <c r="I1666" i="4"/>
  <c r="I1668" i="4"/>
  <c r="J1579" i="4"/>
  <c r="J1580" i="4"/>
  <c r="J1581" i="4"/>
  <c r="J1582" i="4"/>
  <c r="J1584" i="4"/>
  <c r="J1585" i="4"/>
  <c r="J1586" i="4"/>
  <c r="J1587" i="4"/>
  <c r="J1588" i="4"/>
  <c r="J1590" i="4"/>
  <c r="J1591" i="4"/>
  <c r="J1592" i="4"/>
  <c r="J1593" i="4"/>
  <c r="J1594" i="4"/>
  <c r="J1596" i="4"/>
  <c r="I1598" i="4"/>
  <c r="J1601" i="4"/>
  <c r="J1605" i="4"/>
  <c r="J1610" i="4"/>
  <c r="J1611" i="4"/>
  <c r="J1612" i="4"/>
  <c r="J1613" i="4"/>
  <c r="J1615" i="4"/>
  <c r="J1645" i="4"/>
  <c r="J1644" i="4" s="1"/>
  <c r="I2887" i="4" l="1"/>
  <c r="J2872" i="4"/>
  <c r="J1641" i="4"/>
  <c r="J2858" i="4"/>
  <c r="J1657" i="4"/>
  <c r="J2892" i="4"/>
  <c r="J2884" i="4"/>
  <c r="J1614" i="4"/>
  <c r="J1595" i="4"/>
  <c r="J1617" i="4"/>
  <c r="J2896" i="4"/>
  <c r="J2895" i="4" s="1"/>
  <c r="J1627" i="4"/>
  <c r="I2895" i="4"/>
  <c r="J1622" i="4"/>
  <c r="J2847" i="4"/>
  <c r="J2842" i="4"/>
  <c r="I2836" i="4"/>
  <c r="J2837" i="4"/>
  <c r="J1598" i="4"/>
  <c r="J1609" i="4"/>
  <c r="J1589" i="4"/>
  <c r="J1583" i="4"/>
  <c r="J1578" i="4"/>
  <c r="I1577" i="4"/>
  <c r="I3148" i="4" l="1"/>
  <c r="I3147" i="4"/>
  <c r="K3146" i="4"/>
  <c r="I3145" i="4"/>
  <c r="I3144" i="4"/>
  <c r="K3143" i="4"/>
  <c r="I3142" i="4"/>
  <c r="I3141" i="4"/>
  <c r="K3140" i="4"/>
  <c r="I3139" i="4"/>
  <c r="I3138" i="4"/>
  <c r="K3137" i="4"/>
  <c r="I3136" i="4"/>
  <c r="I3135" i="4"/>
  <c r="K3134" i="4"/>
  <c r="I3133" i="4"/>
  <c r="I3132" i="4"/>
  <c r="K3131" i="4"/>
  <c r="I3130" i="4"/>
  <c r="I3129" i="4"/>
  <c r="K3128" i="4"/>
  <c r="I3127" i="4"/>
  <c r="I3126" i="4"/>
  <c r="K3125" i="4"/>
  <c r="I3124" i="4"/>
  <c r="I3123" i="4"/>
  <c r="I3122" i="4"/>
  <c r="I3121" i="4"/>
  <c r="K3120" i="4"/>
  <c r="I3119" i="4"/>
  <c r="I3118" i="4"/>
  <c r="K3117" i="4"/>
  <c r="I3116" i="4"/>
  <c r="I3115" i="4"/>
  <c r="K3114" i="4"/>
  <c r="I3113" i="4"/>
  <c r="I3112" i="4"/>
  <c r="K3111" i="4"/>
  <c r="I3110" i="4"/>
  <c r="I3109" i="4"/>
  <c r="K3108" i="4"/>
  <c r="I3107" i="4"/>
  <c r="I3106" i="4"/>
  <c r="K3105" i="4"/>
  <c r="I3103" i="4"/>
  <c r="K3102" i="4"/>
  <c r="I3101" i="4"/>
  <c r="I3100" i="4"/>
  <c r="K3099" i="4"/>
  <c r="I3098" i="4"/>
  <c r="I3097" i="4"/>
  <c r="K3096" i="4"/>
  <c r="I3095" i="4"/>
  <c r="I3094" i="4"/>
  <c r="K3093" i="4"/>
  <c r="I3092" i="4"/>
  <c r="I3091" i="4"/>
  <c r="I3090" i="4"/>
  <c r="I3089" i="4"/>
  <c r="K3088" i="4"/>
  <c r="I3087" i="4"/>
  <c r="I3086" i="4"/>
  <c r="K3085" i="4"/>
  <c r="I3084" i="4"/>
  <c r="I3083" i="4"/>
  <c r="K3082" i="4"/>
  <c r="I3081" i="4"/>
  <c r="I3080" i="4"/>
  <c r="I3079" i="4"/>
  <c r="I3078" i="4"/>
  <c r="I3077" i="4"/>
  <c r="I3076" i="4"/>
  <c r="K3075" i="4"/>
  <c r="I3074" i="4"/>
  <c r="I3073" i="4"/>
  <c r="K3072" i="4"/>
  <c r="I3071" i="4"/>
  <c r="I3070" i="4"/>
  <c r="K3069" i="4"/>
  <c r="I3068" i="4"/>
  <c r="I3067" i="4"/>
  <c r="K3066" i="4"/>
  <c r="I3065" i="4"/>
  <c r="I3064" i="4"/>
  <c r="K3063" i="4"/>
  <c r="I3062" i="4"/>
  <c r="I3061" i="4"/>
  <c r="K3060" i="4"/>
  <c r="I3059" i="4"/>
  <c r="I3058" i="4"/>
  <c r="K3057" i="4"/>
  <c r="I3056" i="4"/>
  <c r="I3055" i="4"/>
  <c r="K3054" i="4"/>
  <c r="I3053" i="4"/>
  <c r="I3052" i="4"/>
  <c r="K3051" i="4"/>
  <c r="I3050" i="4"/>
  <c r="I3049" i="4"/>
  <c r="K3048" i="4"/>
  <c r="I3047" i="4"/>
  <c r="I3046" i="4"/>
  <c r="K3045" i="4"/>
  <c r="I3044" i="4"/>
  <c r="I3043" i="4"/>
  <c r="K3042" i="4"/>
  <c r="I3041" i="4"/>
  <c r="I3040" i="4"/>
  <c r="K3039" i="4"/>
  <c r="I3038" i="4"/>
  <c r="I3037" i="4"/>
  <c r="K3036" i="4"/>
  <c r="I3034" i="4"/>
  <c r="K3033" i="4"/>
  <c r="I3032" i="4"/>
  <c r="I3031" i="4"/>
  <c r="K3030" i="4"/>
  <c r="I3028" i="4"/>
  <c r="K3027" i="4"/>
  <c r="I3026" i="4"/>
  <c r="I3025" i="4"/>
  <c r="K3024" i="4"/>
  <c r="I3023" i="4"/>
  <c r="I3022" i="4"/>
  <c r="K3021" i="4"/>
  <c r="I3020" i="4"/>
  <c r="I3019" i="4"/>
  <c r="K3018" i="4"/>
  <c r="I3017" i="4"/>
  <c r="I3016" i="4"/>
  <c r="I3015" i="4"/>
  <c r="I3014" i="4"/>
  <c r="K3013" i="4"/>
  <c r="I3012" i="4"/>
  <c r="I3011" i="4"/>
  <c r="K3010" i="4"/>
  <c r="I3009" i="4"/>
  <c r="I3008" i="4"/>
  <c r="K3007" i="4"/>
  <c r="I3006" i="4"/>
  <c r="I3005" i="4"/>
  <c r="I3004" i="4"/>
  <c r="I3003" i="4"/>
  <c r="I3002" i="4"/>
  <c r="I3001" i="4"/>
  <c r="K3000" i="4"/>
  <c r="I2999" i="4"/>
  <c r="I2998" i="4"/>
  <c r="K2997" i="4"/>
  <c r="I2996" i="4"/>
  <c r="I2995" i="4"/>
  <c r="K2994" i="4"/>
  <c r="I2993" i="4"/>
  <c r="I2992" i="4"/>
  <c r="K2991" i="4"/>
  <c r="I2990" i="4"/>
  <c r="I2989" i="4"/>
  <c r="K2988" i="4"/>
  <c r="I2987" i="4"/>
  <c r="I2986" i="4"/>
  <c r="K2985" i="4"/>
  <c r="I2984" i="4"/>
  <c r="I2983" i="4"/>
  <c r="I2982" i="4"/>
  <c r="I2981" i="4"/>
  <c r="K2980" i="4"/>
  <c r="I2979" i="4"/>
  <c r="I2978" i="4"/>
  <c r="K2977" i="4"/>
  <c r="I2976" i="4"/>
  <c r="I2975" i="4"/>
  <c r="K2974" i="4"/>
  <c r="I2973" i="4"/>
  <c r="I2972" i="4"/>
  <c r="K2971" i="4"/>
  <c r="I2970" i="4"/>
  <c r="I2969" i="4"/>
  <c r="I2967" i="4"/>
  <c r="I2966" i="4"/>
  <c r="I2965" i="4"/>
  <c r="K2964" i="4"/>
  <c r="I2963" i="4"/>
  <c r="I2962" i="4"/>
  <c r="I2961" i="4"/>
  <c r="I2960" i="4"/>
  <c r="K2959" i="4"/>
  <c r="I2958" i="4"/>
  <c r="I2957" i="4"/>
  <c r="I2956" i="4"/>
  <c r="I2955" i="4"/>
  <c r="K2954" i="4"/>
  <c r="I2953" i="4"/>
  <c r="I2952" i="4"/>
  <c r="K2951" i="4"/>
  <c r="I2950" i="4"/>
  <c r="I2949" i="4"/>
  <c r="I2948" i="4"/>
  <c r="I2947" i="4"/>
  <c r="I2946" i="4"/>
  <c r="I2945" i="4"/>
  <c r="I2944" i="4"/>
  <c r="I2943" i="4"/>
  <c r="K2942" i="4"/>
  <c r="I2941" i="4"/>
  <c r="I2940" i="4"/>
  <c r="K2939" i="4"/>
  <c r="I2938" i="4"/>
  <c r="I2937" i="4"/>
  <c r="K2936" i="4"/>
  <c r="I2935" i="4"/>
  <c r="I2934" i="4"/>
  <c r="K2933" i="4"/>
  <c r="I2932" i="4"/>
  <c r="I2931" i="4"/>
  <c r="K2930" i="4"/>
  <c r="I2929" i="4"/>
  <c r="I2928" i="4"/>
  <c r="K2927" i="4"/>
  <c r="I2926" i="4"/>
  <c r="I2925" i="4"/>
  <c r="I2924" i="4"/>
  <c r="I2923" i="4"/>
  <c r="K2922" i="4"/>
  <c r="I2920" i="4"/>
  <c r="I2919" i="4"/>
  <c r="I2918" i="4"/>
  <c r="K2917" i="4"/>
  <c r="I2916" i="4"/>
  <c r="I2915" i="4"/>
  <c r="K2914" i="4"/>
  <c r="I2913" i="4"/>
  <c r="I2912" i="4"/>
  <c r="K2911" i="4"/>
  <c r="I2910" i="4"/>
  <c r="I2909" i="4"/>
  <c r="I2908" i="4"/>
  <c r="I2907" i="4"/>
  <c r="I2906" i="4"/>
  <c r="I2905" i="4"/>
  <c r="K2904" i="4"/>
  <c r="I2903" i="4"/>
  <c r="I2902" i="4"/>
  <c r="K2901" i="4"/>
  <c r="I2900" i="4"/>
  <c r="I2899" i="4"/>
  <c r="K2898" i="4"/>
  <c r="I2502" i="4"/>
  <c r="I2500" i="4"/>
  <c r="I2498" i="4"/>
  <c r="I2497" i="4"/>
  <c r="J2495" i="4"/>
  <c r="I2494" i="4"/>
  <c r="J2493" i="4"/>
  <c r="I2492" i="4"/>
  <c r="J2490" i="4"/>
  <c r="I2489" i="4"/>
  <c r="I2488" i="4"/>
  <c r="I2486" i="4"/>
  <c r="I2484" i="4"/>
  <c r="I2482" i="4"/>
  <c r="J2480" i="4"/>
  <c r="I2479" i="4"/>
  <c r="J2478" i="4"/>
  <c r="I2477" i="4"/>
  <c r="J2475" i="4"/>
  <c r="I2474" i="4"/>
  <c r="I2473" i="4"/>
  <c r="I2463" i="4"/>
  <c r="I2461" i="4"/>
  <c r="I2460" i="4"/>
  <c r="I2458" i="4"/>
  <c r="I2450" i="4"/>
  <c r="I2449" i="4"/>
  <c r="I2440" i="4"/>
  <c r="I2438" i="4"/>
  <c r="I2436" i="4"/>
  <c r="I2434" i="4"/>
  <c r="I2432" i="4"/>
  <c r="J2427" i="4"/>
  <c r="I2426" i="4"/>
  <c r="J2423" i="4"/>
  <c r="J2421" i="4"/>
  <c r="I2420" i="4"/>
  <c r="I2418" i="4"/>
  <c r="I2417" i="4"/>
  <c r="I2416" i="4"/>
  <c r="J2414" i="4"/>
  <c r="I2413" i="4"/>
  <c r="I2411" i="4"/>
  <c r="I2410" i="4"/>
  <c r="I2408" i="4"/>
  <c r="I2407" i="4"/>
  <c r="J2405" i="4"/>
  <c r="I2404" i="4"/>
  <c r="I2403" i="4"/>
  <c r="I2401" i="4"/>
  <c r="I2400" i="4"/>
  <c r="J2398" i="4"/>
  <c r="J2397" i="4"/>
  <c r="J2396" i="4"/>
  <c r="J2395" i="4"/>
  <c r="J2394" i="4"/>
  <c r="J2393" i="4"/>
  <c r="I2392" i="4"/>
  <c r="I2391" i="4"/>
  <c r="I2390" i="4"/>
  <c r="I2388" i="4"/>
  <c r="I2387" i="4"/>
  <c r="I2385" i="4"/>
  <c r="I2384" i="4"/>
  <c r="I2382" i="4"/>
  <c r="I2380" i="4"/>
  <c r="I2379" i="4"/>
  <c r="I2377" i="4"/>
  <c r="J2375" i="4"/>
  <c r="J2373" i="4"/>
  <c r="I2372" i="4"/>
  <c r="I2371" i="4"/>
  <c r="J2369" i="4"/>
  <c r="I2367" i="4"/>
  <c r="I2366" i="4"/>
  <c r="I2364" i="4"/>
  <c r="I2362" i="4"/>
  <c r="I2360" i="4"/>
  <c r="I2357" i="4"/>
  <c r="I2354" i="4"/>
  <c r="I2353" i="4"/>
  <c r="J2352" i="4"/>
  <c r="I2351" i="4"/>
  <c r="I2349" i="4"/>
  <c r="J2348" i="4"/>
  <c r="J2347" i="4"/>
  <c r="I2345" i="4"/>
  <c r="I2344" i="4"/>
  <c r="I2343" i="4"/>
  <c r="I2340" i="4"/>
  <c r="I2338" i="4"/>
  <c r="I2337" i="4"/>
  <c r="I2336" i="4"/>
  <c r="I2334" i="4"/>
  <c r="I2332" i="4"/>
  <c r="I2331" i="4"/>
  <c r="I2330" i="4"/>
  <c r="I2324" i="4"/>
  <c r="I2322" i="4"/>
  <c r="I2320" i="4"/>
  <c r="I2314" i="4"/>
  <c r="I2313" i="4"/>
  <c r="J2311" i="4"/>
  <c r="I2310" i="4"/>
  <c r="J2308" i="4"/>
  <c r="I2307" i="4"/>
  <c r="J2305" i="4"/>
  <c r="I2304" i="4"/>
  <c r="I2302" i="4"/>
  <c r="J2300" i="4"/>
  <c r="I2299" i="4"/>
  <c r="I2298" i="4"/>
  <c r="I2296" i="4"/>
  <c r="I2294" i="4"/>
  <c r="I2292" i="4"/>
  <c r="I2290" i="4"/>
  <c r="I2288" i="4"/>
  <c r="I2286" i="4"/>
  <c r="I2284" i="4"/>
  <c r="I2282" i="4"/>
  <c r="I2280" i="4"/>
  <c r="I2278" i="4"/>
  <c r="J2276" i="4"/>
  <c r="J2275" i="4"/>
  <c r="J2274" i="4"/>
  <c r="J2273" i="4"/>
  <c r="J2272" i="4"/>
  <c r="J2271" i="4"/>
  <c r="J2268" i="4"/>
  <c r="J2267" i="4"/>
  <c r="J2266" i="4"/>
  <c r="J2265" i="4"/>
  <c r="J2264" i="4"/>
  <c r="J2263" i="4"/>
  <c r="J2262" i="4"/>
  <c r="J2261" i="4"/>
  <c r="J2260" i="4"/>
  <c r="J2259" i="4"/>
  <c r="J2258" i="4"/>
  <c r="J2257" i="4"/>
  <c r="J2254" i="4"/>
  <c r="I2253" i="4"/>
  <c r="I2252" i="4"/>
  <c r="J2250" i="4"/>
  <c r="J2248" i="4"/>
  <c r="J2247" i="4"/>
  <c r="J2246" i="4"/>
  <c r="J2245" i="4"/>
  <c r="J2244" i="4"/>
  <c r="J2242" i="4"/>
  <c r="J2241" i="4"/>
  <c r="J2240" i="4"/>
  <c r="J2239" i="4"/>
  <c r="I2238" i="4"/>
  <c r="I2237" i="4"/>
  <c r="I2235" i="4"/>
  <c r="I2233" i="4"/>
  <c r="I2231" i="4"/>
  <c r="I2229" i="4"/>
  <c r="I2218" i="4"/>
  <c r="J2215" i="4"/>
  <c r="J2214" i="4"/>
  <c r="J2213" i="4"/>
  <c r="I2212" i="4"/>
  <c r="I2211" i="4"/>
  <c r="I2209" i="4"/>
  <c r="I2207" i="4"/>
  <c r="I2205" i="4"/>
  <c r="I2203" i="4"/>
  <c r="I2201" i="4"/>
  <c r="I2200" i="4"/>
  <c r="I2198" i="4"/>
  <c r="I2196" i="4"/>
  <c r="I2194" i="4"/>
  <c r="J2192" i="4"/>
  <c r="J2191" i="4"/>
  <c r="J2190" i="4"/>
  <c r="J2189" i="4"/>
  <c r="J2188" i="4"/>
  <c r="J2187" i="4"/>
  <c r="J2186" i="4"/>
  <c r="J2185" i="4"/>
  <c r="I2184" i="4"/>
  <c r="I2183" i="4"/>
  <c r="J2182" i="4"/>
  <c r="J2181" i="4"/>
  <c r="J2180" i="4"/>
  <c r="J2179" i="4"/>
  <c r="J2178" i="4"/>
  <c r="J2177" i="4"/>
  <c r="J2176" i="4"/>
  <c r="J2175" i="4"/>
  <c r="I2173" i="4"/>
  <c r="J2172" i="4"/>
  <c r="I2171" i="4"/>
  <c r="J2170" i="4"/>
  <c r="I2169" i="4"/>
  <c r="J2168" i="4"/>
  <c r="I2167" i="4"/>
  <c r="J2166" i="4"/>
  <c r="I2165" i="4"/>
  <c r="I2163" i="4"/>
  <c r="I2161" i="4"/>
  <c r="I2155" i="4"/>
  <c r="I2153" i="4"/>
  <c r="I2151" i="4"/>
  <c r="I2149" i="4"/>
  <c r="I2147" i="4"/>
  <c r="J2144" i="4"/>
  <c r="J2143" i="4"/>
  <c r="J2142" i="4"/>
  <c r="I2141" i="4"/>
  <c r="I2140" i="4"/>
  <c r="I2138" i="4"/>
  <c r="I2136" i="4"/>
  <c r="I2134" i="4"/>
  <c r="I2132" i="4"/>
  <c r="I2127" i="4"/>
  <c r="J2125" i="4"/>
  <c r="I2124" i="4"/>
  <c r="J2123" i="4"/>
  <c r="J2121" i="4"/>
  <c r="J2120" i="4"/>
  <c r="J2118" i="4"/>
  <c r="J2117" i="4"/>
  <c r="J2115" i="4"/>
  <c r="I2114" i="4"/>
  <c r="I2113" i="4"/>
  <c r="J2098" i="4"/>
  <c r="J2097" i="4"/>
  <c r="J2096" i="4"/>
  <c r="J2095" i="4"/>
  <c r="I2092" i="4"/>
  <c r="J2091" i="4"/>
  <c r="J2090" i="4"/>
  <c r="J2089" i="4"/>
  <c r="J2088" i="4"/>
  <c r="J2087" i="4"/>
  <c r="J2086" i="4"/>
  <c r="I2085" i="4"/>
  <c r="I2084" i="4"/>
  <c r="I2082" i="4"/>
  <c r="I2080" i="4"/>
  <c r="I2078" i="4"/>
  <c r="J2076" i="4"/>
  <c r="J2075" i="4"/>
  <c r="I2074" i="4"/>
  <c r="I2071" i="4"/>
  <c r="J2070" i="4"/>
  <c r="I2069" i="4"/>
  <c r="I2068" i="4"/>
  <c r="I2066" i="4"/>
  <c r="I2064" i="4"/>
  <c r="I2062" i="4"/>
  <c r="I2060" i="4"/>
  <c r="I2056" i="4"/>
  <c r="I2055" i="4"/>
  <c r="J2052" i="4"/>
  <c r="J2050" i="4"/>
  <c r="J2049" i="4"/>
  <c r="I2048" i="4"/>
  <c r="J2047" i="4"/>
  <c r="J2046" i="4"/>
  <c r="I2045" i="4"/>
  <c r="I2044" i="4"/>
  <c r="I2042" i="4" s="1"/>
  <c r="J2043" i="4"/>
  <c r="I2041" i="4"/>
  <c r="J2039" i="4"/>
  <c r="J2038" i="4"/>
  <c r="I2037" i="4"/>
  <c r="I2036" i="4"/>
  <c r="I2029" i="4"/>
  <c r="I2026" i="4"/>
  <c r="I2024" i="4"/>
  <c r="I2023" i="4"/>
  <c r="I2022" i="4"/>
  <c r="I2021" i="4"/>
  <c r="I2019" i="4"/>
  <c r="I2017" i="4"/>
  <c r="I2016" i="4"/>
  <c r="I2010" i="4"/>
  <c r="I2009" i="4"/>
  <c r="I2007" i="4"/>
  <c r="I2006" i="4"/>
  <c r="I2004" i="4"/>
  <c r="I2003" i="4"/>
  <c r="I2002" i="4"/>
  <c r="I2001" i="4"/>
  <c r="I2000" i="4"/>
  <c r="I1999" i="4"/>
  <c r="I1997" i="4"/>
  <c r="I1996" i="4"/>
  <c r="J1994" i="4"/>
  <c r="I1993" i="4"/>
  <c r="I1991" i="4"/>
  <c r="I1988" i="4"/>
  <c r="I1987" i="4"/>
  <c r="I1985" i="4"/>
  <c r="I1983" i="4"/>
  <c r="I1974" i="4"/>
  <c r="I1973" i="4"/>
  <c r="I1972" i="4"/>
  <c r="I1971" i="4"/>
  <c r="I1970" i="4"/>
  <c r="I1969" i="4"/>
  <c r="I1967" i="4"/>
  <c r="J1965" i="4"/>
  <c r="I1963" i="4"/>
  <c r="I1958" i="4"/>
  <c r="I1957" i="4"/>
  <c r="I1955" i="4"/>
  <c r="I1954" i="4"/>
  <c r="I1950" i="4"/>
  <c r="I1948" i="4"/>
  <c r="I1946" i="4"/>
  <c r="I1945" i="4"/>
  <c r="I1943" i="4"/>
  <c r="I1941" i="4"/>
  <c r="I1940" i="4"/>
  <c r="I1935" i="4"/>
  <c r="I1933" i="4"/>
  <c r="I1931" i="4"/>
  <c r="I1929" i="4"/>
  <c r="I1928" i="4"/>
  <c r="I1927" i="4"/>
  <c r="I1926" i="4"/>
  <c r="J1922" i="4"/>
  <c r="I1921" i="4"/>
  <c r="I1920" i="4"/>
  <c r="J1919" i="4"/>
  <c r="I1918" i="4"/>
  <c r="I1917" i="4"/>
  <c r="J1916" i="4"/>
  <c r="I1915" i="4"/>
  <c r="I1914" i="4"/>
  <c r="J1913" i="4"/>
  <c r="I1912" i="4"/>
  <c r="I1910" i="4"/>
  <c r="J1908" i="4"/>
  <c r="J1907" i="4"/>
  <c r="J1906" i="4"/>
  <c r="I1905" i="4"/>
  <c r="I1901" i="4"/>
  <c r="I1892" i="4"/>
  <c r="I1891" i="4"/>
  <c r="J1889" i="4"/>
  <c r="I1888" i="4"/>
  <c r="I1884" i="4"/>
  <c r="I1882" i="4"/>
  <c r="I1880" i="4"/>
  <c r="I1879" i="4"/>
  <c r="J1877" i="4"/>
  <c r="J1876" i="4"/>
  <c r="J1875" i="4"/>
  <c r="I1874" i="4"/>
  <c r="I1872" i="4"/>
  <c r="I1871" i="4"/>
  <c r="J1865" i="4"/>
  <c r="J1864" i="4"/>
  <c r="I1863" i="4"/>
  <c r="I1862" i="4"/>
  <c r="I1861" i="4"/>
  <c r="I1860" i="4"/>
  <c r="I1859" i="4"/>
  <c r="J1858" i="4"/>
  <c r="I1857" i="4"/>
  <c r="I1855" i="4"/>
  <c r="J1853" i="4"/>
  <c r="I1852" i="4"/>
  <c r="I1850" i="4"/>
  <c r="I1849" i="4"/>
  <c r="I1834" i="4"/>
  <c r="I1832" i="4"/>
  <c r="J1830" i="4"/>
  <c r="I1829" i="4"/>
  <c r="J1828" i="4"/>
  <c r="I1827" i="4"/>
  <c r="J1826" i="4"/>
  <c r="I1825" i="4"/>
  <c r="I1822" i="4"/>
  <c r="I1821" i="4"/>
  <c r="I1819" i="4"/>
  <c r="I1817" i="4"/>
  <c r="I1816" i="4"/>
  <c r="I1814" i="4"/>
  <c r="J1812" i="4"/>
  <c r="I1811" i="4"/>
  <c r="J1810" i="4"/>
  <c r="J1809" i="4"/>
  <c r="I1808" i="4"/>
  <c r="J1807" i="4"/>
  <c r="J1805" i="4"/>
  <c r="I1804" i="4"/>
  <c r="J1803" i="4"/>
  <c r="I1802" i="4"/>
  <c r="I1801" i="4"/>
  <c r="I1800" i="4"/>
  <c r="I1798" i="4"/>
  <c r="I1797" i="4"/>
  <c r="I1795" i="4"/>
  <c r="I1793" i="4"/>
  <c r="I1792" i="4"/>
  <c r="I1790" i="4"/>
  <c r="I1788" i="4"/>
  <c r="I1787" i="4"/>
  <c r="I1782" i="4"/>
  <c r="I1781" i="4"/>
  <c r="I1779" i="4"/>
  <c r="J1777" i="4"/>
  <c r="I1776" i="4"/>
  <c r="J1774" i="4"/>
  <c r="I1773" i="4"/>
  <c r="I1771" i="4"/>
  <c r="I1769" i="4"/>
  <c r="I1768" i="4"/>
  <c r="I1766" i="4"/>
  <c r="I1765" i="4"/>
  <c r="J1764" i="4"/>
  <c r="I1763" i="4"/>
  <c r="I1762" i="4"/>
  <c r="J1761" i="4"/>
  <c r="J1759" i="4"/>
  <c r="I1758" i="4"/>
  <c r="J1757" i="4"/>
  <c r="J1756" i="4"/>
  <c r="I1755" i="4"/>
  <c r="J1754" i="4"/>
  <c r="J1753" i="4"/>
  <c r="I1752" i="4"/>
  <c r="J1750" i="4"/>
  <c r="J1749" i="4"/>
  <c r="J1748" i="4"/>
  <c r="J1746" i="4"/>
  <c r="J1742" i="4"/>
  <c r="I1741" i="4"/>
  <c r="I1740" i="4"/>
  <c r="J1737" i="4"/>
  <c r="J1736" i="4"/>
  <c r="I1731" i="4"/>
  <c r="I1729" i="4"/>
  <c r="I1728" i="4"/>
  <c r="I1726" i="4"/>
  <c r="I1724" i="4"/>
  <c r="J1723" i="4"/>
  <c r="I1721" i="4"/>
  <c r="I1720" i="4"/>
  <c r="J1718" i="4"/>
  <c r="I1717" i="4"/>
  <c r="I1715" i="4"/>
  <c r="I1711" i="4"/>
  <c r="I1709" i="4"/>
  <c r="I1693" i="4"/>
  <c r="I1692" i="4"/>
  <c r="J1690" i="4"/>
  <c r="I1689" i="4"/>
  <c r="I1687" i="4"/>
  <c r="I1686" i="4"/>
  <c r="I1685" i="4"/>
  <c r="I1683" i="4"/>
  <c r="I1682" i="4"/>
  <c r="I1681" i="4"/>
  <c r="I1676" i="4"/>
  <c r="I1675" i="4"/>
  <c r="I1673" i="4"/>
  <c r="I1672" i="4"/>
  <c r="K1672" i="4"/>
  <c r="K1673" i="4"/>
  <c r="K1674" i="4"/>
  <c r="K1678" i="4"/>
  <c r="K1679" i="4"/>
  <c r="K1681" i="4"/>
  <c r="K1682" i="4"/>
  <c r="K1683" i="4"/>
  <c r="K1685" i="4"/>
  <c r="K1686" i="4"/>
  <c r="K1687" i="4"/>
  <c r="K1688" i="4"/>
  <c r="K1691" i="4"/>
  <c r="K1695" i="4"/>
  <c r="K1696" i="4"/>
  <c r="K1698" i="4"/>
  <c r="K1699" i="4"/>
  <c r="K1700" i="4"/>
  <c r="K1702" i="4"/>
  <c r="K1703" i="4"/>
  <c r="K1704" i="4"/>
  <c r="K1705" i="4"/>
  <c r="K1709" i="4"/>
  <c r="K1711" i="4"/>
  <c r="K1713" i="4"/>
  <c r="K1714" i="4"/>
  <c r="K1715" i="4"/>
  <c r="K1716" i="4"/>
  <c r="K1719" i="4"/>
  <c r="K1722" i="4"/>
  <c r="K1726" i="4"/>
  <c r="K1727" i="4"/>
  <c r="K1731" i="4"/>
  <c r="K1733" i="4"/>
  <c r="K1734" i="4"/>
  <c r="K1736" i="4"/>
  <c r="K1739" i="4"/>
  <c r="K1742" i="4"/>
  <c r="K1746" i="4"/>
  <c r="K1749" i="4"/>
  <c r="K1753" i="4"/>
  <c r="K1754" i="4"/>
  <c r="K1756" i="4"/>
  <c r="K1757" i="4"/>
  <c r="K1759" i="4"/>
  <c r="K1761" i="4"/>
  <c r="K1764" i="4"/>
  <c r="K1767" i="4"/>
  <c r="K1771" i="4"/>
  <c r="K1772" i="4"/>
  <c r="K1775" i="4"/>
  <c r="K1779" i="4"/>
  <c r="K1780" i="4"/>
  <c r="K1783" i="4"/>
  <c r="K1786" i="4"/>
  <c r="K1790" i="4"/>
  <c r="K1792" i="4"/>
  <c r="K1795" i="4"/>
  <c r="K1796" i="4"/>
  <c r="K1800" i="4"/>
  <c r="K1803" i="4"/>
  <c r="K1807" i="4"/>
  <c r="K1810" i="4"/>
  <c r="K1814" i="4"/>
  <c r="K1815" i="4"/>
  <c r="K1819" i="4"/>
  <c r="K1820" i="4"/>
  <c r="K1830" i="4"/>
  <c r="K1834" i="4"/>
  <c r="K1835" i="4"/>
  <c r="K1843" i="4"/>
  <c r="K1845" i="4"/>
  <c r="K1847" i="4"/>
  <c r="K1848" i="4"/>
  <c r="K1851" i="4"/>
  <c r="K1855" i="4"/>
  <c r="K1856" i="4"/>
  <c r="K1864" i="4"/>
  <c r="K1865" i="4"/>
  <c r="K1867" i="4"/>
  <c r="K1868" i="4"/>
  <c r="K1869" i="4"/>
  <c r="K1870" i="4"/>
  <c r="K1874" i="4"/>
  <c r="K1875" i="4"/>
  <c r="K1876" i="4"/>
  <c r="K1877" i="4"/>
  <c r="K1878" i="4"/>
  <c r="K1882" i="4"/>
  <c r="K1884" i="4"/>
  <c r="K1886" i="4"/>
  <c r="K1887" i="4"/>
  <c r="K1888" i="4"/>
  <c r="K1889" i="4"/>
  <c r="K1891" i="4"/>
  <c r="K1894" i="4"/>
  <c r="K1896" i="4"/>
  <c r="K1897" i="4"/>
  <c r="K1898" i="4"/>
  <c r="K1900" i="4"/>
  <c r="K1901" i="4"/>
  <c r="K1903" i="4"/>
  <c r="K1904" i="4"/>
  <c r="K1906" i="4"/>
  <c r="K1907" i="4"/>
  <c r="K1908" i="4"/>
  <c r="K1912" i="4"/>
  <c r="K1913" i="4"/>
  <c r="K1916" i="4"/>
  <c r="K1919" i="4"/>
  <c r="K1922" i="4"/>
  <c r="K1923" i="4"/>
  <c r="K1924" i="4"/>
  <c r="K1926" i="4"/>
  <c r="K1927" i="4"/>
  <c r="K1928" i="4"/>
  <c r="K1929" i="4"/>
  <c r="K1931" i="4"/>
  <c r="K1933" i="4"/>
  <c r="K1935" i="4"/>
  <c r="K1936" i="4"/>
  <c r="K1939" i="4"/>
  <c r="K1943" i="4"/>
  <c r="K1944" i="4"/>
  <c r="K1948" i="4"/>
  <c r="K1950" i="4"/>
  <c r="K1951" i="4"/>
  <c r="K1952" i="4"/>
  <c r="K1954" i="4"/>
  <c r="K1955" i="4"/>
  <c r="K1956" i="4"/>
  <c r="K1960" i="4"/>
  <c r="K1961" i="4"/>
  <c r="K1962" i="4"/>
  <c r="K1963" i="4"/>
  <c r="K1967" i="4"/>
  <c r="K1968" i="4"/>
  <c r="K1983" i="4"/>
  <c r="K1985" i="4"/>
  <c r="K1986" i="4"/>
  <c r="K1989" i="4"/>
  <c r="K1992" i="4"/>
  <c r="K1995" i="4"/>
  <c r="K1998" i="4"/>
  <c r="K2005" i="4"/>
  <c r="K2008" i="4"/>
  <c r="K2012" i="4"/>
  <c r="K2013" i="4"/>
  <c r="K2014" i="4"/>
  <c r="K2015" i="4"/>
  <c r="K2019" i="4"/>
  <c r="K2021" i="4"/>
  <c r="K2022" i="4"/>
  <c r="K2026" i="4"/>
  <c r="K2027" i="4"/>
  <c r="K2031" i="4"/>
  <c r="K2032" i="4"/>
  <c r="K2033" i="4"/>
  <c r="K2035" i="4"/>
  <c r="K2037" i="4"/>
  <c r="K2040" i="4"/>
  <c r="K2042" i="4"/>
  <c r="K2045" i="4"/>
  <c r="K2048" i="4"/>
  <c r="K2051" i="4"/>
  <c r="K2054" i="4"/>
  <c r="K2058" i="4"/>
  <c r="K2060" i="4"/>
  <c r="K2062" i="4"/>
  <c r="K2064" i="4"/>
  <c r="K2066" i="4"/>
  <c r="K2068" i="4"/>
  <c r="K2069" i="4"/>
  <c r="K2073" i="4"/>
  <c r="K2075" i="4"/>
  <c r="K2076" i="4"/>
  <c r="K2078" i="4"/>
  <c r="K2080" i="4"/>
  <c r="K2082" i="4"/>
  <c r="K2084" i="4"/>
  <c r="K2086" i="4"/>
  <c r="K2087" i="4"/>
  <c r="K2088" i="4"/>
  <c r="K2089" i="4"/>
  <c r="K2090" i="4"/>
  <c r="K2091" i="4"/>
  <c r="K2093" i="4"/>
  <c r="K2094" i="4"/>
  <c r="K2095" i="4"/>
  <c r="K2096" i="4"/>
  <c r="K2097" i="4"/>
  <c r="K2098" i="4"/>
  <c r="K2113" i="4"/>
  <c r="K2115" i="4"/>
  <c r="K2116" i="4"/>
  <c r="K2117" i="4"/>
  <c r="K2118" i="4"/>
  <c r="K2119" i="4"/>
  <c r="K2120" i="4"/>
  <c r="K2121" i="4"/>
  <c r="K2122" i="4"/>
  <c r="K2123" i="4"/>
  <c r="K2125" i="4"/>
  <c r="K2127" i="4"/>
  <c r="K2129" i="4"/>
  <c r="K2130" i="4"/>
  <c r="K2132" i="4"/>
  <c r="K2134" i="4"/>
  <c r="K2136" i="4"/>
  <c r="K2138" i="4"/>
  <c r="K2140" i="4"/>
  <c r="K2142" i="4"/>
  <c r="K2143" i="4"/>
  <c r="K2144" i="4"/>
  <c r="K2147" i="4"/>
  <c r="K2149" i="4"/>
  <c r="K2151" i="4"/>
  <c r="K2153" i="4"/>
  <c r="K2155" i="4"/>
  <c r="K2157" i="4"/>
  <c r="K2158" i="4"/>
  <c r="K2159" i="4"/>
  <c r="K2161" i="4"/>
  <c r="K2163" i="4"/>
  <c r="K2173" i="4"/>
  <c r="K2183" i="4"/>
  <c r="K2184" i="4"/>
  <c r="K2194" i="4"/>
  <c r="K2196" i="4"/>
  <c r="K2198" i="4"/>
  <c r="K2199" i="4"/>
  <c r="K2203" i="4"/>
  <c r="K2205" i="4"/>
  <c r="K2207" i="4"/>
  <c r="K2209" i="4"/>
  <c r="K2211" i="4"/>
  <c r="K2213" i="4"/>
  <c r="K2214" i="4"/>
  <c r="K2215" i="4"/>
  <c r="K2218" i="4"/>
  <c r="K2220" i="4"/>
  <c r="K2229" i="4"/>
  <c r="K2231" i="4"/>
  <c r="K2233" i="4"/>
  <c r="K2235" i="4"/>
  <c r="K2237" i="4"/>
  <c r="K2239" i="4"/>
  <c r="K2240" i="4"/>
  <c r="K2241" i="4"/>
  <c r="K2242" i="4"/>
  <c r="K2243" i="4"/>
  <c r="K2244" i="4"/>
  <c r="K2245" i="4"/>
  <c r="K2246" i="4"/>
  <c r="K2247" i="4"/>
  <c r="K2248" i="4"/>
  <c r="K2249" i="4"/>
  <c r="K2250" i="4"/>
  <c r="K2252" i="4"/>
  <c r="K2254" i="4"/>
  <c r="K2256" i="4"/>
  <c r="K2257" i="4"/>
  <c r="K2258" i="4"/>
  <c r="K2259" i="4"/>
  <c r="K2260" i="4"/>
  <c r="K2261" i="4"/>
  <c r="K2262" i="4"/>
  <c r="K2263" i="4"/>
  <c r="K2264" i="4"/>
  <c r="K2265" i="4"/>
  <c r="K2266" i="4"/>
  <c r="K2267" i="4"/>
  <c r="K2268" i="4"/>
  <c r="K2270" i="4"/>
  <c r="K2271" i="4"/>
  <c r="K2272" i="4"/>
  <c r="K2273" i="4"/>
  <c r="K2274" i="4"/>
  <c r="K2275" i="4"/>
  <c r="K2276" i="4"/>
  <c r="K2278" i="4"/>
  <c r="K2280" i="4"/>
  <c r="K2282" i="4"/>
  <c r="K2284" i="4"/>
  <c r="K2286" i="4"/>
  <c r="K2288" i="4"/>
  <c r="K2290" i="4"/>
  <c r="K2292" i="4"/>
  <c r="K2294" i="4"/>
  <c r="K2296" i="4"/>
  <c r="K2298" i="4"/>
  <c r="K2300" i="4"/>
  <c r="K2302" i="4"/>
  <c r="K2303" i="4"/>
  <c r="K2306" i="4"/>
  <c r="K2309" i="4"/>
  <c r="K2312" i="4"/>
  <c r="K2316" i="4"/>
  <c r="K2317" i="4"/>
  <c r="K2320" i="4"/>
  <c r="K2322" i="4"/>
  <c r="K2324" i="4"/>
  <c r="K2326" i="4"/>
  <c r="K2327" i="4"/>
  <c r="K2328" i="4"/>
  <c r="K2330" i="4"/>
  <c r="K2334" i="4"/>
  <c r="K2336" i="4"/>
  <c r="K2337" i="4"/>
  <c r="K2338" i="4"/>
  <c r="K2340" i="4"/>
  <c r="K2342" i="4"/>
  <c r="K2346" i="4"/>
  <c r="K2351" i="4"/>
  <c r="K2356" i="4"/>
  <c r="K2359" i="4"/>
  <c r="K2361" i="4"/>
  <c r="K2364" i="4"/>
  <c r="K2366" i="4"/>
  <c r="K2369" i="4"/>
  <c r="K2371" i="4"/>
  <c r="K2373" i="4"/>
  <c r="K2374" i="4"/>
  <c r="K2375" i="4"/>
  <c r="K2377" i="4"/>
  <c r="K2379" i="4"/>
  <c r="K2382" i="4"/>
  <c r="K2383" i="4"/>
  <c r="K2386" i="4"/>
  <c r="K2390" i="4"/>
  <c r="K2393" i="4"/>
  <c r="K2394" i="4"/>
  <c r="K2395" i="4"/>
  <c r="K2396" i="4"/>
  <c r="K2397" i="4"/>
  <c r="K2398" i="4"/>
  <c r="K2400" i="4"/>
  <c r="K2403" i="4"/>
  <c r="K2405" i="4"/>
  <c r="K2406" i="4"/>
  <c r="K2410" i="4"/>
  <c r="K2412" i="4"/>
  <c r="K2416" i="4"/>
  <c r="K2419" i="4"/>
  <c r="K2423" i="4"/>
  <c r="K2424" i="4"/>
  <c r="K2425" i="4"/>
  <c r="K2427" i="4"/>
  <c r="K2429" i="4"/>
  <c r="K2430" i="4"/>
  <c r="K2434" i="4"/>
  <c r="K2436" i="4"/>
  <c r="K2438" i="4"/>
  <c r="K2440" i="4"/>
  <c r="K2441" i="4"/>
  <c r="K2442" i="4"/>
  <c r="K2444" i="4"/>
  <c r="K2446" i="4"/>
  <c r="K2447" i="4"/>
  <c r="K2448" i="4"/>
  <c r="K2451" i="4"/>
  <c r="K2455" i="4"/>
  <c r="K2458" i="4"/>
  <c r="K2460" i="4"/>
  <c r="K2463" i="4"/>
  <c r="K2473" i="4"/>
  <c r="K2475" i="4"/>
  <c r="K2477" i="4"/>
  <c r="K2480" i="4"/>
  <c r="K2482" i="4"/>
  <c r="K2484" i="4"/>
  <c r="K2486" i="4"/>
  <c r="K2488" i="4"/>
  <c r="K2490" i="4"/>
  <c r="K2492" i="4"/>
  <c r="K2495" i="4"/>
  <c r="K2496" i="4"/>
  <c r="K2499" i="4"/>
  <c r="D2897" i="4"/>
  <c r="G892" i="1"/>
  <c r="K2502" i="4"/>
  <c r="G691" i="1"/>
  <c r="G688" i="1"/>
  <c r="G638" i="1"/>
  <c r="H631" i="1"/>
  <c r="G631" i="1"/>
  <c r="D2315" i="4"/>
  <c r="I2316" i="4" s="1"/>
  <c r="H488" i="1"/>
  <c r="D1835" i="4"/>
  <c r="A919" i="1"/>
  <c r="H916" i="1"/>
  <c r="I916" i="1"/>
  <c r="K916" i="1"/>
  <c r="L916" i="1"/>
  <c r="M916" i="1"/>
  <c r="O916" i="1"/>
  <c r="G916" i="1"/>
  <c r="D3205" i="4"/>
  <c r="I3221" i="4"/>
  <c r="I3220" i="4"/>
  <c r="I3219" i="4"/>
  <c r="I3218" i="4"/>
  <c r="K3217" i="4"/>
  <c r="I3216" i="4"/>
  <c r="J3216" i="4" s="1"/>
  <c r="I3215" i="4"/>
  <c r="J3215" i="4" s="1"/>
  <c r="K3214" i="4"/>
  <c r="K3213" i="4" s="1"/>
  <c r="Q918" i="1" s="1"/>
  <c r="I3212" i="4"/>
  <c r="J3212" i="4" s="1"/>
  <c r="I3211" i="4"/>
  <c r="J3211" i="4" s="1"/>
  <c r="K3210" i="4"/>
  <c r="I3210" i="4" s="1"/>
  <c r="J3210" i="4" s="1"/>
  <c r="I3209" i="4"/>
  <c r="J3209" i="4" s="1"/>
  <c r="I3208" i="4"/>
  <c r="J3208" i="4" s="1"/>
  <c r="K3207" i="4"/>
  <c r="A3217" i="4"/>
  <c r="J1841" i="4" l="1"/>
  <c r="D1670" i="4"/>
  <c r="J2908" i="4"/>
  <c r="J2945" i="4"/>
  <c r="J3123" i="4"/>
  <c r="J2907" i="4"/>
  <c r="J2946" i="4"/>
  <c r="J3124" i="4"/>
  <c r="K2494" i="4"/>
  <c r="K2489" i="4"/>
  <c r="K2485" i="4"/>
  <c r="K2481" i="4"/>
  <c r="K2476" i="4"/>
  <c r="K2472" i="4"/>
  <c r="K2462" i="4"/>
  <c r="K2457" i="4"/>
  <c r="I2444" i="4"/>
  <c r="I2443" i="4" s="1"/>
  <c r="K2437" i="4"/>
  <c r="K2433" i="4"/>
  <c r="I2429" i="4"/>
  <c r="I2428" i="4" s="1"/>
  <c r="I2425" i="4"/>
  <c r="J2425" i="4" s="1"/>
  <c r="K2415" i="4"/>
  <c r="K2409" i="4"/>
  <c r="K2404" i="4"/>
  <c r="K2399" i="4"/>
  <c r="K2381" i="4"/>
  <c r="K2376" i="4"/>
  <c r="K2370" i="4"/>
  <c r="K2365" i="4"/>
  <c r="I2361" i="4"/>
  <c r="J2361" i="4" s="1"/>
  <c r="I2356" i="4"/>
  <c r="K2339" i="4"/>
  <c r="K2333" i="4"/>
  <c r="I2328" i="4"/>
  <c r="I2326" i="4"/>
  <c r="K2321" i="4"/>
  <c r="K2301" i="4"/>
  <c r="K2297" i="4"/>
  <c r="K2293" i="4"/>
  <c r="K2289" i="4"/>
  <c r="K2285" i="4"/>
  <c r="K2281" i="4"/>
  <c r="K2277" i="4"/>
  <c r="K2236" i="4"/>
  <c r="K2232" i="4"/>
  <c r="K2228" i="4"/>
  <c r="I2220" i="4"/>
  <c r="J2220" i="4" s="1"/>
  <c r="K2208" i="4"/>
  <c r="K2204" i="4"/>
  <c r="K2195" i="4"/>
  <c r="K2164" i="4"/>
  <c r="K2160" i="4"/>
  <c r="I2158" i="4"/>
  <c r="J2158" i="4" s="1"/>
  <c r="K2154" i="4"/>
  <c r="K2150" i="4"/>
  <c r="K2146" i="4"/>
  <c r="K2139" i="4"/>
  <c r="K2135" i="4"/>
  <c r="K2131" i="4"/>
  <c r="K2124" i="4"/>
  <c r="K2112" i="4"/>
  <c r="K2083" i="4"/>
  <c r="K2079" i="4"/>
  <c r="K2067" i="4"/>
  <c r="K2063" i="4"/>
  <c r="K2059" i="4"/>
  <c r="K2025" i="4"/>
  <c r="I2013" i="4"/>
  <c r="J2013" i="4" s="1"/>
  <c r="K1982" i="4"/>
  <c r="K1966" i="4"/>
  <c r="I1962" i="4"/>
  <c r="J1962" i="4" s="1"/>
  <c r="I1960" i="4"/>
  <c r="I1952" i="4"/>
  <c r="J1952" i="4" s="1"/>
  <c r="K1934" i="4"/>
  <c r="K1930" i="4"/>
  <c r="I1923" i="4"/>
  <c r="J1923" i="4" s="1"/>
  <c r="I1903" i="4"/>
  <c r="I1900" i="4"/>
  <c r="I1899" i="4" s="1"/>
  <c r="I1897" i="4"/>
  <c r="J1897" i="4" s="1"/>
  <c r="K1893" i="4"/>
  <c r="I1887" i="4"/>
  <c r="K1883" i="4"/>
  <c r="I1869" i="4"/>
  <c r="J1869" i="4" s="1"/>
  <c r="I1867" i="4"/>
  <c r="K1854" i="4"/>
  <c r="I1845" i="4"/>
  <c r="J1845" i="4" s="1"/>
  <c r="K1823" i="4"/>
  <c r="K1818" i="4"/>
  <c r="K1813" i="4"/>
  <c r="K1794" i="4"/>
  <c r="K1789" i="4"/>
  <c r="K1778" i="4"/>
  <c r="I1714" i="4"/>
  <c r="K1710" i="4"/>
  <c r="I1700" i="4"/>
  <c r="J1700" i="4" s="1"/>
  <c r="I1698" i="4"/>
  <c r="J1698" i="4" s="1"/>
  <c r="I1678" i="4"/>
  <c r="K2501" i="4"/>
  <c r="K2491" i="4"/>
  <c r="K2487" i="4"/>
  <c r="K2483" i="4"/>
  <c r="K2479" i="4"/>
  <c r="K2474" i="4"/>
  <c r="K2459" i="4"/>
  <c r="K2454" i="4"/>
  <c r="I2446" i="4"/>
  <c r="J2446" i="4" s="1"/>
  <c r="I2442" i="4"/>
  <c r="J2442" i="4" s="1"/>
  <c r="K2435" i="4"/>
  <c r="K2426" i="4"/>
  <c r="I2424" i="4"/>
  <c r="K2402" i="4"/>
  <c r="K2389" i="4"/>
  <c r="K2378" i="4"/>
  <c r="K2363" i="4"/>
  <c r="I2359" i="4"/>
  <c r="K2350" i="4"/>
  <c r="K2329" i="4"/>
  <c r="I2327" i="4"/>
  <c r="J2327" i="4" s="1"/>
  <c r="K2323" i="4"/>
  <c r="K2319" i="4"/>
  <c r="K2315" i="4"/>
  <c r="K2299" i="4"/>
  <c r="K2295" i="4"/>
  <c r="K2291" i="4"/>
  <c r="K2287" i="4"/>
  <c r="K2283" i="4"/>
  <c r="K2279" i="4"/>
  <c r="I2270" i="4"/>
  <c r="I2269" i="4" s="1"/>
  <c r="K2251" i="4"/>
  <c r="K2234" i="4"/>
  <c r="K2230" i="4"/>
  <c r="K2217" i="4"/>
  <c r="K2210" i="4"/>
  <c r="K2206" i="4"/>
  <c r="K2202" i="4"/>
  <c r="K2197" i="4"/>
  <c r="K2193" i="4"/>
  <c r="K2174" i="4"/>
  <c r="K2162" i="4"/>
  <c r="I2159" i="4"/>
  <c r="J2159" i="4" s="1"/>
  <c r="I2157" i="4"/>
  <c r="J2157" i="4" s="1"/>
  <c r="K2152" i="4"/>
  <c r="K2148" i="4"/>
  <c r="K2137" i="4"/>
  <c r="K2133" i="4"/>
  <c r="I2130" i="4"/>
  <c r="J2130" i="4" s="1"/>
  <c r="K2126" i="4"/>
  <c r="K2081" i="4"/>
  <c r="K2077" i="4"/>
  <c r="K2065" i="4"/>
  <c r="K2061" i="4"/>
  <c r="I2035" i="4"/>
  <c r="I2034" i="4" s="1"/>
  <c r="I2032" i="4"/>
  <c r="K2018" i="4"/>
  <c r="I2014" i="4"/>
  <c r="I2012" i="4"/>
  <c r="I2011" i="4" s="1"/>
  <c r="K1984" i="4"/>
  <c r="I1961" i="4"/>
  <c r="J1961" i="4" s="1"/>
  <c r="I1951" i="4"/>
  <c r="K1947" i="4"/>
  <c r="K1942" i="4"/>
  <c r="K1932" i="4"/>
  <c r="I1924" i="4"/>
  <c r="I1904" i="4"/>
  <c r="I1898" i="4"/>
  <c r="I1896" i="4"/>
  <c r="J1896" i="4" s="1"/>
  <c r="K1890" i="4"/>
  <c r="I1886" i="4"/>
  <c r="K1881" i="4"/>
  <c r="I1868" i="4"/>
  <c r="J1868" i="4" s="1"/>
  <c r="K1846" i="4"/>
  <c r="K1833" i="4"/>
  <c r="K1791" i="4"/>
  <c r="K1770" i="4"/>
  <c r="K1758" i="4"/>
  <c r="I1739" i="4"/>
  <c r="I1734" i="4"/>
  <c r="K1730" i="4"/>
  <c r="K1725" i="4"/>
  <c r="I1713" i="4"/>
  <c r="I1712" i="4" s="1"/>
  <c r="K1708" i="4"/>
  <c r="I1704" i="4"/>
  <c r="J1704" i="4" s="1"/>
  <c r="I1702" i="4"/>
  <c r="J1702" i="4" s="1"/>
  <c r="I1696" i="4"/>
  <c r="I1679" i="4"/>
  <c r="I1722" i="4"/>
  <c r="J1927" i="4"/>
  <c r="J2124" i="4"/>
  <c r="J1758" i="4"/>
  <c r="J2022" i="4"/>
  <c r="J2299" i="4"/>
  <c r="J2404" i="4"/>
  <c r="J2426" i="4"/>
  <c r="J2474" i="4"/>
  <c r="J2479" i="4"/>
  <c r="J2489" i="4"/>
  <c r="J2494" i="4"/>
  <c r="I1995" i="4"/>
  <c r="J2010" i="4"/>
  <c r="I1767" i="4"/>
  <c r="I2005" i="4"/>
  <c r="I1843" i="4"/>
  <c r="K1842" i="4"/>
  <c r="J2004" i="4"/>
  <c r="J2006" i="4"/>
  <c r="J2007" i="4"/>
  <c r="J1675" i="4"/>
  <c r="J1692" i="4"/>
  <c r="J1706" i="4"/>
  <c r="J1721" i="4"/>
  <c r="J1728" i="4"/>
  <c r="J1769" i="4"/>
  <c r="J1773" i="4"/>
  <c r="J1776" i="4"/>
  <c r="J1781" i="4"/>
  <c r="J1787" i="4"/>
  <c r="J1797" i="4"/>
  <c r="J1800" i="4"/>
  <c r="J1817" i="4"/>
  <c r="J1821" i="4"/>
  <c r="J1852" i="4"/>
  <c r="J1860" i="4"/>
  <c r="J1862" i="4"/>
  <c r="J1871" i="4"/>
  <c r="J1879" i="4"/>
  <c r="J1940" i="4"/>
  <c r="J1946" i="4"/>
  <c r="J1950" i="4"/>
  <c r="J1957" i="4"/>
  <c r="J1970" i="4"/>
  <c r="J1972" i="4"/>
  <c r="J1974" i="4"/>
  <c r="J1988" i="4"/>
  <c r="J1993" i="4"/>
  <c r="J1997" i="4"/>
  <c r="J2003" i="4"/>
  <c r="J2009" i="4"/>
  <c r="J2017" i="4"/>
  <c r="J2153" i="4"/>
  <c r="J2165" i="4"/>
  <c r="J2167" i="4"/>
  <c r="J2169" i="4"/>
  <c r="J2171" i="4"/>
  <c r="J2200" i="4"/>
  <c r="J2288" i="4"/>
  <c r="J2314" i="4"/>
  <c r="J2380" i="4"/>
  <c r="J2387" i="4"/>
  <c r="J2401" i="4"/>
  <c r="J2407" i="4"/>
  <c r="J2410" i="4"/>
  <c r="J2420" i="4"/>
  <c r="J2432" i="4"/>
  <c r="J2453" i="4"/>
  <c r="J2456" i="4"/>
  <c r="J2477" i="4"/>
  <c r="J2486" i="4"/>
  <c r="J2492" i="4"/>
  <c r="J2497" i="4"/>
  <c r="J2500" i="4"/>
  <c r="I2921" i="4"/>
  <c r="J2920" i="4"/>
  <c r="J2965" i="4"/>
  <c r="I2968" i="4"/>
  <c r="J3133" i="4"/>
  <c r="J3135" i="4"/>
  <c r="J3141" i="4"/>
  <c r="J3145" i="4"/>
  <c r="J1676" i="4"/>
  <c r="J1685" i="4"/>
  <c r="J1693" i="4"/>
  <c r="J1707" i="4"/>
  <c r="J1717" i="4"/>
  <c r="J1720" i="4"/>
  <c r="I1727" i="4"/>
  <c r="J1729" i="4"/>
  <c r="J1768" i="4"/>
  <c r="I1780" i="4"/>
  <c r="J1782" i="4"/>
  <c r="J1785" i="4"/>
  <c r="J1788" i="4"/>
  <c r="J1798" i="4"/>
  <c r="J1822" i="4"/>
  <c r="J1850" i="4"/>
  <c r="J1857" i="4"/>
  <c r="J1859" i="4"/>
  <c r="J1861" i="4"/>
  <c r="J1872" i="4"/>
  <c r="J1880" i="4"/>
  <c r="J1938" i="4"/>
  <c r="J1941" i="4"/>
  <c r="J1945" i="4"/>
  <c r="I1956" i="4"/>
  <c r="J1958" i="4"/>
  <c r="J1969" i="4"/>
  <c r="J1971" i="4"/>
  <c r="J1973" i="4"/>
  <c r="J1987" i="4"/>
  <c r="J1996" i="4"/>
  <c r="I1998" i="4"/>
  <c r="J1999" i="4"/>
  <c r="J2000" i="4"/>
  <c r="J2001" i="4"/>
  <c r="J2002" i="4"/>
  <c r="I2008" i="4"/>
  <c r="J2113" i="4"/>
  <c r="J2134" i="4"/>
  <c r="J2147" i="4"/>
  <c r="J2151" i="4"/>
  <c r="J2201" i="4"/>
  <c r="J2235" i="4"/>
  <c r="J2278" i="4"/>
  <c r="J2304" i="4"/>
  <c r="J2307" i="4"/>
  <c r="J2310" i="4"/>
  <c r="J2313" i="4"/>
  <c r="J2351" i="4"/>
  <c r="J2379" i="4"/>
  <c r="J2385" i="4"/>
  <c r="J2388" i="4"/>
  <c r="J2391" i="4"/>
  <c r="J2408" i="4"/>
  <c r="J2411" i="4"/>
  <c r="I2419" i="4"/>
  <c r="I2430" i="4"/>
  <c r="J2434" i="4"/>
  <c r="J2455" i="4"/>
  <c r="J2484" i="4"/>
  <c r="J2488" i="4"/>
  <c r="J2969" i="4"/>
  <c r="I3029" i="4"/>
  <c r="I3035" i="4"/>
  <c r="J3067" i="4"/>
  <c r="J3103" i="4"/>
  <c r="J3106" i="4"/>
  <c r="J3132" i="4"/>
  <c r="J3136" i="4"/>
  <c r="J3142" i="4"/>
  <c r="J3144" i="4"/>
  <c r="J2336" i="4"/>
  <c r="J3218" i="4"/>
  <c r="J3220" i="4"/>
  <c r="J2012" i="4"/>
  <c r="J1904" i="4"/>
  <c r="J1886" i="4"/>
  <c r="J1739" i="4"/>
  <c r="J1696" i="4"/>
  <c r="J1673" i="4"/>
  <c r="J1682" i="4"/>
  <c r="J1687" i="4"/>
  <c r="J1711" i="4"/>
  <c r="J1724" i="4"/>
  <c r="J1738" i="4"/>
  <c r="J1741" i="4"/>
  <c r="J1763" i="4"/>
  <c r="J1765" i="4"/>
  <c r="J1779" i="4"/>
  <c r="J1790" i="4"/>
  <c r="J1793" i="4"/>
  <c r="J1802" i="4"/>
  <c r="J1804" i="4"/>
  <c r="J1811" i="4"/>
  <c r="J1832" i="4"/>
  <c r="J1855" i="4"/>
  <c r="J1874" i="4"/>
  <c r="J1882" i="4"/>
  <c r="J1888" i="4"/>
  <c r="J1891" i="4"/>
  <c r="J1901" i="4"/>
  <c r="J1915" i="4"/>
  <c r="J1917" i="4"/>
  <c r="J1921" i="4"/>
  <c r="J1928" i="4"/>
  <c r="J1931" i="4"/>
  <c r="J1935" i="4"/>
  <c r="J1948" i="4"/>
  <c r="J1954" i="4"/>
  <c r="J1967" i="4"/>
  <c r="J1985" i="4"/>
  <c r="J1991" i="4"/>
  <c r="J2019" i="4"/>
  <c r="J2024" i="4"/>
  <c r="J2036" i="4"/>
  <c r="J2041" i="4"/>
  <c r="J2055" i="4"/>
  <c r="J2060" i="4"/>
  <c r="J2064" i="4"/>
  <c r="J2068" i="4"/>
  <c r="J2132" i="4"/>
  <c r="J2136" i="4"/>
  <c r="J2140" i="4"/>
  <c r="J2155" i="4"/>
  <c r="J2183" i="4"/>
  <c r="J2194" i="4"/>
  <c r="J2198" i="4"/>
  <c r="J2205" i="4"/>
  <c r="J2209" i="4"/>
  <c r="J2231" i="4"/>
  <c r="J2282" i="4"/>
  <c r="J2286" i="4"/>
  <c r="J2290" i="4"/>
  <c r="J2294" i="4"/>
  <c r="J2298" i="4"/>
  <c r="J2330" i="4"/>
  <c r="J2338" i="4"/>
  <c r="J2343" i="4"/>
  <c r="J2345" i="4"/>
  <c r="J2357" i="4"/>
  <c r="J2362" i="4"/>
  <c r="J2366" i="4"/>
  <c r="J2371" i="4"/>
  <c r="J2417" i="4"/>
  <c r="J2450" i="4"/>
  <c r="J2463" i="4"/>
  <c r="J2482" i="4"/>
  <c r="J2900" i="4"/>
  <c r="J2902" i="4"/>
  <c r="J2906" i="4"/>
  <c r="J2910" i="4"/>
  <c r="J2912" i="4"/>
  <c r="J2916" i="4"/>
  <c r="J2918" i="4"/>
  <c r="J2925" i="4"/>
  <c r="J2937" i="4"/>
  <c r="J2943" i="4"/>
  <c r="J2947" i="4"/>
  <c r="J2949" i="4"/>
  <c r="J2953" i="4"/>
  <c r="J2955" i="4"/>
  <c r="J2957" i="4"/>
  <c r="J2963" i="4"/>
  <c r="J2970" i="4"/>
  <c r="J2972" i="4"/>
  <c r="J2976" i="4"/>
  <c r="J2978" i="4"/>
  <c r="J2982" i="4"/>
  <c r="J2984" i="4"/>
  <c r="J2986" i="4"/>
  <c r="J2990" i="4"/>
  <c r="J2992" i="4"/>
  <c r="J2996" i="4"/>
  <c r="J2998" i="4"/>
  <c r="J3002" i="4"/>
  <c r="J3004" i="4"/>
  <c r="J3006" i="4"/>
  <c r="J3008" i="4"/>
  <c r="J3012" i="4"/>
  <c r="J3014" i="4"/>
  <c r="J3016" i="4"/>
  <c r="J3020" i="4"/>
  <c r="J3022" i="4"/>
  <c r="J3026" i="4"/>
  <c r="J3032" i="4"/>
  <c r="J3038" i="4"/>
  <c r="J3040" i="4"/>
  <c r="J3044" i="4"/>
  <c r="J3046" i="4"/>
  <c r="J3050" i="4"/>
  <c r="J3052" i="4"/>
  <c r="J3056" i="4"/>
  <c r="J3058" i="4"/>
  <c r="J3062" i="4"/>
  <c r="J3064" i="4"/>
  <c r="J3070" i="4"/>
  <c r="J3074" i="4"/>
  <c r="J3076" i="4"/>
  <c r="J3078" i="4"/>
  <c r="J3080" i="4"/>
  <c r="J3084" i="4"/>
  <c r="J3086" i="4"/>
  <c r="J3090" i="4"/>
  <c r="J3092" i="4"/>
  <c r="J3094" i="4"/>
  <c r="J3098" i="4"/>
  <c r="J3100" i="4"/>
  <c r="J3109" i="4"/>
  <c r="J3115" i="4"/>
  <c r="J3119" i="4"/>
  <c r="J3121" i="4"/>
  <c r="J3129" i="4"/>
  <c r="J3147" i="4"/>
  <c r="J3219" i="4"/>
  <c r="J3221" i="4"/>
  <c r="J2328" i="4"/>
  <c r="J2033" i="4"/>
  <c r="J1960" i="4"/>
  <c r="J1900" i="4"/>
  <c r="J1672" i="4"/>
  <c r="J1681" i="4"/>
  <c r="J1683" i="4"/>
  <c r="J1686" i="4"/>
  <c r="J1709" i="4"/>
  <c r="J1715" i="4"/>
  <c r="J1726" i="4"/>
  <c r="J1731" i="4"/>
  <c r="J1740" i="4"/>
  <c r="J1744" i="4"/>
  <c r="J1751" i="4"/>
  <c r="J1762" i="4"/>
  <c r="J1766" i="4"/>
  <c r="J1771" i="4"/>
  <c r="J1792" i="4"/>
  <c r="J1795" i="4"/>
  <c r="J1801" i="4"/>
  <c r="J1808" i="4"/>
  <c r="J1819" i="4"/>
  <c r="J1825" i="4"/>
  <c r="J1827" i="4"/>
  <c r="J1829" i="4"/>
  <c r="J1834" i="4"/>
  <c r="J1884" i="4"/>
  <c r="J1892" i="4"/>
  <c r="J1910" i="4"/>
  <c r="J1912" i="4"/>
  <c r="J1914" i="4"/>
  <c r="J1918" i="4"/>
  <c r="J1920" i="4"/>
  <c r="J1929" i="4"/>
  <c r="J1933" i="4"/>
  <c r="J1943" i="4"/>
  <c r="J1955" i="4"/>
  <c r="J1983" i="4"/>
  <c r="J2021" i="4"/>
  <c r="J2023" i="4"/>
  <c r="J2026" i="4"/>
  <c r="J2029" i="4"/>
  <c r="J2044" i="4"/>
  <c r="J2053" i="4"/>
  <c r="J2056" i="4"/>
  <c r="J2062" i="4"/>
  <c r="J2066" i="4"/>
  <c r="J2071" i="4"/>
  <c r="J2127" i="4"/>
  <c r="J2138" i="4"/>
  <c r="J2149" i="4"/>
  <c r="J2173" i="4"/>
  <c r="J2196" i="4"/>
  <c r="J2203" i="4"/>
  <c r="J2207" i="4"/>
  <c r="J2211" i="4"/>
  <c r="J2218" i="4"/>
  <c r="J2229" i="4"/>
  <c r="J2233" i="4"/>
  <c r="J2237" i="4"/>
  <c r="J2252" i="4"/>
  <c r="J2280" i="4"/>
  <c r="J2284" i="4"/>
  <c r="J2292" i="4"/>
  <c r="J2296" i="4"/>
  <c r="J2302" i="4"/>
  <c r="J2331" i="4"/>
  <c r="J2337" i="4"/>
  <c r="J2344" i="4"/>
  <c r="J2349" i="4"/>
  <c r="J2354" i="4"/>
  <c r="J2360" i="4"/>
  <c r="J2364" i="4"/>
  <c r="J2377" i="4"/>
  <c r="J2416" i="4"/>
  <c r="J2418" i="4"/>
  <c r="J2449" i="4"/>
  <c r="J2461" i="4"/>
  <c r="J2473" i="4"/>
  <c r="J2498" i="4"/>
  <c r="J2502" i="4"/>
  <c r="J2899" i="4"/>
  <c r="J2903" i="4"/>
  <c r="J2905" i="4"/>
  <c r="J2909" i="4"/>
  <c r="J2924" i="4"/>
  <c r="J2926" i="4"/>
  <c r="J2928" i="4"/>
  <c r="J2932" i="4"/>
  <c r="J2934" i="4"/>
  <c r="J2938" i="4"/>
  <c r="J2940" i="4"/>
  <c r="J2944" i="4"/>
  <c r="J2948" i="4"/>
  <c r="J2950" i="4"/>
  <c r="J2952" i="4"/>
  <c r="J2956" i="4"/>
  <c r="J2958" i="4"/>
  <c r="J2960" i="4"/>
  <c r="J2962" i="4"/>
  <c r="J2966" i="4"/>
  <c r="J2975" i="4"/>
  <c r="J2981" i="4"/>
  <c r="J2983" i="4"/>
  <c r="J2989" i="4"/>
  <c r="J2993" i="4"/>
  <c r="J2995" i="4"/>
  <c r="J3001" i="4"/>
  <c r="J3003" i="4"/>
  <c r="J3005" i="4"/>
  <c r="J3017" i="4"/>
  <c r="J3023" i="4"/>
  <c r="J3061" i="4"/>
  <c r="J3065" i="4"/>
  <c r="J3071" i="4"/>
  <c r="J3073" i="4"/>
  <c r="J3077" i="4"/>
  <c r="J3079" i="4"/>
  <c r="J3081" i="4"/>
  <c r="J3083" i="4"/>
  <c r="J3087" i="4"/>
  <c r="J3089" i="4"/>
  <c r="J3091" i="4"/>
  <c r="J3097" i="4"/>
  <c r="J3110" i="4"/>
  <c r="J3112" i="4"/>
  <c r="J3116" i="4"/>
  <c r="J3118" i="4"/>
  <c r="J3122" i="4"/>
  <c r="J3126" i="4"/>
  <c r="J3130" i="4"/>
  <c r="J3138" i="4"/>
  <c r="J3148" i="4"/>
  <c r="I2415" i="4"/>
  <c r="I1778" i="4"/>
  <c r="K2428" i="4"/>
  <c r="K1799" i="4"/>
  <c r="I1796" i="4"/>
  <c r="I1818" i="4"/>
  <c r="I1820" i="4"/>
  <c r="I1939" i="4"/>
  <c r="I1944" i="4"/>
  <c r="I1968" i="4"/>
  <c r="I2991" i="4"/>
  <c r="I3143" i="4"/>
  <c r="K2074" i="4"/>
  <c r="K1863" i="4"/>
  <c r="I1691" i="4"/>
  <c r="I1786" i="4"/>
  <c r="I1851" i="4"/>
  <c r="I1878" i="4"/>
  <c r="I1953" i="4"/>
  <c r="J2085" i="4"/>
  <c r="I2112" i="4"/>
  <c r="I2133" i="4"/>
  <c r="I2146" i="4"/>
  <c r="I2148" i="4"/>
  <c r="I2150" i="4"/>
  <c r="I2152" i="4"/>
  <c r="I2199" i="4"/>
  <c r="I2312" i="4"/>
  <c r="I2346" i="4"/>
  <c r="I2378" i="4"/>
  <c r="I2386" i="4"/>
  <c r="I2454" i="4"/>
  <c r="I2499" i="4"/>
  <c r="I2901" i="4"/>
  <c r="I3021" i="4"/>
  <c r="I3131" i="4"/>
  <c r="J1689" i="4"/>
  <c r="I1688" i="4"/>
  <c r="J1816" i="4"/>
  <c r="I1815" i="4"/>
  <c r="J1937" i="4"/>
  <c r="I1936" i="4"/>
  <c r="I1986" i="4"/>
  <c r="J2078" i="4"/>
  <c r="I2077" i="4"/>
  <c r="J2082" i="4"/>
  <c r="I2081" i="4"/>
  <c r="J2161" i="4"/>
  <c r="I2160" i="4"/>
  <c r="J2382" i="4"/>
  <c r="I2381" i="4"/>
  <c r="J2390" i="4"/>
  <c r="I2389" i="4"/>
  <c r="J2413" i="4"/>
  <c r="I2412" i="4"/>
  <c r="J2452" i="4"/>
  <c r="I2451" i="4"/>
  <c r="J2935" i="4"/>
  <c r="I2933" i="4"/>
  <c r="J3009" i="4"/>
  <c r="I3007" i="4"/>
  <c r="J3068" i="4"/>
  <c r="I3066" i="4"/>
  <c r="J3107" i="4"/>
  <c r="I3105" i="4"/>
  <c r="K2443" i="4"/>
  <c r="K2355" i="4"/>
  <c r="K2219" i="4"/>
  <c r="K1909" i="4"/>
  <c r="I1705" i="4"/>
  <c r="J1784" i="4"/>
  <c r="I1783" i="4"/>
  <c r="J1814" i="4"/>
  <c r="I1813" i="4"/>
  <c r="J1849" i="4"/>
  <c r="I1848" i="4"/>
  <c r="I1870" i="4"/>
  <c r="J1926" i="4"/>
  <c r="I1925" i="4"/>
  <c r="J2016" i="4"/>
  <c r="I2015" i="4"/>
  <c r="J2080" i="4"/>
  <c r="I2079" i="4"/>
  <c r="J2084" i="4"/>
  <c r="I2083" i="4"/>
  <c r="J2163" i="4"/>
  <c r="I2162" i="4"/>
  <c r="I2277" i="4"/>
  <c r="I2287" i="4"/>
  <c r="J2384" i="4"/>
  <c r="I2383" i="4"/>
  <c r="J2400" i="4"/>
  <c r="I2399" i="4"/>
  <c r="I2433" i="4"/>
  <c r="J2919" i="4"/>
  <c r="J2979" i="4"/>
  <c r="I2977" i="4"/>
  <c r="J3047" i="4"/>
  <c r="I3045" i="4"/>
  <c r="J3101" i="4"/>
  <c r="I3099" i="4"/>
  <c r="K1873" i="4"/>
  <c r="K1760" i="4"/>
  <c r="K1732" i="4"/>
  <c r="K1697" i="4"/>
  <c r="K1680" i="4"/>
  <c r="K1671" i="4"/>
  <c r="J1905" i="4"/>
  <c r="J2074" i="4"/>
  <c r="J2092" i="4"/>
  <c r="J2114" i="4"/>
  <c r="J1713" i="4"/>
  <c r="J1867" i="4"/>
  <c r="I1844" i="4"/>
  <c r="K2439" i="4"/>
  <c r="I2441" i="4"/>
  <c r="K2422" i="4"/>
  <c r="K2358" i="4"/>
  <c r="K2057" i="4"/>
  <c r="I2058" i="4"/>
  <c r="J2035" i="4"/>
  <c r="J2031" i="4"/>
  <c r="K1925" i="4"/>
  <c r="K1735" i="4"/>
  <c r="I1733" i="4"/>
  <c r="I1772" i="4"/>
  <c r="I1775" i="4"/>
  <c r="I1836" i="4"/>
  <c r="I1838" i="4"/>
  <c r="I1840" i="4"/>
  <c r="I1894" i="4"/>
  <c r="K2445" i="4"/>
  <c r="I2447" i="4"/>
  <c r="J2424" i="4"/>
  <c r="K2341" i="4"/>
  <c r="I2342" i="4"/>
  <c r="K2335" i="4"/>
  <c r="J2270" i="4"/>
  <c r="K2128" i="4"/>
  <c r="I2129" i="4"/>
  <c r="K2072" i="4"/>
  <c r="K2034" i="4"/>
  <c r="K2020" i="4"/>
  <c r="K1953" i="4"/>
  <c r="K1905" i="4"/>
  <c r="K1899" i="4"/>
  <c r="K1755" i="4"/>
  <c r="K1752" i="4"/>
  <c r="K1745" i="4"/>
  <c r="K1701" i="4"/>
  <c r="K1694" i="4"/>
  <c r="K1684" i="4"/>
  <c r="K1677" i="4"/>
  <c r="I1674" i="4"/>
  <c r="I1695" i="4"/>
  <c r="I1699" i="4"/>
  <c r="I1703" i="4"/>
  <c r="I1708" i="4"/>
  <c r="I1710" i="4"/>
  <c r="I1716" i="4"/>
  <c r="I1719" i="4"/>
  <c r="I1725" i="4"/>
  <c r="I1730" i="4"/>
  <c r="I1789" i="4"/>
  <c r="I1791" i="4"/>
  <c r="J1837" i="4"/>
  <c r="J1839" i="4"/>
  <c r="I1847" i="4"/>
  <c r="I1856" i="4"/>
  <c r="J1863" i="4"/>
  <c r="I1873" i="4"/>
  <c r="I1890" i="4"/>
  <c r="I2025" i="4"/>
  <c r="J2037" i="4"/>
  <c r="I2040" i="4"/>
  <c r="J2045" i="4"/>
  <c r="I2126" i="4"/>
  <c r="J2141" i="4"/>
  <c r="I2154" i="4"/>
  <c r="I2306" i="4"/>
  <c r="J3028" i="4"/>
  <c r="J1963" i="4"/>
  <c r="I1966" i="4"/>
  <c r="I1982" i="4"/>
  <c r="I1984" i="4"/>
  <c r="I1992" i="4"/>
  <c r="J2184" i="4"/>
  <c r="I2193" i="4"/>
  <c r="I2195" i="4"/>
  <c r="J2212" i="4"/>
  <c r="I2217" i="4"/>
  <c r="I2279" i="4"/>
  <c r="I2281" i="4"/>
  <c r="I2283" i="4"/>
  <c r="I2285" i="4"/>
  <c r="I2289" i="4"/>
  <c r="I2376" i="4"/>
  <c r="I2406" i="4"/>
  <c r="I2448" i="4"/>
  <c r="I2462" i="4"/>
  <c r="I2472" i="4"/>
  <c r="I2476" i="4"/>
  <c r="I2483" i="4"/>
  <c r="I2485" i="4"/>
  <c r="I2487" i="4"/>
  <c r="I2491" i="4"/>
  <c r="I2951" i="4"/>
  <c r="J3034" i="4"/>
  <c r="J2316" i="4"/>
  <c r="I2315" i="4"/>
  <c r="J2320" i="4"/>
  <c r="I2319" i="4"/>
  <c r="J2324" i="4"/>
  <c r="I2323" i="4"/>
  <c r="J2332" i="4"/>
  <c r="I2329" i="4"/>
  <c r="I2335" i="4"/>
  <c r="J2403" i="4"/>
  <c r="I2402" i="4"/>
  <c r="J2438" i="4"/>
  <c r="I2437" i="4"/>
  <c r="J2458" i="4"/>
  <c r="I2457" i="4"/>
  <c r="J2913" i="4"/>
  <c r="I2911" i="4"/>
  <c r="J2941" i="4"/>
  <c r="I2939" i="4"/>
  <c r="J2973" i="4"/>
  <c r="I2971" i="4"/>
  <c r="J2999" i="4"/>
  <c r="I2997" i="4"/>
  <c r="J3041" i="4"/>
  <c r="I3039" i="4"/>
  <c r="J3095" i="4"/>
  <c r="I3093" i="4"/>
  <c r="J3127" i="4"/>
  <c r="I3125" i="4"/>
  <c r="I1671" i="4"/>
  <c r="I1735" i="4"/>
  <c r="J1755" i="4"/>
  <c r="I1770" i="4"/>
  <c r="I1794" i="4"/>
  <c r="I1854" i="4"/>
  <c r="I1930" i="4"/>
  <c r="I1932" i="4"/>
  <c r="I1934" i="4"/>
  <c r="I1942" i="4"/>
  <c r="I1947" i="4"/>
  <c r="I2018" i="4"/>
  <c r="I2020" i="4"/>
  <c r="J2048" i="4"/>
  <c r="I2054" i="4"/>
  <c r="I2131" i="4"/>
  <c r="I2135" i="4"/>
  <c r="I2137" i="4"/>
  <c r="I2139" i="4"/>
  <c r="I2174" i="4"/>
  <c r="J2253" i="4"/>
  <c r="I2291" i="4"/>
  <c r="I2293" i="4"/>
  <c r="I2295" i="4"/>
  <c r="I2297" i="4"/>
  <c r="J2318" i="4"/>
  <c r="I2317" i="4"/>
  <c r="J2322" i="4"/>
  <c r="I2321" i="4"/>
  <c r="J2334" i="4"/>
  <c r="I2333" i="4"/>
  <c r="J2340" i="4"/>
  <c r="I2339" i="4"/>
  <c r="J2436" i="4"/>
  <c r="I2435" i="4"/>
  <c r="J2440" i="4"/>
  <c r="J2460" i="4"/>
  <c r="I2459" i="4"/>
  <c r="I2496" i="4"/>
  <c r="J2929" i="4"/>
  <c r="I2927" i="4"/>
  <c r="J2961" i="4"/>
  <c r="I2959" i="4"/>
  <c r="J2987" i="4"/>
  <c r="I2985" i="4"/>
  <c r="J3015" i="4"/>
  <c r="I3013" i="4"/>
  <c r="J3053" i="4"/>
  <c r="I3051" i="4"/>
  <c r="J3059" i="4"/>
  <c r="I3057" i="4"/>
  <c r="I3072" i="4"/>
  <c r="I3085" i="4"/>
  <c r="J3113" i="4"/>
  <c r="I3111" i="4"/>
  <c r="I3117" i="4"/>
  <c r="J3139" i="4"/>
  <c r="I3137" i="4"/>
  <c r="J2392" i="4"/>
  <c r="K2372" i="4"/>
  <c r="K2367" i="4"/>
  <c r="K2238" i="4"/>
  <c r="K2141" i="4"/>
  <c r="K2092" i="4"/>
  <c r="K2085" i="4"/>
  <c r="K2392" i="4"/>
  <c r="K2253" i="4"/>
  <c r="K2212" i="4"/>
  <c r="K2114" i="4"/>
  <c r="I1680" i="4"/>
  <c r="I1684" i="4"/>
  <c r="J1752" i="4"/>
  <c r="I1833" i="4"/>
  <c r="I1881" i="4"/>
  <c r="I1883" i="4"/>
  <c r="I2059" i="4"/>
  <c r="I2061" i="4"/>
  <c r="I2063" i="4"/>
  <c r="I2065" i="4"/>
  <c r="I2067" i="4"/>
  <c r="I2197" i="4"/>
  <c r="J2238" i="4"/>
  <c r="I2251" i="4"/>
  <c r="J2367" i="4"/>
  <c r="J2372" i="4"/>
  <c r="I2481" i="4"/>
  <c r="I2363" i="4"/>
  <c r="I2365" i="4"/>
  <c r="I2501" i="4"/>
  <c r="I3075" i="4"/>
  <c r="I2898" i="4"/>
  <c r="I2904" i="4"/>
  <c r="J2923" i="4"/>
  <c r="I2922" i="4"/>
  <c r="J2931" i="4"/>
  <c r="I2930" i="4"/>
  <c r="J2915" i="4"/>
  <c r="I2914" i="4"/>
  <c r="I2936" i="4"/>
  <c r="I2942" i="4"/>
  <c r="I2954" i="4"/>
  <c r="J2967" i="4"/>
  <c r="I2974" i="4"/>
  <c r="I2980" i="4"/>
  <c r="I2988" i="4"/>
  <c r="I2994" i="4"/>
  <c r="I3000" i="4"/>
  <c r="J3011" i="4"/>
  <c r="I3010" i="4"/>
  <c r="J3019" i="4"/>
  <c r="I3018" i="4"/>
  <c r="J3025" i="4"/>
  <c r="I3024" i="4"/>
  <c r="J3037" i="4"/>
  <c r="I3036" i="4"/>
  <c r="J3043" i="4"/>
  <c r="I3042" i="4"/>
  <c r="J3049" i="4"/>
  <c r="I3048" i="4"/>
  <c r="J3055" i="4"/>
  <c r="I3054" i="4"/>
  <c r="J3031" i="4"/>
  <c r="I3030" i="4"/>
  <c r="I3063" i="4"/>
  <c r="I3069" i="4"/>
  <c r="I3104" i="4"/>
  <c r="I3060" i="4"/>
  <c r="I3082" i="4"/>
  <c r="I3088" i="4"/>
  <c r="I3096" i="4"/>
  <c r="I3108" i="4"/>
  <c r="I3114" i="4"/>
  <c r="I3120" i="4"/>
  <c r="I3128" i="4"/>
  <c r="I3134" i="4"/>
  <c r="I3140" i="4"/>
  <c r="I3146" i="4"/>
  <c r="J2353" i="4"/>
  <c r="I2350" i="4"/>
  <c r="I1745" i="4"/>
  <c r="I1760" i="4"/>
  <c r="I1799" i="4"/>
  <c r="I1806" i="4"/>
  <c r="I1823" i="4"/>
  <c r="I1989" i="4"/>
  <c r="I2027" i="4"/>
  <c r="I2051" i="4"/>
  <c r="I2164" i="4"/>
  <c r="I2202" i="4"/>
  <c r="I2204" i="4"/>
  <c r="I2206" i="4"/>
  <c r="I2208" i="4"/>
  <c r="I2210" i="4"/>
  <c r="I2228" i="4"/>
  <c r="I2230" i="4"/>
  <c r="I2232" i="4"/>
  <c r="I2234" i="4"/>
  <c r="I2236" i="4"/>
  <c r="I2301" i="4"/>
  <c r="I2303" i="4"/>
  <c r="I2309" i="4"/>
  <c r="I2370" i="4"/>
  <c r="I2409" i="4"/>
  <c r="K2269" i="4"/>
  <c r="K2030" i="4"/>
  <c r="K2011" i="4"/>
  <c r="K1949" i="4"/>
  <c r="K1902" i="4"/>
  <c r="K1895" i="4"/>
  <c r="K1844" i="4"/>
  <c r="K2325" i="4"/>
  <c r="K2156" i="4"/>
  <c r="K1959" i="4"/>
  <c r="K1885" i="4"/>
  <c r="K1866" i="4"/>
  <c r="K1806" i="4"/>
  <c r="K1712" i="4"/>
  <c r="K3206" i="4"/>
  <c r="Q917" i="1" s="1"/>
  <c r="I3214" i="4"/>
  <c r="J3214" i="4" s="1"/>
  <c r="J3213" i="4" s="1"/>
  <c r="I3207" i="4"/>
  <c r="J3207" i="4" s="1"/>
  <c r="J3206" i="4" s="1"/>
  <c r="I3217" i="4"/>
  <c r="J2429" i="4" l="1"/>
  <c r="I1885" i="4"/>
  <c r="I1902" i="4"/>
  <c r="J1734" i="4"/>
  <c r="I2355" i="4"/>
  <c r="J2444" i="4"/>
  <c r="I2219" i="4"/>
  <c r="I2030" i="4"/>
  <c r="I2156" i="4"/>
  <c r="J2014" i="4"/>
  <c r="J2011" i="4" s="1"/>
  <c r="I1677" i="4"/>
  <c r="I2358" i="4"/>
  <c r="I2325" i="4"/>
  <c r="I1949" i="4"/>
  <c r="J1903" i="4"/>
  <c r="J1902" i="4" s="1"/>
  <c r="J1924" i="4"/>
  <c r="J1909" i="4" s="1"/>
  <c r="J2359" i="4"/>
  <c r="I1909" i="4"/>
  <c r="J2356" i="4"/>
  <c r="J2326" i="4"/>
  <c r="J2325" i="4" s="1"/>
  <c r="I1959" i="4"/>
  <c r="I1895" i="4"/>
  <c r="I2422" i="4"/>
  <c r="I1866" i="4"/>
  <c r="J1898" i="4"/>
  <c r="J1895" i="4" s="1"/>
  <c r="J1951" i="4"/>
  <c r="J1949" i="4" s="1"/>
  <c r="J2032" i="4"/>
  <c r="J2030" i="4" s="1"/>
  <c r="J2378" i="4"/>
  <c r="J1678" i="4"/>
  <c r="J1714" i="4"/>
  <c r="J1712" i="4" s="1"/>
  <c r="J1887" i="4"/>
  <c r="J3099" i="4"/>
  <c r="J3045" i="4"/>
  <c r="J2977" i="4"/>
  <c r="I3033" i="4"/>
  <c r="I3027" i="4"/>
  <c r="J2921" i="4"/>
  <c r="J2917" i="4" s="1"/>
  <c r="J2951" i="4"/>
  <c r="J2936" i="4"/>
  <c r="J2968" i="4"/>
  <c r="J2964" i="4" s="1"/>
  <c r="J1679" i="4"/>
  <c r="J2435" i="4"/>
  <c r="J2339" i="4"/>
  <c r="J2333" i="4"/>
  <c r="J2321" i="4"/>
  <c r="J2317" i="4"/>
  <c r="J443" i="1"/>
  <c r="N443" i="1" s="1"/>
  <c r="J2323" i="4"/>
  <c r="J2319" i="4"/>
  <c r="J2315" i="4"/>
  <c r="I1694" i="4"/>
  <c r="Q443" i="1"/>
  <c r="J2422" i="4"/>
  <c r="J1844" i="4"/>
  <c r="J2162" i="4"/>
  <c r="J2083" i="4"/>
  <c r="J2079" i="4"/>
  <c r="J1688" i="4"/>
  <c r="J1883" i="4"/>
  <c r="J1833" i="4"/>
  <c r="J1818" i="4"/>
  <c r="J1794" i="4"/>
  <c r="J1770" i="4"/>
  <c r="J1745" i="4"/>
  <c r="J1730" i="4"/>
  <c r="J1725" i="4"/>
  <c r="J1708" i="4"/>
  <c r="J2481" i="4"/>
  <c r="J2462" i="4"/>
  <c r="J2370" i="4"/>
  <c r="J2365" i="4"/>
  <c r="J2297" i="4"/>
  <c r="J2293" i="4"/>
  <c r="J2289" i="4"/>
  <c r="J2285" i="4"/>
  <c r="J2281" i="4"/>
  <c r="J2230" i="4"/>
  <c r="J2208" i="4"/>
  <c r="J2204" i="4"/>
  <c r="J2197" i="4"/>
  <c r="J2193" i="4"/>
  <c r="J2174" i="4"/>
  <c r="J2154" i="4"/>
  <c r="J2139" i="4"/>
  <c r="J2135" i="4"/>
  <c r="J2131" i="4"/>
  <c r="J2067" i="4"/>
  <c r="J2063" i="4"/>
  <c r="J2059" i="4"/>
  <c r="J2040" i="4"/>
  <c r="J2487" i="4"/>
  <c r="J2483" i="4"/>
  <c r="J2454" i="4"/>
  <c r="J2433" i="4"/>
  <c r="J2312" i="4"/>
  <c r="J2309" i="4"/>
  <c r="J2306" i="4"/>
  <c r="J2303" i="4"/>
  <c r="J2277" i="4"/>
  <c r="J2234" i="4"/>
  <c r="J2150" i="4"/>
  <c r="J2146" i="4"/>
  <c r="J2133" i="4"/>
  <c r="J2112" i="4"/>
  <c r="J2499" i="4"/>
  <c r="J2491" i="4"/>
  <c r="J2485" i="4"/>
  <c r="J2476" i="4"/>
  <c r="J2430" i="4"/>
  <c r="J2419" i="4"/>
  <c r="J2287" i="4"/>
  <c r="J2152" i="4"/>
  <c r="J1992" i="4"/>
  <c r="J1851" i="4"/>
  <c r="J1775" i="4"/>
  <c r="J1772" i="4"/>
  <c r="J2457" i="4"/>
  <c r="J2443" i="4"/>
  <c r="J2437" i="4"/>
  <c r="J2402" i="4"/>
  <c r="J2219" i="4"/>
  <c r="J2269" i="4"/>
  <c r="J2447" i="4"/>
  <c r="J2445" i="4" s="1"/>
  <c r="J1813" i="4"/>
  <c r="J2412" i="4"/>
  <c r="J2381" i="4"/>
  <c r="J2160" i="4"/>
  <c r="J2081" i="4"/>
  <c r="J2077" i="4"/>
  <c r="J2501" i="4"/>
  <c r="J2472" i="4"/>
  <c r="J2376" i="4"/>
  <c r="J2363" i="4"/>
  <c r="J2346" i="4"/>
  <c r="J2301" i="4"/>
  <c r="J2295" i="4"/>
  <c r="J2291" i="4"/>
  <c r="J2283" i="4"/>
  <c r="J2279" i="4"/>
  <c r="J2251" i="4"/>
  <c r="J2236" i="4"/>
  <c r="J2232" i="4"/>
  <c r="J2228" i="4"/>
  <c r="J2217" i="4"/>
  <c r="J2210" i="4"/>
  <c r="J2206" i="4"/>
  <c r="J2202" i="4"/>
  <c r="J2195" i="4"/>
  <c r="J2148" i="4"/>
  <c r="J2137" i="4"/>
  <c r="J2126" i="4"/>
  <c r="J2069" i="4"/>
  <c r="J2065" i="4"/>
  <c r="J2061" i="4"/>
  <c r="J2051" i="4"/>
  <c r="J2042" i="4"/>
  <c r="J2027" i="4"/>
  <c r="J2025" i="4"/>
  <c r="J1982" i="4"/>
  <c r="J1942" i="4"/>
  <c r="J1932" i="4"/>
  <c r="J2018" i="4"/>
  <c r="J1989" i="4"/>
  <c r="J1984" i="4"/>
  <c r="J1966" i="4"/>
  <c r="J1947" i="4"/>
  <c r="J1934" i="4"/>
  <c r="J1930" i="4"/>
  <c r="J1881" i="4"/>
  <c r="J1873" i="4"/>
  <c r="J1854" i="4"/>
  <c r="J1789" i="4"/>
  <c r="J1778" i="4"/>
  <c r="J1722" i="4"/>
  <c r="J1710" i="4"/>
  <c r="J2428" i="4"/>
  <c r="J1716" i="4"/>
  <c r="J1843" i="4"/>
  <c r="J2008" i="4"/>
  <c r="J1944" i="4"/>
  <c r="J1786" i="4"/>
  <c r="J1719" i="4"/>
  <c r="J2406" i="4"/>
  <c r="J2199" i="4"/>
  <c r="J2409" i="4"/>
  <c r="J2914" i="4"/>
  <c r="J3057" i="4"/>
  <c r="J3051" i="4"/>
  <c r="J2985" i="4"/>
  <c r="J3093" i="4"/>
  <c r="J3039" i="4"/>
  <c r="J2997" i="4"/>
  <c r="J2971" i="4"/>
  <c r="J3007" i="4"/>
  <c r="J3030" i="4"/>
  <c r="J3054" i="4"/>
  <c r="J3048" i="4"/>
  <c r="J3042" i="4"/>
  <c r="J3036" i="4"/>
  <c r="J3024" i="4"/>
  <c r="J3018" i="4"/>
  <c r="J3010" i="4"/>
  <c r="J2355" i="4"/>
  <c r="J2399" i="4"/>
  <c r="J2383" i="4"/>
  <c r="J2015" i="4"/>
  <c r="J3035" i="4"/>
  <c r="J3033" i="4" s="1"/>
  <c r="J3140" i="4"/>
  <c r="J1767" i="4"/>
  <c r="J3146" i="4"/>
  <c r="J3128" i="4"/>
  <c r="J3120" i="4"/>
  <c r="J3117" i="4"/>
  <c r="J3114" i="4"/>
  <c r="J3108" i="4"/>
  <c r="J3096" i="4"/>
  <c r="J3085" i="4"/>
  <c r="J3082" i="4"/>
  <c r="J3072" i="4"/>
  <c r="J3069" i="4"/>
  <c r="J3063" i="4"/>
  <c r="J3060" i="4"/>
  <c r="J3029" i="4"/>
  <c r="J3027" i="4" s="1"/>
  <c r="J3021" i="4"/>
  <c r="J2994" i="4"/>
  <c r="J2991" i="4"/>
  <c r="J2988" i="4"/>
  <c r="J2974" i="4"/>
  <c r="J2901" i="4"/>
  <c r="J2898" i="4"/>
  <c r="J2496" i="4"/>
  <c r="J2448" i="4"/>
  <c r="J2335" i="4"/>
  <c r="J2164" i="4"/>
  <c r="J2054" i="4"/>
  <c r="J2005" i="4"/>
  <c r="J1823" i="4"/>
  <c r="J1680" i="4"/>
  <c r="J1939" i="4"/>
  <c r="J1878" i="4"/>
  <c r="J1820" i="4"/>
  <c r="J1956" i="4"/>
  <c r="J1870" i="4"/>
  <c r="J1998" i="4"/>
  <c r="J1856" i="4"/>
  <c r="J1796" i="4"/>
  <c r="J1780" i="4"/>
  <c r="J1705" i="4"/>
  <c r="J1691" i="4"/>
  <c r="J1674" i="4"/>
  <c r="I2964" i="4"/>
  <c r="J2911" i="4"/>
  <c r="J2034" i="4"/>
  <c r="J1848" i="4"/>
  <c r="J1783" i="4"/>
  <c r="J1936" i="4"/>
  <c r="J1815" i="4"/>
  <c r="J3143" i="4"/>
  <c r="J3134" i="4"/>
  <c r="J3131" i="4"/>
  <c r="J3066" i="4"/>
  <c r="J1995" i="4"/>
  <c r="J1986" i="4"/>
  <c r="J1968" i="4"/>
  <c r="J1727" i="4"/>
  <c r="J2386" i="4"/>
  <c r="I1842" i="4"/>
  <c r="I2917" i="4"/>
  <c r="J3105" i="4"/>
  <c r="J2451" i="4"/>
  <c r="J2389" i="4"/>
  <c r="J2904" i="4"/>
  <c r="J1899" i="4"/>
  <c r="J1890" i="4"/>
  <c r="J1806" i="4"/>
  <c r="J1799" i="4"/>
  <c r="J1791" i="4"/>
  <c r="J1684" i="4"/>
  <c r="J1671" i="4"/>
  <c r="J1959" i="4"/>
  <c r="J3075" i="4"/>
  <c r="J1953" i="4"/>
  <c r="J3111" i="4"/>
  <c r="J3013" i="4"/>
  <c r="J2959" i="4"/>
  <c r="J2927" i="4"/>
  <c r="J3125" i="4"/>
  <c r="J2939" i="4"/>
  <c r="J2329" i="4"/>
  <c r="J1925" i="4"/>
  <c r="J2933" i="4"/>
  <c r="J3088" i="4"/>
  <c r="J3000" i="4"/>
  <c r="J2980" i="4"/>
  <c r="J2954" i="4"/>
  <c r="J2942" i="4"/>
  <c r="J2415" i="4"/>
  <c r="J2020" i="4"/>
  <c r="J1760" i="4"/>
  <c r="J1735" i="4"/>
  <c r="J2358" i="4"/>
  <c r="J3217" i="4"/>
  <c r="J3137" i="4"/>
  <c r="J2156" i="4"/>
  <c r="J2350" i="4"/>
  <c r="J2930" i="4"/>
  <c r="J2922" i="4"/>
  <c r="J2459" i="4"/>
  <c r="J1866" i="4"/>
  <c r="J1699" i="4"/>
  <c r="J2073" i="4"/>
  <c r="J1840" i="4"/>
  <c r="J1836" i="4"/>
  <c r="J3104" i="4"/>
  <c r="J1703" i="4"/>
  <c r="J1695" i="4"/>
  <c r="I2341" i="4"/>
  <c r="J1894" i="4"/>
  <c r="J1838" i="4"/>
  <c r="J2058" i="4"/>
  <c r="J2441" i="4"/>
  <c r="I2445" i="4"/>
  <c r="I2439" i="4"/>
  <c r="J2342" i="4"/>
  <c r="I2057" i="4"/>
  <c r="I1893" i="4"/>
  <c r="I1835" i="4"/>
  <c r="I2072" i="4"/>
  <c r="J1847" i="4"/>
  <c r="I1846" i="4"/>
  <c r="J2129" i="4"/>
  <c r="I2128" i="4"/>
  <c r="J1733" i="4"/>
  <c r="I1732" i="4"/>
  <c r="I1697" i="4"/>
  <c r="I1701" i="4"/>
  <c r="I3102" i="4"/>
  <c r="I3213" i="4"/>
  <c r="I3206" i="4"/>
  <c r="J2605" i="4"/>
  <c r="K2609" i="4"/>
  <c r="I2609" i="4" s="1"/>
  <c r="K2608" i="4"/>
  <c r="I2608" i="4" s="1"/>
  <c r="I2606" i="4"/>
  <c r="K2604" i="4"/>
  <c r="J1316" i="4"/>
  <c r="J1314" i="4"/>
  <c r="J1312" i="4"/>
  <c r="I2834" i="4"/>
  <c r="K2833" i="4"/>
  <c r="K2832" i="4"/>
  <c r="K2831" i="4" s="1"/>
  <c r="I2829" i="4"/>
  <c r="K2828" i="4"/>
  <c r="I2826" i="4"/>
  <c r="K2825" i="4"/>
  <c r="I2825" i="4"/>
  <c r="I2823" i="4"/>
  <c r="K2822" i="4"/>
  <c r="K2814" i="4"/>
  <c r="K2813" i="4" s="1"/>
  <c r="K2793" i="4"/>
  <c r="K2792" i="4" s="1"/>
  <c r="I2790" i="4"/>
  <c r="I2789" i="4" s="1"/>
  <c r="K2789" i="4"/>
  <c r="I2780" i="4"/>
  <c r="I2779" i="4" s="1"/>
  <c r="K2779" i="4"/>
  <c r="I2777" i="4"/>
  <c r="K2776" i="4"/>
  <c r="I2774" i="4"/>
  <c r="I2773" i="4" s="1"/>
  <c r="K2773" i="4"/>
  <c r="I2771" i="4"/>
  <c r="K2770" i="4"/>
  <c r="K2769" i="4"/>
  <c r="K2768" i="4" s="1"/>
  <c r="I2766" i="4"/>
  <c r="I2765" i="4" s="1"/>
  <c r="K2765" i="4"/>
  <c r="I2763" i="4"/>
  <c r="K2762" i="4"/>
  <c r="I2760" i="4"/>
  <c r="I2759" i="4" s="1"/>
  <c r="K2759" i="4"/>
  <c r="K2747" i="4"/>
  <c r="I2747" i="4" s="1"/>
  <c r="K2746" i="4"/>
  <c r="K2744" i="4"/>
  <c r="K2743" i="4"/>
  <c r="J2743" i="4"/>
  <c r="K2742" i="4"/>
  <c r="I2742" i="4"/>
  <c r="K2741" i="4"/>
  <c r="K2740" i="4"/>
  <c r="J2740" i="4"/>
  <c r="K2739" i="4"/>
  <c r="I2739" i="4"/>
  <c r="K2738" i="4"/>
  <c r="K2737" i="4"/>
  <c r="J2737" i="4"/>
  <c r="K2736" i="4"/>
  <c r="I2736" i="4"/>
  <c r="I2720" i="4"/>
  <c r="I2719" i="4" s="1"/>
  <c r="K2719" i="4"/>
  <c r="I2712" i="4"/>
  <c r="K2711" i="4"/>
  <c r="I2711" i="4"/>
  <c r="I2709" i="4"/>
  <c r="I2708" i="4" s="1"/>
  <c r="K2708" i="4"/>
  <c r="I2706" i="4"/>
  <c r="K2705" i="4"/>
  <c r="I2705" i="4"/>
  <c r="J1575" i="4"/>
  <c r="J1574" i="4" s="1"/>
  <c r="K1574" i="4"/>
  <c r="I1574" i="4"/>
  <c r="J1572" i="4"/>
  <c r="J1570" i="4"/>
  <c r="J1568" i="4"/>
  <c r="K1567" i="4"/>
  <c r="I1567" i="4"/>
  <c r="I1565" i="4"/>
  <c r="I1563" i="4"/>
  <c r="I1561" i="4"/>
  <c r="K1560" i="4"/>
  <c r="I1558" i="4"/>
  <c r="I1556" i="4"/>
  <c r="I1554" i="4"/>
  <c r="K1553" i="4"/>
  <c r="I1552" i="4"/>
  <c r="K1551" i="4"/>
  <c r="K1550" i="4" s="1"/>
  <c r="I1551" i="4"/>
  <c r="K1549" i="4"/>
  <c r="K1548" i="4" s="1"/>
  <c r="I1549" i="4"/>
  <c r="I1546" i="4"/>
  <c r="I1544" i="4"/>
  <c r="J1542" i="4"/>
  <c r="J1540" i="4"/>
  <c r="K1539" i="4"/>
  <c r="K1538" i="4"/>
  <c r="J1538" i="4"/>
  <c r="K1537" i="4"/>
  <c r="J1537" i="4"/>
  <c r="I1536" i="4"/>
  <c r="K1535" i="4"/>
  <c r="K1534" i="4" s="1"/>
  <c r="J1535" i="4"/>
  <c r="J1534" i="4" s="1"/>
  <c r="I1534" i="4"/>
  <c r="K1533" i="4"/>
  <c r="K1532" i="4"/>
  <c r="K1531" i="4"/>
  <c r="K1530" i="4" s="1"/>
  <c r="I1530" i="4"/>
  <c r="K1529" i="4"/>
  <c r="K1528" i="4" s="1"/>
  <c r="J1529" i="4"/>
  <c r="J1528" i="4" s="1"/>
  <c r="I1528" i="4"/>
  <c r="K1527" i="4"/>
  <c r="J1527" i="4"/>
  <c r="K1526" i="4"/>
  <c r="J1526" i="4"/>
  <c r="I1525" i="4"/>
  <c r="I1523" i="4"/>
  <c r="K1522" i="4"/>
  <c r="K1521" i="4"/>
  <c r="K1520" i="4" s="1"/>
  <c r="I1521" i="4"/>
  <c r="K1519" i="4"/>
  <c r="K1518" i="4" s="1"/>
  <c r="I1519" i="4"/>
  <c r="I1507" i="4"/>
  <c r="K1506" i="4"/>
  <c r="J1506" i="4"/>
  <c r="K1505" i="4"/>
  <c r="I1505" i="4"/>
  <c r="K1504" i="4"/>
  <c r="K1503" i="4" s="1"/>
  <c r="I1504" i="4"/>
  <c r="I1501" i="4"/>
  <c r="I1500" i="4" s="1"/>
  <c r="K1500" i="4"/>
  <c r="I1498" i="4"/>
  <c r="K1497" i="4"/>
  <c r="I1497" i="4"/>
  <c r="J1495" i="4"/>
  <c r="J1493" i="4"/>
  <c r="J1491" i="4"/>
  <c r="K1490" i="4"/>
  <c r="I1490" i="4"/>
  <c r="K1489" i="4"/>
  <c r="K1488" i="4" s="1"/>
  <c r="J1489" i="4"/>
  <c r="J1488" i="4" s="1"/>
  <c r="I1488" i="4"/>
  <c r="J1486" i="4"/>
  <c r="J1485" i="4" s="1"/>
  <c r="K1485" i="4"/>
  <c r="I1485" i="4"/>
  <c r="K1484" i="4"/>
  <c r="K1483" i="4" s="1"/>
  <c r="J1484" i="4"/>
  <c r="J1483" i="4" s="1"/>
  <c r="I1483" i="4"/>
  <c r="I1477" i="4"/>
  <c r="K1476" i="4"/>
  <c r="K1475" i="4"/>
  <c r="K1474" i="4" s="1"/>
  <c r="J1475" i="4"/>
  <c r="J1474" i="4" s="1"/>
  <c r="I1474" i="4"/>
  <c r="K1473" i="4"/>
  <c r="K1472" i="4" s="1"/>
  <c r="J1473" i="4"/>
  <c r="J1472" i="4" s="1"/>
  <c r="I1472" i="4"/>
  <c r="K1471" i="4"/>
  <c r="K1470" i="4" s="1"/>
  <c r="J1471" i="4"/>
  <c r="J1470" i="4" s="1"/>
  <c r="I1470" i="4"/>
  <c r="K1469" i="4"/>
  <c r="K1468" i="4" s="1"/>
  <c r="J1469" i="4"/>
  <c r="J1468" i="4" s="1"/>
  <c r="I1468" i="4"/>
  <c r="I1466" i="4"/>
  <c r="I1464" i="4"/>
  <c r="I1462" i="4"/>
  <c r="K1461" i="4"/>
  <c r="K1460" i="4"/>
  <c r="J1460" i="4"/>
  <c r="K1459" i="4"/>
  <c r="K1458" i="4" s="1"/>
  <c r="J1459" i="4"/>
  <c r="I1458" i="4"/>
  <c r="I1456" i="4"/>
  <c r="I1454" i="4"/>
  <c r="I1452" i="4"/>
  <c r="K1451" i="4"/>
  <c r="I1449" i="4"/>
  <c r="I1447" i="4"/>
  <c r="I1445" i="4"/>
  <c r="K1444" i="4"/>
  <c r="J1442" i="4"/>
  <c r="J1441" i="4" s="1"/>
  <c r="K1441" i="4"/>
  <c r="I1441" i="4"/>
  <c r="K1426" i="4"/>
  <c r="K1425" i="4" s="1"/>
  <c r="I1426" i="4"/>
  <c r="K1420" i="4"/>
  <c r="K1419" i="4" s="1"/>
  <c r="I1420" i="4"/>
  <c r="I1417" i="4"/>
  <c r="K1416" i="4"/>
  <c r="I1414" i="4"/>
  <c r="K1413" i="4"/>
  <c r="I1401" i="4"/>
  <c r="K1400" i="4"/>
  <c r="I1398" i="4"/>
  <c r="K1397" i="4"/>
  <c r="I1395" i="4"/>
  <c r="K1394" i="4"/>
  <c r="I1384" i="4"/>
  <c r="K1383" i="4"/>
  <c r="I1381" i="4"/>
  <c r="K1380" i="4"/>
  <c r="I1378" i="4"/>
  <c r="K1377" i="4"/>
  <c r="I1356" i="4"/>
  <c r="K1355" i="4"/>
  <c r="I1355" i="4"/>
  <c r="K1354" i="4"/>
  <c r="K1353" i="4" s="1"/>
  <c r="J1352" i="4"/>
  <c r="I1351" i="4"/>
  <c r="J1350" i="4"/>
  <c r="I1349" i="4"/>
  <c r="J1348" i="4"/>
  <c r="J1347" i="4"/>
  <c r="K1346" i="4"/>
  <c r="I1344" i="4"/>
  <c r="K1343" i="4"/>
  <c r="I1342" i="4"/>
  <c r="K1341" i="4"/>
  <c r="K1340" i="4" s="1"/>
  <c r="I1341" i="4"/>
  <c r="I1333" i="4"/>
  <c r="K1332" i="4"/>
  <c r="J1331" i="4"/>
  <c r="I1330" i="4"/>
  <c r="J1329" i="4"/>
  <c r="I1328" i="4"/>
  <c r="I1325" i="4" s="1"/>
  <c r="J1327" i="4"/>
  <c r="J1326" i="4"/>
  <c r="K1325" i="4"/>
  <c r="K1324" i="4"/>
  <c r="K1323" i="4" s="1"/>
  <c r="I1324" i="4"/>
  <c r="I1323" i="4"/>
  <c r="K1322" i="4"/>
  <c r="K1321" i="4" s="1"/>
  <c r="I1322" i="4"/>
  <c r="I1320" i="4"/>
  <c r="K1319" i="4"/>
  <c r="K1318" i="4" s="1"/>
  <c r="I1319" i="4"/>
  <c r="J1310" i="4"/>
  <c r="J1308" i="4"/>
  <c r="K1307" i="4"/>
  <c r="I1307" i="4"/>
  <c r="K1305" i="4"/>
  <c r="K1304" i="4" s="1"/>
  <c r="I1305" i="4"/>
  <c r="I1302" i="4"/>
  <c r="K1301" i="4"/>
  <c r="K1300" i="4"/>
  <c r="K1299" i="4" s="1"/>
  <c r="I1300" i="4"/>
  <c r="I1297" i="4"/>
  <c r="K1296" i="4"/>
  <c r="K1288" i="4"/>
  <c r="K1287" i="4"/>
  <c r="J1287" i="4"/>
  <c r="K1286" i="4"/>
  <c r="J1286" i="4"/>
  <c r="K1285" i="4"/>
  <c r="K1284" i="4"/>
  <c r="J1284" i="4"/>
  <c r="K1283" i="4"/>
  <c r="J1283" i="4"/>
  <c r="K1282" i="4"/>
  <c r="K1281" i="4"/>
  <c r="J1281" i="4"/>
  <c r="K1280" i="4"/>
  <c r="J1280" i="4"/>
  <c r="K1279" i="4"/>
  <c r="K1278" i="4"/>
  <c r="J1278" i="4"/>
  <c r="K1277" i="4"/>
  <c r="J1277" i="4"/>
  <c r="K1276" i="4"/>
  <c r="K1275" i="4"/>
  <c r="I1275" i="4"/>
  <c r="K1274" i="4"/>
  <c r="J1274" i="4"/>
  <c r="K1273" i="4"/>
  <c r="K1272" i="4"/>
  <c r="I1272" i="4"/>
  <c r="K1271" i="4"/>
  <c r="J1271" i="4"/>
  <c r="K1270" i="4"/>
  <c r="K1269" i="4"/>
  <c r="I1269" i="4"/>
  <c r="K1268" i="4"/>
  <c r="J1268" i="4"/>
  <c r="K1267" i="4"/>
  <c r="K1266" i="4"/>
  <c r="I1266" i="4"/>
  <c r="K1265" i="4"/>
  <c r="J1265" i="4"/>
  <c r="I1262" i="4"/>
  <c r="K1261" i="4"/>
  <c r="I1259" i="4"/>
  <c r="I1257" i="4"/>
  <c r="I1255" i="4"/>
  <c r="K1254" i="4"/>
  <c r="J1458" i="4" l="1"/>
  <c r="K1536" i="4"/>
  <c r="P443" i="1"/>
  <c r="J1885" i="4"/>
  <c r="I1670" i="4"/>
  <c r="J3102" i="4"/>
  <c r="I1503" i="4"/>
  <c r="I1413" i="4"/>
  <c r="J1677" i="4"/>
  <c r="J1732" i="4"/>
  <c r="J2128" i="4"/>
  <c r="J1846" i="4"/>
  <c r="J2341" i="4"/>
  <c r="J2439" i="4"/>
  <c r="J2057" i="4"/>
  <c r="J1893" i="4"/>
  <c r="J1694" i="4"/>
  <c r="J1701" i="4"/>
  <c r="J2072" i="4"/>
  <c r="J1697" i="4"/>
  <c r="J1842" i="4"/>
  <c r="I1522" i="4"/>
  <c r="I1321" i="4"/>
  <c r="J1835" i="4"/>
  <c r="J1305" i="4"/>
  <c r="J1344" i="4"/>
  <c r="J1343" i="4" s="1"/>
  <c r="J1498" i="4"/>
  <c r="J1497" i="4" s="1"/>
  <c r="J1297" i="4"/>
  <c r="J1296" i="4" s="1"/>
  <c r="J1319" i="4"/>
  <c r="J1333" i="4"/>
  <c r="J1332" i="4" s="1"/>
  <c r="J1417" i="4"/>
  <c r="J1416" i="4" s="1"/>
  <c r="J1477" i="4"/>
  <c r="J1476" i="4" s="1"/>
  <c r="J1501" i="4"/>
  <c r="J1500" i="4" s="1"/>
  <c r="J1447" i="4"/>
  <c r="J1544" i="4"/>
  <c r="J1552" i="4"/>
  <c r="J1554" i="4"/>
  <c r="J1558" i="4"/>
  <c r="J1561" i="4"/>
  <c r="J2706" i="4"/>
  <c r="J2705" i="4" s="1"/>
  <c r="J2712" i="4"/>
  <c r="J2711" i="4" s="1"/>
  <c r="J2747" i="4"/>
  <c r="J2766" i="4"/>
  <c r="J2765" i="4" s="1"/>
  <c r="J2774" i="4"/>
  <c r="J2773" i="4" s="1"/>
  <c r="J2790" i="4"/>
  <c r="J2789" i="4" s="1"/>
  <c r="J1342" i="4"/>
  <c r="J1445" i="4"/>
  <c r="J1449" i="4"/>
  <c r="J1507" i="4"/>
  <c r="J1505" i="4" s="1"/>
  <c r="J1546" i="4"/>
  <c r="J1556" i="4"/>
  <c r="J1563" i="4"/>
  <c r="J2709" i="4"/>
  <c r="J2708" i="4" s="1"/>
  <c r="J2720" i="4"/>
  <c r="J2719" i="4" s="1"/>
  <c r="J2760" i="4"/>
  <c r="J2759" i="4" s="1"/>
  <c r="J2780" i="4"/>
  <c r="J2779" i="4" s="1"/>
  <c r="I2897" i="4"/>
  <c r="I3205" i="4"/>
  <c r="J918" i="1"/>
  <c r="I1340" i="4"/>
  <c r="I1332" i="4"/>
  <c r="I1476" i="4"/>
  <c r="I1518" i="4"/>
  <c r="I1301" i="4"/>
  <c r="I1397" i="4"/>
  <c r="I1261" i="4"/>
  <c r="I1380" i="4"/>
  <c r="J917" i="1"/>
  <c r="P917" i="1" s="1"/>
  <c r="I1532" i="4"/>
  <c r="J1398" i="4"/>
  <c r="J1397" i="4" s="1"/>
  <c r="K2745" i="4"/>
  <c r="I2832" i="4"/>
  <c r="J2606" i="4"/>
  <c r="J2604" i="4" s="1"/>
  <c r="J1262" i="4"/>
  <c r="J1261" i="4" s="1"/>
  <c r="K1264" i="4"/>
  <c r="J1302" i="4"/>
  <c r="J1301" i="4" s="1"/>
  <c r="I1353" i="4"/>
  <c r="I1419" i="4"/>
  <c r="I1548" i="4"/>
  <c r="I2735" i="4"/>
  <c r="K2735" i="4"/>
  <c r="J2739" i="4"/>
  <c r="I2769" i="4"/>
  <c r="I2604" i="4"/>
  <c r="K2607" i="4"/>
  <c r="I2607" i="4"/>
  <c r="I1318" i="4"/>
  <c r="K1525" i="4"/>
  <c r="J1381" i="4"/>
  <c r="J1380" i="4" s="1"/>
  <c r="J1414" i="4"/>
  <c r="J1413" i="4" s="1"/>
  <c r="J1420" i="4"/>
  <c r="J1419" i="4" s="1"/>
  <c r="I1425" i="4"/>
  <c r="I1520" i="4"/>
  <c r="J1523" i="4"/>
  <c r="J1522" i="4" s="1"/>
  <c r="J1549" i="4"/>
  <c r="J1548" i="4" s="1"/>
  <c r="I2793" i="4"/>
  <c r="J2826" i="4"/>
  <c r="J2825" i="4" s="1"/>
  <c r="J2608" i="4"/>
  <c r="J2609" i="4"/>
  <c r="J1565" i="4"/>
  <c r="I1299" i="4"/>
  <c r="J1306" i="4"/>
  <c r="J1349" i="4"/>
  <c r="J1356" i="4"/>
  <c r="J1355" i="4" s="1"/>
  <c r="J1490" i="4"/>
  <c r="J1519" i="4"/>
  <c r="J1518" i="4" s="1"/>
  <c r="I1550" i="4"/>
  <c r="J1255" i="4"/>
  <c r="J1259" i="4"/>
  <c r="J1269" i="4"/>
  <c r="J1328" i="4"/>
  <c r="J1330" i="4"/>
  <c r="J1378" i="4"/>
  <c r="J1377" i="4" s="1"/>
  <c r="J1384" i="4"/>
  <c r="J1383" i="4" s="1"/>
  <c r="J1395" i="4"/>
  <c r="J1394" i="4" s="1"/>
  <c r="J1401" i="4"/>
  <c r="J1400" i="4" s="1"/>
  <c r="J1454" i="4"/>
  <c r="J1464" i="4"/>
  <c r="J2763" i="4"/>
  <c r="J2762" i="4" s="1"/>
  <c r="I2762" i="4"/>
  <c r="J2771" i="4"/>
  <c r="J2770" i="4" s="1"/>
  <c r="I2770" i="4"/>
  <c r="J2829" i="4"/>
  <c r="J2828" i="4" s="1"/>
  <c r="I2828" i="4"/>
  <c r="J2834" i="4"/>
  <c r="J2833" i="4" s="1"/>
  <c r="I2833" i="4"/>
  <c r="J1257" i="4"/>
  <c r="J1275" i="4"/>
  <c r="J1300" i="4"/>
  <c r="J1299" i="4" s="1"/>
  <c r="J1320" i="4"/>
  <c r="J1354" i="4"/>
  <c r="J1353" i="4" s="1"/>
  <c r="J1426" i="4"/>
  <c r="J1425" i="4" s="1"/>
  <c r="I1451" i="4"/>
  <c r="J1452" i="4"/>
  <c r="J1456" i="4"/>
  <c r="J1462" i="4"/>
  <c r="J1466" i="4"/>
  <c r="J1521" i="4"/>
  <c r="J1520" i="4" s="1"/>
  <c r="J1551" i="4"/>
  <c r="I1560" i="4"/>
  <c r="J1567" i="4"/>
  <c r="I2746" i="4"/>
  <c r="J2777" i="4"/>
  <c r="J2776" i="4" s="1"/>
  <c r="I2776" i="4"/>
  <c r="I2814" i="4"/>
  <c r="J2823" i="4"/>
  <c r="J2822" i="4" s="1"/>
  <c r="I2822" i="4"/>
  <c r="J1351" i="4"/>
  <c r="J2736" i="4"/>
  <c r="J2742" i="4"/>
  <c r="J1525" i="4"/>
  <c r="I1254" i="4"/>
  <c r="I1296" i="4"/>
  <c r="I1304" i="4"/>
  <c r="J1307" i="4"/>
  <c r="I1343" i="4"/>
  <c r="I1377" i="4"/>
  <c r="I1383" i="4"/>
  <c r="I1394" i="4"/>
  <c r="I1400" i="4"/>
  <c r="I1416" i="4"/>
  <c r="J1536" i="4"/>
  <c r="I1539" i="4"/>
  <c r="I1553" i="4"/>
  <c r="I1264" i="4"/>
  <c r="J1266" i="4"/>
  <c r="J1272" i="4"/>
  <c r="J1322" i="4"/>
  <c r="J1321" i="4" s="1"/>
  <c r="J1324" i="4"/>
  <c r="J1323" i="4" s="1"/>
  <c r="J1341" i="4"/>
  <c r="I1346" i="4"/>
  <c r="I1444" i="4"/>
  <c r="I1461" i="4"/>
  <c r="J1504" i="4"/>
  <c r="J1503" i="4" s="1"/>
  <c r="J1531" i="4"/>
  <c r="J1530" i="4" s="1"/>
  <c r="J1533" i="4"/>
  <c r="J1532" i="4" s="1"/>
  <c r="I3189" i="4"/>
  <c r="I3188" i="4"/>
  <c r="K3187" i="4"/>
  <c r="I3186" i="4"/>
  <c r="I3185" i="4"/>
  <c r="K3184" i="4"/>
  <c r="I3183" i="4"/>
  <c r="I3182" i="4"/>
  <c r="K3181" i="4"/>
  <c r="I3180" i="4"/>
  <c r="I3179" i="4"/>
  <c r="K3178" i="4"/>
  <c r="I3177" i="4"/>
  <c r="I3176" i="4"/>
  <c r="K3175" i="4"/>
  <c r="I3173" i="4"/>
  <c r="K3172" i="4"/>
  <c r="I3171" i="4"/>
  <c r="I3170" i="4"/>
  <c r="K3169" i="4"/>
  <c r="I1253" i="4" l="1"/>
  <c r="J1539" i="4"/>
  <c r="J2793" i="4"/>
  <c r="J2792" i="4" s="1"/>
  <c r="J1444" i="4"/>
  <c r="J1553" i="4"/>
  <c r="J1340" i="4"/>
  <c r="J1550" i="4"/>
  <c r="J1318" i="4"/>
  <c r="J1304" i="4"/>
  <c r="J1560" i="4"/>
  <c r="J3171" i="4"/>
  <c r="J3173" i="4"/>
  <c r="J3176" i="4"/>
  <c r="J3170" i="4"/>
  <c r="J3177" i="4"/>
  <c r="N917" i="1"/>
  <c r="J3180" i="4"/>
  <c r="J3182" i="4"/>
  <c r="J3186" i="4"/>
  <c r="J3188" i="4"/>
  <c r="J3179" i="4"/>
  <c r="J3183" i="4"/>
  <c r="J3185" i="4"/>
  <c r="J3184" i="4" s="1"/>
  <c r="J3189" i="4"/>
  <c r="N918" i="1"/>
  <c r="P918" i="1"/>
  <c r="I2831" i="4"/>
  <c r="J2832" i="4"/>
  <c r="J2831" i="4" s="1"/>
  <c r="J2769" i="4"/>
  <c r="J2768" i="4" s="1"/>
  <c r="I2603" i="4"/>
  <c r="I3169" i="4"/>
  <c r="J3169" i="4"/>
  <c r="I3175" i="4"/>
  <c r="I2792" i="4"/>
  <c r="I2768" i="4"/>
  <c r="J2607" i="4"/>
  <c r="J1254" i="4"/>
  <c r="I3187" i="4"/>
  <c r="J1346" i="4"/>
  <c r="J1264" i="4"/>
  <c r="J1461" i="4"/>
  <c r="J1325" i="4"/>
  <c r="J2746" i="4"/>
  <c r="J2745" i="4" s="1"/>
  <c r="I2745" i="4"/>
  <c r="J2814" i="4"/>
  <c r="J2813" i="4" s="1"/>
  <c r="I2813" i="4"/>
  <c r="J1451" i="4"/>
  <c r="J2735" i="4"/>
  <c r="I3181" i="4"/>
  <c r="I3174" i="4"/>
  <c r="I3178" i="4"/>
  <c r="I3184" i="4"/>
  <c r="J3178" i="4" l="1"/>
  <c r="I2700" i="4"/>
  <c r="J3175" i="4"/>
  <c r="J3187" i="4"/>
  <c r="J3181" i="4"/>
  <c r="J3174" i="4"/>
  <c r="J3172" i="4" s="1"/>
  <c r="I3172" i="4"/>
  <c r="I3168" i="4" l="1"/>
  <c r="J2590" i="4"/>
  <c r="J2589" i="4"/>
  <c r="K2588" i="4"/>
  <c r="I2588" i="4"/>
  <c r="J2587" i="4"/>
  <c r="J2586" i="4"/>
  <c r="K2585" i="4"/>
  <c r="I2585" i="4"/>
  <c r="K2584" i="4"/>
  <c r="I2584" i="4"/>
  <c r="I2583" i="4" s="1"/>
  <c r="K2583" i="4"/>
  <c r="K2582" i="4"/>
  <c r="K2581" i="4" s="1"/>
  <c r="J2582" i="4"/>
  <c r="J2581" i="4" s="1"/>
  <c r="I2581" i="4"/>
  <c r="K2580" i="4"/>
  <c r="I2580" i="4" s="1"/>
  <c r="I2578" i="4"/>
  <c r="I2577" i="4"/>
  <c r="K2576" i="4"/>
  <c r="J2575" i="4"/>
  <c r="J2574" i="4"/>
  <c r="K2573" i="4"/>
  <c r="I2573" i="4"/>
  <c r="K2572" i="4"/>
  <c r="I2572" i="4" s="1"/>
  <c r="I2570" i="4"/>
  <c r="I2569" i="4"/>
  <c r="K2568" i="4"/>
  <c r="K2567" i="4"/>
  <c r="J2567" i="4"/>
  <c r="K2566" i="4"/>
  <c r="J2566" i="4"/>
  <c r="J2565" i="4" s="1"/>
  <c r="K2565" i="4"/>
  <c r="I2565" i="4"/>
  <c r="I2564" i="4"/>
  <c r="I2563" i="4"/>
  <c r="I2562" i="4"/>
  <c r="I2561" i="4"/>
  <c r="K2560" i="4"/>
  <c r="I2559" i="4"/>
  <c r="I2558" i="4"/>
  <c r="I2557" i="4"/>
  <c r="I2556" i="4"/>
  <c r="K2555" i="4"/>
  <c r="I2554" i="4"/>
  <c r="J2553" i="4"/>
  <c r="K2552" i="4"/>
  <c r="I2551" i="4"/>
  <c r="J2550" i="4"/>
  <c r="K2549" i="4"/>
  <c r="K2548" i="4"/>
  <c r="I2548" i="4"/>
  <c r="I2547" i="4" s="1"/>
  <c r="K2547" i="4"/>
  <c r="I2546" i="4"/>
  <c r="I2545" i="4"/>
  <c r="I2544" i="4"/>
  <c r="I2543" i="4"/>
  <c r="K2542" i="4"/>
  <c r="K2541" i="4"/>
  <c r="I2541" i="4" s="1"/>
  <c r="I2539" i="4"/>
  <c r="I2538" i="4"/>
  <c r="K2537" i="4"/>
  <c r="I2536" i="4"/>
  <c r="K2535" i="4"/>
  <c r="K2534" i="4" s="1"/>
  <c r="J2535" i="4"/>
  <c r="K2533" i="4"/>
  <c r="K2532" i="4" s="1"/>
  <c r="J2533" i="4"/>
  <c r="I2532" i="4"/>
  <c r="I2531" i="4"/>
  <c r="K2530" i="4"/>
  <c r="K2529" i="4" s="1"/>
  <c r="J2530" i="4"/>
  <c r="J2554" i="4" l="1"/>
  <c r="J2552" i="4" s="1"/>
  <c r="J2531" i="4"/>
  <c r="J2529" i="4" s="1"/>
  <c r="J2536" i="4"/>
  <c r="J2534" i="4" s="1"/>
  <c r="J2538" i="4"/>
  <c r="J2543" i="4"/>
  <c r="J2539" i="4"/>
  <c r="J2544" i="4"/>
  <c r="J2546" i="4"/>
  <c r="J2548" i="4"/>
  <c r="J2547" i="4" s="1"/>
  <c r="J2556" i="4"/>
  <c r="J2558" i="4"/>
  <c r="J2562" i="4"/>
  <c r="J2564" i="4"/>
  <c r="J2570" i="4"/>
  <c r="J2578" i="4"/>
  <c r="J2545" i="4"/>
  <c r="J2542" i="4" s="1"/>
  <c r="J2551" i="4"/>
  <c r="J2557" i="4"/>
  <c r="J2559" i="4"/>
  <c r="J2561" i="4"/>
  <c r="J2563" i="4"/>
  <c r="J2569" i="4"/>
  <c r="J2568" i="4" s="1"/>
  <c r="J2577" i="4"/>
  <c r="J2576" i="4" s="1"/>
  <c r="J2584" i="4"/>
  <c r="J2583" i="4" s="1"/>
  <c r="J2532" i="4"/>
  <c r="K2579" i="4"/>
  <c r="K2540" i="4"/>
  <c r="K2571" i="4"/>
  <c r="J2572" i="4"/>
  <c r="J2571" i="4" s="1"/>
  <c r="I2571" i="4"/>
  <c r="J2541" i="4"/>
  <c r="J2540" i="4" s="1"/>
  <c r="I2540" i="4"/>
  <c r="J2580" i="4"/>
  <c r="J2579" i="4" s="1"/>
  <c r="I2579" i="4"/>
  <c r="J2585" i="4"/>
  <c r="I2542" i="4"/>
  <c r="J2549" i="4"/>
  <c r="I2560" i="4"/>
  <c r="J2588" i="4"/>
  <c r="I2529" i="4"/>
  <c r="I2534" i="4"/>
  <c r="I2549" i="4"/>
  <c r="I2552" i="4"/>
  <c r="J2573" i="4"/>
  <c r="I2537" i="4"/>
  <c r="I2568" i="4"/>
  <c r="I2576" i="4"/>
  <c r="I2555" i="4"/>
  <c r="A930" i="1"/>
  <c r="H928" i="1"/>
  <c r="I928" i="1"/>
  <c r="K928" i="1"/>
  <c r="L928" i="1"/>
  <c r="M928" i="1"/>
  <c r="O928" i="1"/>
  <c r="G928" i="1"/>
  <c r="D3244" i="4"/>
  <c r="A3248" i="4"/>
  <c r="I3250" i="4"/>
  <c r="I3249" i="4"/>
  <c r="K3248" i="4"/>
  <c r="I3247" i="4"/>
  <c r="J3247" i="4" s="1"/>
  <c r="I3246" i="4"/>
  <c r="J3246" i="4" s="1"/>
  <c r="K3245" i="4"/>
  <c r="H756" i="1"/>
  <c r="I756" i="1"/>
  <c r="K756" i="1"/>
  <c r="L756" i="1"/>
  <c r="M756" i="1"/>
  <c r="O756" i="1"/>
  <c r="G756" i="1"/>
  <c r="K2664" i="4"/>
  <c r="K2663" i="4" s="1"/>
  <c r="I2664" i="4"/>
  <c r="I2662" i="4"/>
  <c r="I2661" i="4"/>
  <c r="K2660" i="4"/>
  <c r="K2659" i="4" s="1"/>
  <c r="I2660" i="4"/>
  <c r="D2658" i="4"/>
  <c r="K2657" i="4"/>
  <c r="K2656" i="4" s="1"/>
  <c r="I2657" i="4"/>
  <c r="I3243" i="4"/>
  <c r="I3242" i="4"/>
  <c r="K3241" i="4"/>
  <c r="I3240" i="4"/>
  <c r="I3239" i="4"/>
  <c r="K3238" i="4"/>
  <c r="I3237" i="4"/>
  <c r="I3236" i="4"/>
  <c r="K3235" i="4"/>
  <c r="I3234" i="4"/>
  <c r="J3233" i="4"/>
  <c r="I3232" i="4"/>
  <c r="I3231" i="4"/>
  <c r="K3230" i="4"/>
  <c r="I3229" i="4"/>
  <c r="I3228" i="4"/>
  <c r="K3227" i="4"/>
  <c r="K2654" i="4"/>
  <c r="K2653" i="4" s="1"/>
  <c r="J2654" i="4"/>
  <c r="J2653" i="4" s="1"/>
  <c r="I2653" i="4"/>
  <c r="I2651" i="4"/>
  <c r="K2650" i="4"/>
  <c r="I2650" i="4"/>
  <c r="K2649" i="4"/>
  <c r="J2649" i="4"/>
  <c r="I2648" i="4"/>
  <c r="J2647" i="4"/>
  <c r="I2645" i="4"/>
  <c r="I2643" i="4"/>
  <c r="I2642" i="4"/>
  <c r="K2641" i="4"/>
  <c r="J2640" i="4"/>
  <c r="I2639" i="4"/>
  <c r="I2638" i="4" s="1"/>
  <c r="K2638" i="4"/>
  <c r="K2637" i="4"/>
  <c r="I2637" i="4"/>
  <c r="I2636" i="4" s="1"/>
  <c r="K2636" i="4"/>
  <c r="K2635" i="4"/>
  <c r="K2634" i="4" s="1"/>
  <c r="I2635" i="4"/>
  <c r="I2633" i="4"/>
  <c r="I2632" i="4"/>
  <c r="K2631" i="4"/>
  <c r="K2630" i="4"/>
  <c r="K2629" i="4" s="1"/>
  <c r="I2630" i="4"/>
  <c r="K2628" i="4"/>
  <c r="I2628" i="4" s="1"/>
  <c r="I2626" i="4"/>
  <c r="I2625" i="4"/>
  <c r="K2624" i="4"/>
  <c r="K2623" i="4"/>
  <c r="I2623" i="4"/>
  <c r="K2622" i="4"/>
  <c r="J2621" i="4"/>
  <c r="I2620" i="4"/>
  <c r="K2619" i="4"/>
  <c r="J2618" i="4"/>
  <c r="I2617" i="4"/>
  <c r="K2616" i="4"/>
  <c r="K2615" i="4"/>
  <c r="K2614" i="4" s="1"/>
  <c r="I2615" i="4"/>
  <c r="K2613" i="4"/>
  <c r="J2613" i="4"/>
  <c r="K2612" i="4"/>
  <c r="J2612" i="4"/>
  <c r="I2611" i="4"/>
  <c r="I3224" i="4"/>
  <c r="K3223" i="4"/>
  <c r="I3204" i="4"/>
  <c r="I3203" i="4"/>
  <c r="J3204" i="4"/>
  <c r="K3202" i="4"/>
  <c r="K2602" i="4"/>
  <c r="K2601" i="4" s="1"/>
  <c r="I2602" i="4"/>
  <c r="I2600" i="4"/>
  <c r="J2599" i="4"/>
  <c r="K2598" i="4"/>
  <c r="K2597" i="4"/>
  <c r="K2596" i="4" s="1"/>
  <c r="J2597" i="4"/>
  <c r="J2596" i="4" s="1"/>
  <c r="I2596" i="4"/>
  <c r="D3190" i="4"/>
  <c r="K3200" i="4"/>
  <c r="I3200" i="4" s="1"/>
  <c r="K3199" i="4"/>
  <c r="I3199" i="4" s="1"/>
  <c r="I3197" i="4"/>
  <c r="J3197" i="4" s="1"/>
  <c r="I3196" i="4"/>
  <c r="I3195" i="4"/>
  <c r="J3195" i="4" s="1"/>
  <c r="I3194" i="4"/>
  <c r="I3193" i="4"/>
  <c r="J3193" i="4" s="1"/>
  <c r="K3192" i="4"/>
  <c r="I3192" i="4" s="1"/>
  <c r="H911" i="1"/>
  <c r="I911" i="1"/>
  <c r="K911" i="1"/>
  <c r="L911" i="1"/>
  <c r="M911" i="1"/>
  <c r="O911" i="1"/>
  <c r="G911" i="1"/>
  <c r="A913" i="1"/>
  <c r="J2593" i="4"/>
  <c r="I2594" i="4"/>
  <c r="K2592" i="4"/>
  <c r="I3167" i="4"/>
  <c r="I3166" i="4"/>
  <c r="K3165" i="4"/>
  <c r="I2527" i="4"/>
  <c r="I2526" i="4"/>
  <c r="K2525" i="4"/>
  <c r="I2525" i="4" s="1"/>
  <c r="I2524" i="4"/>
  <c r="I2523" i="4"/>
  <c r="K2522" i="4"/>
  <c r="I2522" i="4" s="1"/>
  <c r="K2520" i="4"/>
  <c r="I2520" i="4"/>
  <c r="K2519" i="4"/>
  <c r="H898" i="1"/>
  <c r="I898" i="1"/>
  <c r="K898" i="1"/>
  <c r="L898" i="1"/>
  <c r="M898" i="1"/>
  <c r="O898" i="1"/>
  <c r="G898" i="1"/>
  <c r="D3153" i="4"/>
  <c r="I3163" i="4"/>
  <c r="J3163" i="4" s="1"/>
  <c r="I3162" i="4"/>
  <c r="I3161" i="4"/>
  <c r="J3161" i="4" s="1"/>
  <c r="I3160" i="4"/>
  <c r="K3159" i="4"/>
  <c r="Q900" i="1" s="1"/>
  <c r="I3158" i="4"/>
  <c r="I3157" i="4"/>
  <c r="I3156" i="4"/>
  <c r="I3155" i="4"/>
  <c r="K3154" i="4"/>
  <c r="J2517" i="4"/>
  <c r="J2514" i="4"/>
  <c r="I2516" i="4"/>
  <c r="I2515" i="4"/>
  <c r="K2513" i="4"/>
  <c r="K2512" i="4"/>
  <c r="J2512" i="4"/>
  <c r="K2511" i="4"/>
  <c r="J2511" i="4"/>
  <c r="I2510" i="4"/>
  <c r="K2509" i="4"/>
  <c r="I2509" i="4"/>
  <c r="K2508" i="4"/>
  <c r="K2507" i="4" s="1"/>
  <c r="I2508" i="4"/>
  <c r="I3152" i="4"/>
  <c r="I3151" i="4"/>
  <c r="K3150" i="4"/>
  <c r="K2505" i="4"/>
  <c r="K2504" i="4" s="1"/>
  <c r="I2505" i="4"/>
  <c r="K2699" i="4"/>
  <c r="K2698" i="4" s="1"/>
  <c r="Q775" i="1" s="1"/>
  <c r="H773" i="1"/>
  <c r="I773" i="1"/>
  <c r="K773" i="1"/>
  <c r="L773" i="1"/>
  <c r="M773" i="1"/>
  <c r="O773" i="1"/>
  <c r="G773" i="1"/>
  <c r="A775" i="1"/>
  <c r="D2694" i="4"/>
  <c r="A2698" i="4"/>
  <c r="I2697" i="4"/>
  <c r="J2697" i="4" s="1"/>
  <c r="I2696" i="4"/>
  <c r="J2696" i="4" s="1"/>
  <c r="K2695" i="4"/>
  <c r="Q774" i="1" s="1"/>
  <c r="O340" i="1"/>
  <c r="K1252" i="4"/>
  <c r="K1251" i="4" s="1"/>
  <c r="J1252" i="4"/>
  <c r="J1251" i="4" s="1"/>
  <c r="I1251" i="4"/>
  <c r="I1250" i="4"/>
  <c r="I1249" i="4"/>
  <c r="K1248" i="4"/>
  <c r="I62" i="4"/>
  <c r="K61" i="4"/>
  <c r="K60" i="4" s="1"/>
  <c r="J59" i="4"/>
  <c r="J58" i="4"/>
  <c r="K57" i="4"/>
  <c r="I57" i="4"/>
  <c r="I2693" i="4"/>
  <c r="J2692" i="4"/>
  <c r="K2691" i="4"/>
  <c r="I1244" i="4"/>
  <c r="J1246" i="4"/>
  <c r="J1245" i="4"/>
  <c r="K1244" i="4"/>
  <c r="J55" i="4"/>
  <c r="J54" i="4"/>
  <c r="K53" i="4"/>
  <c r="I53" i="4"/>
  <c r="K52" i="4"/>
  <c r="I52" i="4" s="1"/>
  <c r="K50" i="4"/>
  <c r="I50" i="4" s="1"/>
  <c r="I2685" i="4"/>
  <c r="I2684" i="4"/>
  <c r="K2683" i="4"/>
  <c r="I2682" i="4"/>
  <c r="I2681" i="4"/>
  <c r="K2680" i="4"/>
  <c r="I2679" i="4"/>
  <c r="I2678" i="4"/>
  <c r="K2677" i="4"/>
  <c r="I2676" i="4"/>
  <c r="J2675" i="4"/>
  <c r="K2674" i="4"/>
  <c r="J1242" i="4"/>
  <c r="I1241" i="4"/>
  <c r="K1240" i="4"/>
  <c r="I1240" i="4"/>
  <c r="J1239" i="4"/>
  <c r="I1238" i="4"/>
  <c r="K1237" i="4"/>
  <c r="I1237" i="4"/>
  <c r="I1236" i="4"/>
  <c r="I1235" i="4"/>
  <c r="I1233" i="4"/>
  <c r="I1232" i="4"/>
  <c r="K1231" i="4"/>
  <c r="K1230" i="4"/>
  <c r="K1229" i="4" s="1"/>
  <c r="J1230" i="4"/>
  <c r="J1229" i="4" s="1"/>
  <c r="I1229" i="4"/>
  <c r="K1228" i="4"/>
  <c r="K1227" i="4" s="1"/>
  <c r="J1228" i="4"/>
  <c r="J1227" i="4" s="1"/>
  <c r="I1227" i="4"/>
  <c r="K1226" i="4"/>
  <c r="I1226" i="4" s="1"/>
  <c r="K1225" i="4"/>
  <c r="I1225" i="4" s="1"/>
  <c r="I1222" i="4"/>
  <c r="K1221" i="4"/>
  <c r="K1220" i="4"/>
  <c r="K1219" i="4" s="1"/>
  <c r="I1220" i="4"/>
  <c r="I1218" i="4"/>
  <c r="J1217" i="4"/>
  <c r="K1216" i="4"/>
  <c r="K1215" i="4"/>
  <c r="K1214" i="4" s="1"/>
  <c r="J1215" i="4"/>
  <c r="J1214" i="4" s="1"/>
  <c r="I1214" i="4"/>
  <c r="I1213" i="4"/>
  <c r="I1212" i="4"/>
  <c r="K1211" i="4"/>
  <c r="K1210" i="4"/>
  <c r="I1210" i="4"/>
  <c r="K1209" i="4"/>
  <c r="K1208" i="4"/>
  <c r="K1207" i="4" s="1"/>
  <c r="I1208" i="4"/>
  <c r="K1206" i="4"/>
  <c r="K1205" i="4" s="1"/>
  <c r="I1206" i="4"/>
  <c r="K1204" i="4"/>
  <c r="K1203" i="4" s="1"/>
  <c r="I1204" i="4"/>
  <c r="I47" i="4"/>
  <c r="K46" i="4"/>
  <c r="K45" i="4" s="1"/>
  <c r="I46" i="4"/>
  <c r="J44" i="4"/>
  <c r="J43" i="4"/>
  <c r="K42" i="4"/>
  <c r="I42" i="4"/>
  <c r="I41" i="4"/>
  <c r="K40" i="4"/>
  <c r="K39" i="4" s="1"/>
  <c r="I40" i="4"/>
  <c r="K38" i="4"/>
  <c r="K37" i="4" s="1"/>
  <c r="I38" i="4"/>
  <c r="J36" i="4"/>
  <c r="J35" i="4"/>
  <c r="K34" i="4"/>
  <c r="I34" i="4"/>
  <c r="J33" i="4"/>
  <c r="J32" i="4"/>
  <c r="K31" i="4"/>
  <c r="I31" i="4"/>
  <c r="J30" i="4"/>
  <c r="J29" i="4"/>
  <c r="K28" i="4"/>
  <c r="I28" i="4"/>
  <c r="K27" i="4"/>
  <c r="K26" i="4" s="1"/>
  <c r="I27" i="4"/>
  <c r="K25" i="4"/>
  <c r="K24" i="4" s="1"/>
  <c r="I25" i="4"/>
  <c r="I23" i="4"/>
  <c r="K22" i="4"/>
  <c r="K21" i="4" s="1"/>
  <c r="I22" i="4"/>
  <c r="J20" i="4"/>
  <c r="J19" i="4"/>
  <c r="K18" i="4"/>
  <c r="I18" i="4"/>
  <c r="J17" i="4"/>
  <c r="J16" i="4"/>
  <c r="K15" i="4"/>
  <c r="I15" i="4"/>
  <c r="K14" i="4"/>
  <c r="K13" i="4" s="1"/>
  <c r="I14" i="4"/>
  <c r="I11" i="4"/>
  <c r="J10" i="4"/>
  <c r="K9" i="4"/>
  <c r="K8" i="4"/>
  <c r="I2672" i="4"/>
  <c r="J2671" i="4"/>
  <c r="K2670" i="4"/>
  <c r="I2669" i="4"/>
  <c r="I2668" i="4"/>
  <c r="K2667" i="4"/>
  <c r="K1201" i="4"/>
  <c r="K1200" i="4" s="1"/>
  <c r="K1199" i="4"/>
  <c r="K1198" i="4" s="1"/>
  <c r="I2699" i="4" l="1"/>
  <c r="I2698" i="4" s="1"/>
  <c r="I2619" i="4"/>
  <c r="I2528" i="4"/>
  <c r="I1205" i="4"/>
  <c r="I2592" i="4"/>
  <c r="I2591" i="4" s="1"/>
  <c r="I2663" i="4"/>
  <c r="I1209" i="4"/>
  <c r="J2560" i="4"/>
  <c r="J2555" i="4"/>
  <c r="J2537" i="4"/>
  <c r="J2676" i="4"/>
  <c r="J2674" i="4" s="1"/>
  <c r="J2632" i="4"/>
  <c r="J2639" i="4"/>
  <c r="J2638" i="4" s="1"/>
  <c r="J2643" i="4"/>
  <c r="J1213" i="4"/>
  <c r="J1233" i="4"/>
  <c r="J1236" i="4"/>
  <c r="J2617" i="4"/>
  <c r="J2616" i="4" s="1"/>
  <c r="J2625" i="4"/>
  <c r="J38" i="4"/>
  <c r="I2601" i="4"/>
  <c r="I2614" i="4"/>
  <c r="J2669" i="4"/>
  <c r="J14" i="4"/>
  <c r="J22" i="4"/>
  <c r="J46" i="4"/>
  <c r="I1203" i="4"/>
  <c r="I1223" i="4"/>
  <c r="J1241" i="4"/>
  <c r="J2682" i="4"/>
  <c r="J2523" i="4"/>
  <c r="J3203" i="4"/>
  <c r="J3202" i="4" s="1"/>
  <c r="J3228" i="4"/>
  <c r="J3232" i="4"/>
  <c r="J3234" i="4"/>
  <c r="J3236" i="4"/>
  <c r="J3240" i="4"/>
  <c r="J3242" i="4"/>
  <c r="J3250" i="4"/>
  <c r="J2668" i="4"/>
  <c r="J2672" i="4"/>
  <c r="J2670" i="4" s="1"/>
  <c r="J11" i="4"/>
  <c r="J9" i="4" s="1"/>
  <c r="J25" i="4"/>
  <c r="J27" i="4"/>
  <c r="J40" i="4"/>
  <c r="J41" i="4"/>
  <c r="J1218" i="4"/>
  <c r="J1216" i="4" s="1"/>
  <c r="I2691" i="4"/>
  <c r="J62" i="4"/>
  <c r="I2507" i="4"/>
  <c r="I2519" i="4"/>
  <c r="J2526" i="4"/>
  <c r="J3167" i="4"/>
  <c r="J2600" i="4"/>
  <c r="J2598" i="4" s="1"/>
  <c r="J3229" i="4"/>
  <c r="J3231" i="4"/>
  <c r="J3237" i="4"/>
  <c r="J3239" i="4"/>
  <c r="J3243" i="4"/>
  <c r="J2657" i="4"/>
  <c r="J2656" i="4" s="1"/>
  <c r="J2662" i="4"/>
  <c r="J3249" i="4"/>
  <c r="I1207" i="4"/>
  <c r="I2634" i="4"/>
  <c r="I2622" i="4"/>
  <c r="I2504" i="4"/>
  <c r="I2616" i="4"/>
  <c r="I2629" i="4"/>
  <c r="J2661" i="4"/>
  <c r="J3156" i="4"/>
  <c r="J3158" i="4"/>
  <c r="J2660" i="4"/>
  <c r="J2664" i="4"/>
  <c r="J2663" i="4" s="1"/>
  <c r="I2659" i="4"/>
  <c r="J3245" i="4"/>
  <c r="I3245" i="4"/>
  <c r="I3248" i="4"/>
  <c r="K3198" i="4"/>
  <c r="Q913" i="1" s="1"/>
  <c r="K2627" i="4"/>
  <c r="K2644" i="4"/>
  <c r="I1219" i="4"/>
  <c r="K49" i="4"/>
  <c r="K51" i="4"/>
  <c r="J1244" i="4"/>
  <c r="I3198" i="4"/>
  <c r="J913" i="1" s="1"/>
  <c r="N913" i="1" s="1"/>
  <c r="I1216" i="4"/>
  <c r="J3155" i="4"/>
  <c r="K3191" i="4"/>
  <c r="Q912" i="1" s="1"/>
  <c r="J3199" i="4"/>
  <c r="J3200" i="4"/>
  <c r="I2598" i="4"/>
  <c r="I2674" i="4"/>
  <c r="I2627" i="4"/>
  <c r="J3166" i="4"/>
  <c r="J2611" i="4"/>
  <c r="K2611" i="4"/>
  <c r="J2620" i="4"/>
  <c r="J2619" i="4" s="1"/>
  <c r="I2631" i="4"/>
  <c r="J2633" i="4"/>
  <c r="J2642" i="4"/>
  <c r="J2645" i="4"/>
  <c r="I3227" i="4"/>
  <c r="I3238" i="4"/>
  <c r="I3191" i="4"/>
  <c r="I3150" i="4"/>
  <c r="J2510" i="4"/>
  <c r="K2510" i="4"/>
  <c r="I2513" i="4"/>
  <c r="K2521" i="4"/>
  <c r="J2527" i="4"/>
  <c r="J3194" i="4"/>
  <c r="I3202" i="4"/>
  <c r="I3225" i="4"/>
  <c r="I1199" i="4"/>
  <c r="I1201" i="4"/>
  <c r="I9" i="4"/>
  <c r="I13" i="4"/>
  <c r="J18" i="4"/>
  <c r="I24" i="4"/>
  <c r="J31" i="4"/>
  <c r="J1212" i="4"/>
  <c r="J2505" i="4"/>
  <c r="J2504" i="4" s="1"/>
  <c r="J3151" i="4"/>
  <c r="J2516" i="4"/>
  <c r="J3196" i="4"/>
  <c r="J2602" i="4"/>
  <c r="J2601" i="4" s="1"/>
  <c r="J3224" i="4"/>
  <c r="I2624" i="4"/>
  <c r="J2626" i="4"/>
  <c r="I2646" i="4"/>
  <c r="I2656" i="4"/>
  <c r="I3230" i="4"/>
  <c r="I3235" i="4"/>
  <c r="I3241" i="4"/>
  <c r="J2648" i="4"/>
  <c r="J2650" i="4"/>
  <c r="J2651" i="4"/>
  <c r="I2652" i="4"/>
  <c r="J2615" i="4"/>
  <c r="J2614" i="4" s="1"/>
  <c r="J2623" i="4"/>
  <c r="J2622" i="4" s="1"/>
  <c r="J2628" i="4"/>
  <c r="J2627" i="4" s="1"/>
  <c r="J2630" i="4"/>
  <c r="J2629" i="4" s="1"/>
  <c r="J2635" i="4"/>
  <c r="J2634" i="4" s="1"/>
  <c r="J2637" i="4"/>
  <c r="J2636" i="4" s="1"/>
  <c r="I2641" i="4"/>
  <c r="I2521" i="4"/>
  <c r="J2594" i="4"/>
  <c r="J2592" i="4" s="1"/>
  <c r="K1224" i="4"/>
  <c r="J1237" i="4"/>
  <c r="J1238" i="4"/>
  <c r="K1234" i="4"/>
  <c r="J2695" i="4"/>
  <c r="J775" i="1"/>
  <c r="P775" i="1" s="1"/>
  <c r="J2515" i="4"/>
  <c r="J3157" i="4"/>
  <c r="J3160" i="4"/>
  <c r="J2524" i="4"/>
  <c r="J2520" i="4"/>
  <c r="J2519" i="4" s="1"/>
  <c r="J3192" i="4"/>
  <c r="I3165" i="4"/>
  <c r="J2522" i="4"/>
  <c r="J2525" i="4"/>
  <c r="J3162" i="4"/>
  <c r="I3154" i="4"/>
  <c r="I3159" i="4"/>
  <c r="J2508" i="4"/>
  <c r="J2509" i="4"/>
  <c r="J3152" i="4"/>
  <c r="I2695" i="4"/>
  <c r="J2699" i="4"/>
  <c r="J2698" i="4" s="1"/>
  <c r="J50" i="4"/>
  <c r="I49" i="4"/>
  <c r="J52" i="4"/>
  <c r="I51" i="4"/>
  <c r="I1224" i="4"/>
  <c r="I61" i="4"/>
  <c r="I2670" i="4"/>
  <c r="J1225" i="4"/>
  <c r="J1226" i="4"/>
  <c r="I26" i="4"/>
  <c r="J28" i="4"/>
  <c r="J42" i="4"/>
  <c r="J1220" i="4"/>
  <c r="J1219" i="4" s="1"/>
  <c r="J1232" i="4"/>
  <c r="J53" i="4"/>
  <c r="K7" i="4"/>
  <c r="I8" i="4"/>
  <c r="J23" i="4"/>
  <c r="I21" i="4"/>
  <c r="J2681" i="4"/>
  <c r="J2685" i="4"/>
  <c r="J2693" i="4"/>
  <c r="J2691" i="4" s="1"/>
  <c r="J47" i="4"/>
  <c r="I45" i="4"/>
  <c r="J1204" i="4"/>
  <c r="J1203" i="4" s="1"/>
  <c r="J1206" i="4"/>
  <c r="J1205" i="4" s="1"/>
  <c r="J1208" i="4"/>
  <c r="J1207" i="4" s="1"/>
  <c r="J1210" i="4"/>
  <c r="J1209" i="4" s="1"/>
  <c r="J1222" i="4"/>
  <c r="J1235" i="4"/>
  <c r="I2677" i="4"/>
  <c r="J2678" i="4"/>
  <c r="J2684" i="4"/>
  <c r="I1243" i="4"/>
  <c r="J15" i="4"/>
  <c r="J34" i="4"/>
  <c r="J57" i="4"/>
  <c r="I1248" i="4"/>
  <c r="J1250" i="4"/>
  <c r="J1249" i="4"/>
  <c r="I2683" i="4"/>
  <c r="I2680" i="4"/>
  <c r="J2679" i="4"/>
  <c r="I1211" i="4"/>
  <c r="I1231" i="4"/>
  <c r="I1234" i="4"/>
  <c r="J1240" i="4"/>
  <c r="I37" i="4"/>
  <c r="I39" i="4"/>
  <c r="I2667" i="4"/>
  <c r="J2667" i="4" l="1"/>
  <c r="J2624" i="4"/>
  <c r="J1211" i="4"/>
  <c r="J2631" i="4"/>
  <c r="J1223" i="4"/>
  <c r="J1221" i="4" s="1"/>
  <c r="J3241" i="4"/>
  <c r="J3238" i="4"/>
  <c r="J39" i="4"/>
  <c r="J1231" i="4"/>
  <c r="J3165" i="4"/>
  <c r="I2690" i="4"/>
  <c r="J2641" i="4"/>
  <c r="J3248" i="4"/>
  <c r="J3235" i="4"/>
  <c r="J3230" i="4"/>
  <c r="J3227" i="4"/>
  <c r="I1221" i="4"/>
  <c r="J2680" i="4"/>
  <c r="J21" i="4"/>
  <c r="J45" i="4"/>
  <c r="J51" i="4"/>
  <c r="J49" i="4"/>
  <c r="J37" i="4"/>
  <c r="J26" i="4"/>
  <c r="J24" i="4"/>
  <c r="J13" i="4"/>
  <c r="J61" i="4"/>
  <c r="J2646" i="4"/>
  <c r="J1201" i="4"/>
  <c r="J1200" i="4" s="1"/>
  <c r="I3223" i="4"/>
  <c r="I3149" i="4"/>
  <c r="I2503" i="4"/>
  <c r="J8" i="4"/>
  <c r="I2655" i="4"/>
  <c r="J1199" i="4"/>
  <c r="J1198" i="4" s="1"/>
  <c r="I3201" i="4"/>
  <c r="I2506" i="4"/>
  <c r="N775" i="1"/>
  <c r="J2659" i="4"/>
  <c r="J3154" i="4"/>
  <c r="I1200" i="4"/>
  <c r="J3150" i="4"/>
  <c r="I2658" i="4"/>
  <c r="I2595" i="4"/>
  <c r="I3244" i="4"/>
  <c r="P913" i="1"/>
  <c r="I2644" i="4"/>
  <c r="I1198" i="4"/>
  <c r="J2513" i="4"/>
  <c r="J3198" i="4"/>
  <c r="J912" i="1"/>
  <c r="J911" i="1" s="1"/>
  <c r="I3190" i="4"/>
  <c r="I60" i="4"/>
  <c r="J3191" i="4"/>
  <c r="J3225" i="4"/>
  <c r="J3223" i="4" s="1"/>
  <c r="I3226" i="4"/>
  <c r="J2652" i="4"/>
  <c r="J2644" i="4" s="1"/>
  <c r="J1234" i="4"/>
  <c r="I2694" i="4"/>
  <c r="J774" i="1"/>
  <c r="P774" i="1" s="1"/>
  <c r="J900" i="1"/>
  <c r="J3159" i="4"/>
  <c r="J2521" i="4"/>
  <c r="I2518" i="4"/>
  <c r="I3164" i="4"/>
  <c r="I3153" i="4"/>
  <c r="J2507" i="4"/>
  <c r="I48" i="4"/>
  <c r="I7" i="4"/>
  <c r="I2673" i="4"/>
  <c r="J1224" i="4"/>
  <c r="J2677" i="4"/>
  <c r="J1248" i="4"/>
  <c r="I1247" i="4"/>
  <c r="I2666" i="4"/>
  <c r="I12" i="4"/>
  <c r="J2683" i="4"/>
  <c r="O754" i="1"/>
  <c r="O738" i="1"/>
  <c r="O735" i="1"/>
  <c r="O731" i="1"/>
  <c r="O729" i="1"/>
  <c r="O707" i="1"/>
  <c r="O704" i="1"/>
  <c r="O700" i="1"/>
  <c r="O698" i="1"/>
  <c r="O651" i="1"/>
  <c r="O566" i="1"/>
  <c r="O517" i="1"/>
  <c r="O440" i="1"/>
  <c r="O417" i="1"/>
  <c r="O343" i="1"/>
  <c r="O338" i="1"/>
  <c r="O323" i="1"/>
  <c r="O320" i="1"/>
  <c r="I1202" i="4" l="1"/>
  <c r="J7" i="4"/>
  <c r="J60" i="4"/>
  <c r="I3222" i="4"/>
  <c r="I2610" i="4"/>
  <c r="I56" i="4"/>
  <c r="I1197" i="4"/>
  <c r="P912" i="1"/>
  <c r="N912" i="1"/>
  <c r="N911" i="1" s="1"/>
  <c r="P900" i="1"/>
  <c r="N900" i="1"/>
  <c r="J773" i="1"/>
  <c r="N774" i="1"/>
  <c r="N773" i="1" s="1"/>
  <c r="O439" i="1"/>
  <c r="O319" i="1" s="1"/>
  <c r="I6" i="4"/>
  <c r="I627" i="4" l="1"/>
  <c r="G551" i="1" l="1"/>
  <c r="G189" i="1"/>
  <c r="I920" i="4" l="1"/>
  <c r="I917" i="4"/>
  <c r="I470" i="4"/>
  <c r="I561" i="4" l="1"/>
  <c r="I469" i="4" l="1"/>
  <c r="D377" i="4" l="1"/>
  <c r="Q643" i="1"/>
  <c r="Q641" i="1"/>
  <c r="Q642" i="1" l="1"/>
  <c r="I1133" i="4" l="1"/>
  <c r="G895" i="1"/>
  <c r="I877" i="1"/>
  <c r="H877" i="1"/>
  <c r="I854" i="1"/>
  <c r="H854" i="1"/>
  <c r="G854" i="1"/>
  <c r="I842" i="1"/>
  <c r="H842" i="1"/>
  <c r="G842" i="1"/>
  <c r="A823" i="1"/>
  <c r="Q894" i="1"/>
  <c r="G877" i="1" l="1"/>
  <c r="A824" i="1"/>
  <c r="A825" i="1" l="1"/>
  <c r="J894" i="1"/>
  <c r="G697" i="1"/>
  <c r="G666" i="1"/>
  <c r="G664" i="1"/>
  <c r="M651" i="1"/>
  <c r="L651" i="1"/>
  <c r="K651" i="1"/>
  <c r="I651" i="1"/>
  <c r="H651" i="1"/>
  <c r="M566" i="1"/>
  <c r="L566" i="1"/>
  <c r="K566" i="1"/>
  <c r="I566" i="1"/>
  <c r="H566" i="1"/>
  <c r="G566" i="1"/>
  <c r="M517" i="1"/>
  <c r="L517" i="1"/>
  <c r="K517" i="1"/>
  <c r="I517" i="1"/>
  <c r="H517" i="1"/>
  <c r="G517" i="1"/>
  <c r="A442" i="1"/>
  <c r="A443" i="1" s="1"/>
  <c r="A444" i="1" s="1"/>
  <c r="M440" i="1"/>
  <c r="L440" i="1"/>
  <c r="K440" i="1"/>
  <c r="I440" i="1"/>
  <c r="H440" i="1"/>
  <c r="G440" i="1"/>
  <c r="Q647" i="1"/>
  <c r="Q646" i="1"/>
  <c r="Q644" i="1"/>
  <c r="Q640" i="1"/>
  <c r="Q635" i="1"/>
  <c r="Q633" i="1"/>
  <c r="Q632" i="1"/>
  <c r="Q630" i="1"/>
  <c r="Q629" i="1"/>
  <c r="Q628" i="1"/>
  <c r="Q627" i="1"/>
  <c r="Q620" i="1"/>
  <c r="Q619" i="1"/>
  <c r="Q615" i="1"/>
  <c r="Q609" i="1"/>
  <c r="Q608" i="1"/>
  <c r="Q602" i="1"/>
  <c r="Q600" i="1"/>
  <c r="Q596" i="1"/>
  <c r="Q595" i="1"/>
  <c r="Q594" i="1"/>
  <c r="Q593" i="1"/>
  <c r="Q592" i="1"/>
  <c r="Q591" i="1"/>
  <c r="Q589" i="1"/>
  <c r="Q588" i="1"/>
  <c r="Q587" i="1"/>
  <c r="Q582" i="1"/>
  <c r="Q581" i="1"/>
  <c r="Q579" i="1"/>
  <c r="Q576" i="1"/>
  <c r="Q575" i="1"/>
  <c r="Q573" i="1"/>
  <c r="Q570" i="1"/>
  <c r="Q563" i="1"/>
  <c r="Q562" i="1"/>
  <c r="Q559" i="1"/>
  <c r="Q558" i="1"/>
  <c r="Q555" i="1"/>
  <c r="Q554" i="1"/>
  <c r="Q553" i="1"/>
  <c r="Q552" i="1"/>
  <c r="Q551" i="1"/>
  <c r="Q550" i="1"/>
  <c r="Q549" i="1"/>
  <c r="Q548" i="1"/>
  <c r="Q547" i="1"/>
  <c r="Q546" i="1"/>
  <c r="Q543" i="1"/>
  <c r="Q542" i="1"/>
  <c r="Q539" i="1"/>
  <c r="Q537" i="1"/>
  <c r="Q536" i="1"/>
  <c r="Q535" i="1"/>
  <c r="Q534" i="1"/>
  <c r="Q533" i="1"/>
  <c r="Q532" i="1"/>
  <c r="Q531" i="1"/>
  <c r="Q530" i="1"/>
  <c r="Q529" i="1"/>
  <c r="Q527" i="1"/>
  <c r="Q526" i="1"/>
  <c r="Q525" i="1"/>
  <c r="Q523" i="1"/>
  <c r="Q520" i="1"/>
  <c r="Q519" i="1"/>
  <c r="Q516" i="1"/>
  <c r="Q515" i="1"/>
  <c r="Q514" i="1"/>
  <c r="Q505" i="1"/>
  <c r="Q504" i="1"/>
  <c r="Q502" i="1"/>
  <c r="Q501" i="1"/>
  <c r="Q500" i="1"/>
  <c r="Q498" i="1"/>
  <c r="Q495" i="1"/>
  <c r="Q494" i="1"/>
  <c r="Q493" i="1"/>
  <c r="Q492" i="1"/>
  <c r="Q489" i="1"/>
  <c r="Q488" i="1"/>
  <c r="Q487" i="1"/>
  <c r="Q485" i="1"/>
  <c r="Q483" i="1"/>
  <c r="Q479" i="1"/>
  <c r="Q477" i="1"/>
  <c r="Q475" i="1"/>
  <c r="Q474" i="1"/>
  <c r="Q473" i="1"/>
  <c r="Q471" i="1"/>
  <c r="Q470" i="1"/>
  <c r="Q468" i="1"/>
  <c r="Q466" i="1"/>
  <c r="Q460" i="1"/>
  <c r="Q459" i="1"/>
  <c r="Q458" i="1"/>
  <c r="Q457" i="1"/>
  <c r="Q456" i="1"/>
  <c r="Q455" i="1"/>
  <c r="Q452" i="1"/>
  <c r="Q451" i="1"/>
  <c r="Q447" i="1"/>
  <c r="Q446" i="1"/>
  <c r="Q442" i="1"/>
  <c r="A1674" i="4"/>
  <c r="A1677" i="4" l="1"/>
  <c r="A1680" i="4" s="1"/>
  <c r="A1684" i="4" s="1"/>
  <c r="A1688" i="4" s="1"/>
  <c r="A1691" i="4" s="1"/>
  <c r="A1694" i="4" s="1"/>
  <c r="A1697" i="4" s="1"/>
  <c r="A1701" i="4" s="1"/>
  <c r="A1705" i="4" s="1"/>
  <c r="A1708" i="4" s="1"/>
  <c r="A1710" i="4" s="1"/>
  <c r="A1712" i="4" s="1"/>
  <c r="A1716" i="4" s="1"/>
  <c r="A1719" i="4" s="1"/>
  <c r="A1722" i="4" s="1"/>
  <c r="A1725" i="4" s="1"/>
  <c r="A1727" i="4" s="1"/>
  <c r="A1730" i="4" s="1"/>
  <c r="A1732" i="4" s="1"/>
  <c r="A1735" i="4" s="1"/>
  <c r="A1745" i="4" s="1"/>
  <c r="A1752" i="4" s="1"/>
  <c r="A1755" i="4" s="1"/>
  <c r="A1758" i="4" s="1"/>
  <c r="A1760" i="4" s="1"/>
  <c r="A1767" i="4" s="1"/>
  <c r="A1770" i="4" s="1"/>
  <c r="A1772" i="4" s="1"/>
  <c r="A1775" i="4" s="1"/>
  <c r="A1778" i="4" s="1"/>
  <c r="A1780" i="4" s="1"/>
  <c r="A1783" i="4" s="1"/>
  <c r="A1786" i="4" s="1"/>
  <c r="A1789" i="4" s="1"/>
  <c r="A1791" i="4" s="1"/>
  <c r="A1794" i="4" s="1"/>
  <c r="A1796" i="4" s="1"/>
  <c r="A1799" i="4" s="1"/>
  <c r="A1806" i="4" s="1"/>
  <c r="A1813" i="4" s="1"/>
  <c r="A1815" i="4" s="1"/>
  <c r="A1818" i="4" s="1"/>
  <c r="A1820" i="4" s="1"/>
  <c r="A1823" i="4" s="1"/>
  <c r="A1833" i="4" s="1"/>
  <c r="A1835" i="4" s="1"/>
  <c r="A1842" i="4" s="1"/>
  <c r="Q658" i="1"/>
  <c r="Q571" i="1"/>
  <c r="Q567" i="1"/>
  <c r="Q610" i="1"/>
  <c r="Q580" i="1"/>
  <c r="Q601" i="1"/>
  <c r="Q569" i="1"/>
  <c r="Q604" i="1"/>
  <c r="Q612" i="1"/>
  <c r="Q650" i="1"/>
  <c r="Q613" i="1"/>
  <c r="Q648" i="1"/>
  <c r="A826" i="1"/>
  <c r="Q503" i="1"/>
  <c r="Q454" i="1"/>
  <c r="Q465" i="1"/>
  <c r="Q541" i="1"/>
  <c r="Q441" i="1"/>
  <c r="Q688" i="1"/>
  <c r="Q463" i="1"/>
  <c r="Q491" i="1"/>
  <c r="Q496" i="1"/>
  <c r="Q497" i="1"/>
  <c r="Q513" i="1"/>
  <c r="Q605" i="1"/>
  <c r="Q660" i="1"/>
  <c r="Q697" i="1"/>
  <c r="Q545" i="1"/>
  <c r="Q557" i="1"/>
  <c r="Q560" i="1"/>
  <c r="Q625" i="1"/>
  <c r="N894" i="1"/>
  <c r="Q652" i="1"/>
  <c r="Q654" i="1"/>
  <c r="Q656" i="1"/>
  <c r="Q661" i="1"/>
  <c r="Q663" i="1"/>
  <c r="Q667" i="1"/>
  <c r="Q669" i="1"/>
  <c r="Q677" i="1"/>
  <c r="Q679" i="1"/>
  <c r="Q689" i="1"/>
  <c r="Q692" i="1"/>
  <c r="Q653" i="1"/>
  <c r="Q655" i="1"/>
  <c r="Q657" i="1"/>
  <c r="Q659" i="1"/>
  <c r="Q662" i="1"/>
  <c r="Q664" i="1"/>
  <c r="Q666" i="1"/>
  <c r="Q670" i="1"/>
  <c r="Q678" i="1"/>
  <c r="Q680" i="1"/>
  <c r="Q681" i="1"/>
  <c r="Q682" i="1"/>
  <c r="Q686" i="1"/>
  <c r="Q693" i="1"/>
  <c r="Q695" i="1"/>
  <c r="Q696" i="1"/>
  <c r="P894" i="1"/>
  <c r="J580" i="1"/>
  <c r="J604" i="1"/>
  <c r="J648" i="1"/>
  <c r="J569" i="1"/>
  <c r="J601" i="1"/>
  <c r="J568" i="1"/>
  <c r="J650" i="1"/>
  <c r="J567" i="1"/>
  <c r="J571" i="1"/>
  <c r="J610" i="1"/>
  <c r="J612" i="1"/>
  <c r="J658" i="1"/>
  <c r="Q518" i="1"/>
  <c r="Q521" i="1"/>
  <c r="Q572" i="1"/>
  <c r="Q585" i="1"/>
  <c r="Q599" i="1"/>
  <c r="Q448" i="1"/>
  <c r="Q480" i="1"/>
  <c r="Q524" i="1"/>
  <c r="Q565" i="1"/>
  <c r="Q617" i="1"/>
  <c r="Q631" i="1"/>
  <c r="Q444" i="1"/>
  <c r="Q472" i="1"/>
  <c r="Q482" i="1"/>
  <c r="Q486" i="1"/>
  <c r="Q540" i="1"/>
  <c r="Q586" i="1"/>
  <c r="Q607" i="1"/>
  <c r="Q445" i="1"/>
  <c r="Q464" i="1"/>
  <c r="Q481" i="1"/>
  <c r="Q568" i="1"/>
  <c r="Q578" i="1"/>
  <c r="I439" i="1"/>
  <c r="L439" i="1"/>
  <c r="G651" i="1"/>
  <c r="H439" i="1"/>
  <c r="K439" i="1"/>
  <c r="M439" i="1"/>
  <c r="Q453" i="1"/>
  <c r="Q469" i="1"/>
  <c r="Q484" i="1"/>
  <c r="Q490" i="1"/>
  <c r="Q512" i="1"/>
  <c r="Q583" i="1"/>
  <c r="Q590" i="1"/>
  <c r="Q621" i="1"/>
  <c r="Q637" i="1"/>
  <c r="Q449" i="1"/>
  <c r="Q450" i="1"/>
  <c r="Q461" i="1"/>
  <c r="Q467" i="1"/>
  <c r="Q476" i="1"/>
  <c r="Q478" i="1"/>
  <c r="Q508" i="1"/>
  <c r="Q556" i="1"/>
  <c r="Q564" i="1"/>
  <c r="Q577" i="1"/>
  <c r="Q597" i="1"/>
  <c r="Q616" i="1"/>
  <c r="Q623" i="1"/>
  <c r="Q462" i="1"/>
  <c r="Q506" i="1"/>
  <c r="Q510" i="1"/>
  <c r="Q522" i="1"/>
  <c r="Q538" i="1"/>
  <c r="Q561" i="1"/>
  <c r="Q574" i="1"/>
  <c r="Q584" i="1"/>
  <c r="Q598" i="1"/>
  <c r="Q624" i="1"/>
  <c r="Q638" i="1"/>
  <c r="Q645" i="1"/>
  <c r="Q618" i="1"/>
  <c r="Q626" i="1"/>
  <c r="Q499" i="1"/>
  <c r="Q507" i="1"/>
  <c r="Q509" i="1"/>
  <c r="Q511" i="1"/>
  <c r="Q544" i="1"/>
  <c r="Q603" i="1"/>
  <c r="Q606" i="1"/>
  <c r="Q611" i="1"/>
  <c r="Q614" i="1"/>
  <c r="Q622" i="1"/>
  <c r="Q634" i="1"/>
  <c r="Q639" i="1"/>
  <c r="Q649" i="1"/>
  <c r="Q636" i="1"/>
  <c r="A1844" i="4" l="1"/>
  <c r="A1846" i="4" s="1"/>
  <c r="A1848" i="4" s="1"/>
  <c r="A1851" i="4" s="1"/>
  <c r="A1854" i="4" s="1"/>
  <c r="A1856" i="4" s="1"/>
  <c r="A1863" i="4" s="1"/>
  <c r="A1866" i="4" s="1"/>
  <c r="A1870" i="4" s="1"/>
  <c r="A1873" i="4" s="1"/>
  <c r="A1878" i="4" s="1"/>
  <c r="A1881" i="4" s="1"/>
  <c r="A1883" i="4" s="1"/>
  <c r="A1885" i="4" s="1"/>
  <c r="A1890" i="4" s="1"/>
  <c r="A1893" i="4" s="1"/>
  <c r="A1895" i="4" s="1"/>
  <c r="A1899" i="4" s="1"/>
  <c r="A1902" i="4" s="1"/>
  <c r="A1905" i="4" s="1"/>
  <c r="A1909" i="4" s="1"/>
  <c r="A1925" i="4" s="1"/>
  <c r="A1930" i="4" s="1"/>
  <c r="A1932" i="4" s="1"/>
  <c r="A1934" i="4" s="1"/>
  <c r="A1936" i="4" s="1"/>
  <c r="A1939" i="4" s="1"/>
  <c r="A1942" i="4" s="1"/>
  <c r="A1944" i="4" s="1"/>
  <c r="A1947" i="4" s="1"/>
  <c r="A1949" i="4" s="1"/>
  <c r="A1953" i="4" s="1"/>
  <c r="A1956" i="4" s="1"/>
  <c r="A1959" i="4" s="1"/>
  <c r="A1963" i="4" s="1"/>
  <c r="A1966" i="4" s="1"/>
  <c r="A1968" i="4" s="1"/>
  <c r="J696" i="1"/>
  <c r="P696" i="1" s="1"/>
  <c r="J688" i="1"/>
  <c r="N688" i="1" s="1"/>
  <c r="J619" i="1"/>
  <c r="P619" i="1" s="1"/>
  <c r="J485" i="1"/>
  <c r="P485" i="1" s="1"/>
  <c r="J697" i="1"/>
  <c r="P697" i="1" s="1"/>
  <c r="J515" i="1"/>
  <c r="P515" i="1" s="1"/>
  <c r="A827" i="1"/>
  <c r="G439" i="1"/>
  <c r="A445" i="1"/>
  <c r="N604" i="1"/>
  <c r="N569" i="1"/>
  <c r="J591" i="1"/>
  <c r="N610" i="1"/>
  <c r="N648" i="1"/>
  <c r="N612" i="1"/>
  <c r="N571" i="1"/>
  <c r="N567" i="1"/>
  <c r="N650" i="1"/>
  <c r="N568" i="1"/>
  <c r="N601" i="1"/>
  <c r="N580" i="1"/>
  <c r="P658" i="1"/>
  <c r="Q691" i="1"/>
  <c r="Q684" i="1"/>
  <c r="Q671" i="1"/>
  <c r="Q673" i="1"/>
  <c r="Q683" i="1"/>
  <c r="Q672" i="1"/>
  <c r="Q694" i="1"/>
  <c r="Q687" i="1"/>
  <c r="Q676" i="1"/>
  <c r="Q685" i="1"/>
  <c r="Q665" i="1"/>
  <c r="J643" i="1"/>
  <c r="J641" i="1"/>
  <c r="Q674" i="1"/>
  <c r="Q668" i="1"/>
  <c r="Q690" i="1"/>
  <c r="Q675" i="1"/>
  <c r="N658" i="1"/>
  <c r="P612" i="1"/>
  <c r="P610" i="1"/>
  <c r="P571" i="1"/>
  <c r="P567" i="1"/>
  <c r="P650" i="1"/>
  <c r="P568" i="1"/>
  <c r="P601" i="1"/>
  <c r="P569" i="1"/>
  <c r="P648" i="1"/>
  <c r="P604" i="1"/>
  <c r="P580" i="1"/>
  <c r="J636" i="1"/>
  <c r="J574" i="1"/>
  <c r="J449" i="1"/>
  <c r="J642" i="1"/>
  <c r="J497" i="1"/>
  <c r="J631" i="1"/>
  <c r="J518" i="1"/>
  <c r="J675" i="1"/>
  <c r="J617" i="1"/>
  <c r="J605" i="1"/>
  <c r="J599" i="1"/>
  <c r="J693" i="1"/>
  <c r="J679" i="1"/>
  <c r="J677" i="1"/>
  <c r="J645" i="1"/>
  <c r="J595" i="1"/>
  <c r="J545" i="1"/>
  <c r="J537" i="1"/>
  <c r="J535" i="1"/>
  <c r="J533" i="1"/>
  <c r="J531" i="1"/>
  <c r="J523" i="1"/>
  <c r="J500" i="1"/>
  <c r="J492" i="1"/>
  <c r="J474" i="1"/>
  <c r="J456" i="1"/>
  <c r="J504" i="1"/>
  <c r="J499" i="1"/>
  <c r="J509" i="1"/>
  <c r="J507" i="1"/>
  <c r="J663" i="1"/>
  <c r="J657" i="1"/>
  <c r="J655" i="1"/>
  <c r="J488" i="1"/>
  <c r="J451" i="1"/>
  <c r="J441" i="1"/>
  <c r="J681" i="1"/>
  <c r="J552" i="1"/>
  <c r="J551" i="1"/>
  <c r="J548" i="1"/>
  <c r="J495" i="1"/>
  <c r="J659" i="1"/>
  <c r="J459" i="1"/>
  <c r="J630" i="1"/>
  <c r="J629" i="1"/>
  <c r="J628" i="1"/>
  <c r="J627" i="1"/>
  <c r="J550" i="1"/>
  <c r="J471" i="1"/>
  <c r="J470" i="1"/>
  <c r="J447" i="1"/>
  <c r="J442" i="1"/>
  <c r="J607" i="1"/>
  <c r="J540" i="1"/>
  <c r="J482" i="1"/>
  <c r="J559" i="1"/>
  <c r="J666" i="1"/>
  <c r="J513" i="1"/>
  <c r="J660" i="1"/>
  <c r="J686" i="1"/>
  <c r="J678" i="1"/>
  <c r="J670" i="1"/>
  <c r="J582" i="1"/>
  <c r="J527" i="1"/>
  <c r="J521" i="1"/>
  <c r="J519" i="1"/>
  <c r="J508" i="1"/>
  <c r="J498" i="1"/>
  <c r="J493" i="1"/>
  <c r="J483" i="1"/>
  <c r="J475" i="1"/>
  <c r="J473" i="1"/>
  <c r="J468" i="1"/>
  <c r="J462" i="1"/>
  <c r="J457" i="1"/>
  <c r="J455" i="1"/>
  <c r="J653" i="1"/>
  <c r="J561" i="1"/>
  <c r="J546" i="1"/>
  <c r="J544" i="1"/>
  <c r="J536" i="1"/>
  <c r="J534" i="1"/>
  <c r="J532" i="1"/>
  <c r="J511" i="1"/>
  <c r="J578" i="1"/>
  <c r="J486" i="1"/>
  <c r="J444" i="1"/>
  <c r="J664" i="1"/>
  <c r="J662" i="1"/>
  <c r="J656" i="1"/>
  <c r="J480" i="1"/>
  <c r="J477" i="1"/>
  <c r="J465" i="1"/>
  <c r="J463" i="1"/>
  <c r="J692" i="1"/>
  <c r="J543" i="1"/>
  <c r="J695" i="1"/>
  <c r="J549" i="1"/>
  <c r="J539" i="1"/>
  <c r="J516" i="1"/>
  <c r="J446" i="1"/>
  <c r="J557" i="1"/>
  <c r="J491" i="1"/>
  <c r="J472" i="1"/>
  <c r="J625" i="1"/>
  <c r="J585" i="1"/>
  <c r="J572" i="1"/>
  <c r="J560" i="1"/>
  <c r="J565" i="1"/>
  <c r="J479" i="1"/>
  <c r="A1975" i="4" l="1"/>
  <c r="A1982" i="4" s="1"/>
  <c r="A1984" i="4" s="1"/>
  <c r="A1986" i="4" s="1"/>
  <c r="A1989" i="4" s="1"/>
  <c r="A1992" i="4" s="1"/>
  <c r="A1995" i="4" s="1"/>
  <c r="A1998" i="4" s="1"/>
  <c r="A2005" i="4" s="1"/>
  <c r="A2008" i="4" s="1"/>
  <c r="A2011" i="4" s="1"/>
  <c r="A2015" i="4" s="1"/>
  <c r="A2018" i="4" s="1"/>
  <c r="A2020" i="4" s="1"/>
  <c r="A2025" i="4" s="1"/>
  <c r="A2027" i="4" s="1"/>
  <c r="A2030" i="4" s="1"/>
  <c r="A2034" i="4" s="1"/>
  <c r="A2037" i="4" s="1"/>
  <c r="A2040" i="4" s="1"/>
  <c r="A2042" i="4" s="1"/>
  <c r="A2045" i="4" s="1"/>
  <c r="A2048" i="4" s="1"/>
  <c r="A2051" i="4" s="1"/>
  <c r="A2054" i="4" s="1"/>
  <c r="A2057" i="4" s="1"/>
  <c r="A2059" i="4" s="1"/>
  <c r="A2061" i="4" s="1"/>
  <c r="A2063" i="4" s="1"/>
  <c r="A2065" i="4" s="1"/>
  <c r="A2067" i="4" s="1"/>
  <c r="A2069" i="4" s="1"/>
  <c r="A2072" i="4" s="1"/>
  <c r="A2074" i="4" s="1"/>
  <c r="A2077" i="4" s="1"/>
  <c r="A2079" i="4" s="1"/>
  <c r="A2081" i="4" s="1"/>
  <c r="A2083" i="4" s="1"/>
  <c r="A2085" i="4" s="1"/>
  <c r="A2092" i="4" s="1"/>
  <c r="J542" i="1"/>
  <c r="N542" i="1" s="1"/>
  <c r="J652" i="1"/>
  <c r="P652" i="1" s="1"/>
  <c r="J526" i="1"/>
  <c r="P526" i="1" s="1"/>
  <c r="J609" i="1"/>
  <c r="N609" i="1" s="1"/>
  <c r="J584" i="1"/>
  <c r="N584" i="1" s="1"/>
  <c r="N696" i="1"/>
  <c r="N619" i="1"/>
  <c r="N485" i="1"/>
  <c r="P688" i="1"/>
  <c r="N515" i="1"/>
  <c r="J647" i="1"/>
  <c r="N647" i="1" s="1"/>
  <c r="J450" i="1"/>
  <c r="N450" i="1" s="1"/>
  <c r="J453" i="1"/>
  <c r="P453" i="1" s="1"/>
  <c r="J467" i="1"/>
  <c r="N467" i="1" s="1"/>
  <c r="J484" i="1"/>
  <c r="N484" i="1" s="1"/>
  <c r="J494" i="1"/>
  <c r="N494" i="1" s="1"/>
  <c r="J489" i="1"/>
  <c r="P489" i="1" s="1"/>
  <c r="J454" i="1"/>
  <c r="P454" i="1" s="1"/>
  <c r="J676" i="1"/>
  <c r="P676" i="1" s="1"/>
  <c r="J689" i="1"/>
  <c r="N689" i="1" s="1"/>
  <c r="J503" i="1"/>
  <c r="P503" i="1" s="1"/>
  <c r="J633" i="1"/>
  <c r="N633" i="1" s="1"/>
  <c r="J654" i="1"/>
  <c r="P654" i="1" s="1"/>
  <c r="J620" i="1"/>
  <c r="N620" i="1" s="1"/>
  <c r="J615" i="1"/>
  <c r="N615" i="1" s="1"/>
  <c r="J530" i="1"/>
  <c r="P530" i="1" s="1"/>
  <c r="J589" i="1"/>
  <c r="N589" i="1" s="1"/>
  <c r="J505" i="1"/>
  <c r="N505" i="1" s="1"/>
  <c r="J640" i="1"/>
  <c r="P640" i="1" s="1"/>
  <c r="J490" i="1"/>
  <c r="P490" i="1" s="1"/>
  <c r="J581" i="1"/>
  <c r="N581" i="1" s="1"/>
  <c r="J452" i="1"/>
  <c r="N452" i="1" s="1"/>
  <c r="J587" i="1"/>
  <c r="P587" i="1" s="1"/>
  <c r="J564" i="1"/>
  <c r="N564" i="1" s="1"/>
  <c r="J469" i="1"/>
  <c r="N469" i="1" s="1"/>
  <c r="J476" i="1"/>
  <c r="P476" i="1" s="1"/>
  <c r="J638" i="1"/>
  <c r="N638" i="1" s="1"/>
  <c r="J644" i="1"/>
  <c r="P644" i="1" s="1"/>
  <c r="J448" i="1"/>
  <c r="P448" i="1" s="1"/>
  <c r="J502" i="1"/>
  <c r="N502" i="1" s="1"/>
  <c r="J682" i="1"/>
  <c r="N682" i="1" s="1"/>
  <c r="J661" i="1"/>
  <c r="P661" i="1" s="1"/>
  <c r="J680" i="1"/>
  <c r="P680" i="1" s="1"/>
  <c r="N697" i="1"/>
  <c r="N516" i="1"/>
  <c r="N591" i="1"/>
  <c r="A446" i="1"/>
  <c r="A828" i="1"/>
  <c r="J608" i="1"/>
  <c r="P591" i="1"/>
  <c r="J646" i="1"/>
  <c r="N474" i="1"/>
  <c r="N441" i="1"/>
  <c r="J547" i="1"/>
  <c r="P565" i="1"/>
  <c r="P572" i="1"/>
  <c r="N625" i="1"/>
  <c r="N530" i="1"/>
  <c r="N491" i="1"/>
  <c r="N557" i="1"/>
  <c r="N662" i="1"/>
  <c r="N444" i="1"/>
  <c r="N578" i="1"/>
  <c r="N511" i="1"/>
  <c r="N546" i="1"/>
  <c r="P653" i="1"/>
  <c r="N455" i="1"/>
  <c r="N462" i="1"/>
  <c r="N473" i="1"/>
  <c r="N483" i="1"/>
  <c r="N493" i="1"/>
  <c r="N508" i="1"/>
  <c r="N521" i="1"/>
  <c r="N582" i="1"/>
  <c r="N670" i="1"/>
  <c r="N686" i="1"/>
  <c r="N660" i="1"/>
  <c r="N513" i="1"/>
  <c r="N666" i="1"/>
  <c r="N540" i="1"/>
  <c r="N447" i="1"/>
  <c r="N627" i="1"/>
  <c r="N628" i="1"/>
  <c r="N659" i="1"/>
  <c r="N548" i="1"/>
  <c r="N552" i="1"/>
  <c r="N657" i="1"/>
  <c r="N663" i="1"/>
  <c r="N507" i="1"/>
  <c r="N499" i="1"/>
  <c r="N504" i="1"/>
  <c r="N492" i="1"/>
  <c r="N500" i="1"/>
  <c r="N523" i="1"/>
  <c r="N531" i="1"/>
  <c r="N533" i="1"/>
  <c r="N535" i="1"/>
  <c r="N537" i="1"/>
  <c r="N545" i="1"/>
  <c r="N595" i="1"/>
  <c r="N645" i="1"/>
  <c r="N449" i="1"/>
  <c r="N574" i="1"/>
  <c r="N636" i="1"/>
  <c r="P641" i="1"/>
  <c r="N561" i="1"/>
  <c r="N677" i="1"/>
  <c r="N679" i="1"/>
  <c r="N693" i="1"/>
  <c r="N599" i="1"/>
  <c r="P605" i="1"/>
  <c r="N617" i="1"/>
  <c r="N675" i="1"/>
  <c r="N518" i="1"/>
  <c r="N631" i="1"/>
  <c r="N497" i="1"/>
  <c r="N534" i="1"/>
  <c r="N641" i="1"/>
  <c r="P656" i="1"/>
  <c r="P662" i="1"/>
  <c r="P664" i="1"/>
  <c r="P695" i="1"/>
  <c r="P692" i="1"/>
  <c r="P670" i="1"/>
  <c r="P678" i="1"/>
  <c r="P686" i="1"/>
  <c r="P660" i="1"/>
  <c r="P666" i="1"/>
  <c r="P659" i="1"/>
  <c r="P681" i="1"/>
  <c r="P655" i="1"/>
  <c r="P657" i="1"/>
  <c r="P663" i="1"/>
  <c r="P677" i="1"/>
  <c r="P679" i="1"/>
  <c r="P693" i="1"/>
  <c r="P675" i="1"/>
  <c r="J613" i="1"/>
  <c r="N643" i="1"/>
  <c r="P643" i="1"/>
  <c r="P479" i="1"/>
  <c r="P625" i="1"/>
  <c r="P472" i="1"/>
  <c r="P557" i="1"/>
  <c r="P446" i="1"/>
  <c r="P539" i="1"/>
  <c r="P549" i="1"/>
  <c r="P543" i="1"/>
  <c r="P463" i="1"/>
  <c r="P477" i="1"/>
  <c r="P578" i="1"/>
  <c r="P532" i="1"/>
  <c r="P536" i="1"/>
  <c r="P544" i="1"/>
  <c r="P561" i="1"/>
  <c r="P455" i="1"/>
  <c r="P462" i="1"/>
  <c r="P473" i="1"/>
  <c r="P483" i="1"/>
  <c r="P493" i="1"/>
  <c r="P508" i="1"/>
  <c r="P527" i="1"/>
  <c r="P582" i="1"/>
  <c r="P559" i="1"/>
  <c r="P540" i="1"/>
  <c r="P442" i="1"/>
  <c r="P470" i="1"/>
  <c r="P550" i="1"/>
  <c r="P628" i="1"/>
  <c r="P630" i="1"/>
  <c r="P459" i="1"/>
  <c r="P495" i="1"/>
  <c r="P548" i="1"/>
  <c r="P552" i="1"/>
  <c r="P441" i="1"/>
  <c r="P451" i="1"/>
  <c r="P488" i="1"/>
  <c r="P507" i="1"/>
  <c r="P509" i="1"/>
  <c r="P499" i="1"/>
  <c r="P504" i="1"/>
  <c r="P456" i="1"/>
  <c r="P474" i="1"/>
  <c r="P492" i="1"/>
  <c r="P500" i="1"/>
  <c r="P523" i="1"/>
  <c r="P531" i="1"/>
  <c r="P533" i="1"/>
  <c r="P535" i="1"/>
  <c r="P537" i="1"/>
  <c r="P545" i="1"/>
  <c r="P595" i="1"/>
  <c r="P645" i="1"/>
  <c r="P599" i="1"/>
  <c r="P617" i="1"/>
  <c r="P518" i="1"/>
  <c r="P631" i="1"/>
  <c r="P497" i="1"/>
  <c r="P642" i="1"/>
  <c r="P560" i="1"/>
  <c r="P585" i="1"/>
  <c r="P491" i="1"/>
  <c r="P516" i="1"/>
  <c r="P465" i="1"/>
  <c r="P480" i="1"/>
  <c r="P444" i="1"/>
  <c r="P486" i="1"/>
  <c r="P511" i="1"/>
  <c r="P534" i="1"/>
  <c r="P546" i="1"/>
  <c r="P457" i="1"/>
  <c r="P468" i="1"/>
  <c r="P475" i="1"/>
  <c r="P498" i="1"/>
  <c r="P519" i="1"/>
  <c r="P521" i="1"/>
  <c r="P513" i="1"/>
  <c r="P482" i="1"/>
  <c r="P607" i="1"/>
  <c r="P447" i="1"/>
  <c r="P471" i="1"/>
  <c r="P627" i="1"/>
  <c r="P629" i="1"/>
  <c r="P551" i="1"/>
  <c r="N459" i="1"/>
  <c r="N495" i="1"/>
  <c r="N551" i="1"/>
  <c r="N681" i="1"/>
  <c r="N656" i="1"/>
  <c r="N664" i="1"/>
  <c r="N486" i="1"/>
  <c r="N655" i="1"/>
  <c r="N532" i="1"/>
  <c r="N536" i="1"/>
  <c r="N544" i="1"/>
  <c r="N653" i="1"/>
  <c r="N457" i="1"/>
  <c r="N498" i="1"/>
  <c r="N519" i="1"/>
  <c r="N527" i="1"/>
  <c r="N678" i="1"/>
  <c r="N451" i="1"/>
  <c r="N488" i="1"/>
  <c r="N509" i="1"/>
  <c r="N456" i="1"/>
  <c r="N468" i="1"/>
  <c r="N475" i="1"/>
  <c r="N629" i="1"/>
  <c r="N471" i="1"/>
  <c r="N442" i="1"/>
  <c r="N482" i="1"/>
  <c r="N630" i="1"/>
  <c r="N607" i="1"/>
  <c r="N470" i="1"/>
  <c r="N559" i="1"/>
  <c r="N550" i="1"/>
  <c r="P449" i="1"/>
  <c r="P574" i="1"/>
  <c r="P636" i="1"/>
  <c r="N695" i="1"/>
  <c r="N543" i="1"/>
  <c r="N480" i="1"/>
  <c r="N465" i="1"/>
  <c r="N560" i="1"/>
  <c r="N549" i="1"/>
  <c r="N479" i="1"/>
  <c r="N463" i="1"/>
  <c r="N477" i="1"/>
  <c r="N692" i="1"/>
  <c r="N539" i="1"/>
  <c r="N446" i="1"/>
  <c r="N585" i="1"/>
  <c r="N472" i="1"/>
  <c r="J501" i="1"/>
  <c r="J506" i="1"/>
  <c r="J524" i="1"/>
  <c r="J586" i="1"/>
  <c r="J600" i="1"/>
  <c r="J611" i="1"/>
  <c r="J622" i="1"/>
  <c r="J649" i="1"/>
  <c r="J684" i="1"/>
  <c r="J553" i="1"/>
  <c r="J563" i="1"/>
  <c r="J683" i="1"/>
  <c r="J458" i="1"/>
  <c r="J635" i="1"/>
  <c r="J673" i="1"/>
  <c r="J445" i="1"/>
  <c r="J538" i="1"/>
  <c r="J562" i="1"/>
  <c r="J573" i="1"/>
  <c r="J674" i="1"/>
  <c r="N642" i="1"/>
  <c r="N605" i="1"/>
  <c r="J602" i="1"/>
  <c r="J461" i="1"/>
  <c r="J598" i="1"/>
  <c r="J626" i="1"/>
  <c r="J671" i="1"/>
  <c r="J694" i="1"/>
  <c r="J520" i="1"/>
  <c r="J522" i="1"/>
  <c r="J514" i="1"/>
  <c r="J529" i="1"/>
  <c r="J541" i="1"/>
  <c r="J558" i="1"/>
  <c r="J570" i="1"/>
  <c r="J575" i="1"/>
  <c r="J593" i="1"/>
  <c r="J603" i="1"/>
  <c r="J606" i="1"/>
  <c r="J614" i="1"/>
  <c r="J634" i="1"/>
  <c r="J668" i="1"/>
  <c r="J691" i="1"/>
  <c r="J525" i="1"/>
  <c r="J466" i="1"/>
  <c r="J590" i="1"/>
  <c r="J583" i="1"/>
  <c r="J621" i="1"/>
  <c r="J672" i="1"/>
  <c r="J690" i="1"/>
  <c r="J464" i="1"/>
  <c r="J481" i="1"/>
  <c r="J496" i="1"/>
  <c r="J555" i="1"/>
  <c r="J576" i="1"/>
  <c r="J597" i="1"/>
  <c r="J623" i="1"/>
  <c r="J665" i="1"/>
  <c r="J685" i="1"/>
  <c r="J512" i="1"/>
  <c r="J556" i="1"/>
  <c r="J667" i="1"/>
  <c r="J669" i="1"/>
  <c r="J632" i="1"/>
  <c r="J624" i="1"/>
  <c r="J618" i="1"/>
  <c r="J687" i="1"/>
  <c r="J554" i="1"/>
  <c r="J579" i="1"/>
  <c r="J588" i="1"/>
  <c r="J596" i="1"/>
  <c r="J639" i="1"/>
  <c r="J510" i="1"/>
  <c r="J637" i="1"/>
  <c r="J478" i="1"/>
  <c r="J577" i="1"/>
  <c r="J487" i="1"/>
  <c r="J594" i="1"/>
  <c r="J592" i="1"/>
  <c r="N565" i="1"/>
  <c r="N572" i="1"/>
  <c r="J616" i="1"/>
  <c r="J460" i="1"/>
  <c r="G242" i="1"/>
  <c r="G240" i="1"/>
  <c r="O229" i="1"/>
  <c r="M229" i="1"/>
  <c r="L229" i="1"/>
  <c r="K229" i="1"/>
  <c r="I229" i="1"/>
  <c r="H229" i="1"/>
  <c r="O197" i="1"/>
  <c r="M197" i="1"/>
  <c r="L197" i="1"/>
  <c r="K197" i="1"/>
  <c r="I197" i="1"/>
  <c r="H197" i="1"/>
  <c r="G197" i="1"/>
  <c r="O163" i="1"/>
  <c r="M163" i="1"/>
  <c r="L163" i="1"/>
  <c r="K163" i="1"/>
  <c r="I163" i="1"/>
  <c r="H163" i="1"/>
  <c r="G163" i="1"/>
  <c r="A105" i="1"/>
  <c r="O103" i="1"/>
  <c r="M103" i="1"/>
  <c r="L103" i="1"/>
  <c r="K103" i="1"/>
  <c r="I103" i="1"/>
  <c r="H103" i="1"/>
  <c r="G103" i="1"/>
  <c r="A2099" i="4" l="1"/>
  <c r="A2112" i="4" s="1"/>
  <c r="A2114" i="4" s="1"/>
  <c r="A2124" i="4" s="1"/>
  <c r="A2126" i="4" s="1"/>
  <c r="A2128" i="4" s="1"/>
  <c r="A2131" i="4" s="1"/>
  <c r="A2133" i="4" s="1"/>
  <c r="A2135" i="4" s="1"/>
  <c r="A2137" i="4" s="1"/>
  <c r="A2139" i="4" s="1"/>
  <c r="A2141" i="4" s="1"/>
  <c r="A2146" i="4" s="1"/>
  <c r="A2148" i="4" s="1"/>
  <c r="A2150" i="4" s="1"/>
  <c r="A2152" i="4" s="1"/>
  <c r="A2154" i="4" s="1"/>
  <c r="A2156" i="4" s="1"/>
  <c r="A2160" i="4" s="1"/>
  <c r="A2162" i="4" s="1"/>
  <c r="A2164" i="4" s="1"/>
  <c r="A2174" i="4" s="1"/>
  <c r="A2184" i="4" s="1"/>
  <c r="A2193" i="4" s="1"/>
  <c r="A2195" i="4" s="1"/>
  <c r="A2197" i="4" s="1"/>
  <c r="A2199" i="4" s="1"/>
  <c r="A2202" i="4" s="1"/>
  <c r="A2204" i="4" s="1"/>
  <c r="A2206" i="4" s="1"/>
  <c r="A2208" i="4" s="1"/>
  <c r="A2210" i="4" s="1"/>
  <c r="A2212" i="4" s="1"/>
  <c r="A2217" i="4" s="1"/>
  <c r="A2219" i="4" s="1"/>
  <c r="N454" i="1"/>
  <c r="N448" i="1"/>
  <c r="N652" i="1"/>
  <c r="P584" i="1"/>
  <c r="N526" i="1"/>
  <c r="P542" i="1"/>
  <c r="P682" i="1"/>
  <c r="P467" i="1"/>
  <c r="P609" i="1"/>
  <c r="P450" i="1"/>
  <c r="P647" i="1"/>
  <c r="P494" i="1"/>
  <c r="P689" i="1"/>
  <c r="N476" i="1"/>
  <c r="P589" i="1"/>
  <c r="N489" i="1"/>
  <c r="N503" i="1"/>
  <c r="P484" i="1"/>
  <c r="P469" i="1"/>
  <c r="N661" i="1"/>
  <c r="N453" i="1"/>
  <c r="P502" i="1"/>
  <c r="N676" i="1"/>
  <c r="N640" i="1"/>
  <c r="N587" i="1"/>
  <c r="P581" i="1"/>
  <c r="P638" i="1"/>
  <c r="N680" i="1"/>
  <c r="P620" i="1"/>
  <c r="P564" i="1"/>
  <c r="P452" i="1"/>
  <c r="P615" i="1"/>
  <c r="P505" i="1"/>
  <c r="P633" i="1"/>
  <c r="N654" i="1"/>
  <c r="N644" i="1"/>
  <c r="N490" i="1"/>
  <c r="A106" i="1"/>
  <c r="N608" i="1"/>
  <c r="A447" i="1"/>
  <c r="N646" i="1"/>
  <c r="A829" i="1"/>
  <c r="N575" i="1"/>
  <c r="P608" i="1"/>
  <c r="P547" i="1"/>
  <c r="P646" i="1"/>
  <c r="N547" i="1"/>
  <c r="N590" i="1"/>
  <c r="P616" i="1"/>
  <c r="P487" i="1"/>
  <c r="N579" i="1"/>
  <c r="P624" i="1"/>
  <c r="N556" i="1"/>
  <c r="N623" i="1"/>
  <c r="P632" i="1"/>
  <c r="N576" i="1"/>
  <c r="N496" i="1"/>
  <c r="N464" i="1"/>
  <c r="N621" i="1"/>
  <c r="N525" i="1"/>
  <c r="N603" i="1"/>
  <c r="N593" i="1"/>
  <c r="N570" i="1"/>
  <c r="N541" i="1"/>
  <c r="N522" i="1"/>
  <c r="N694" i="1"/>
  <c r="P598" i="1"/>
  <c r="P461" i="1"/>
  <c r="P602" i="1"/>
  <c r="N573" i="1"/>
  <c r="N562" i="1"/>
  <c r="N538" i="1"/>
  <c r="P445" i="1"/>
  <c r="P673" i="1"/>
  <c r="P635" i="1"/>
  <c r="N458" i="1"/>
  <c r="N563" i="1"/>
  <c r="N553" i="1"/>
  <c r="N649" i="1"/>
  <c r="N622" i="1"/>
  <c r="N611" i="1"/>
  <c r="N600" i="1"/>
  <c r="N586" i="1"/>
  <c r="N524" i="1"/>
  <c r="N506" i="1"/>
  <c r="N501" i="1"/>
  <c r="N613" i="1"/>
  <c r="P674" i="1"/>
  <c r="P683" i="1"/>
  <c r="P684" i="1"/>
  <c r="P687" i="1"/>
  <c r="P669" i="1"/>
  <c r="P667" i="1"/>
  <c r="P685" i="1"/>
  <c r="P665" i="1"/>
  <c r="P690" i="1"/>
  <c r="P672" i="1"/>
  <c r="P691" i="1"/>
  <c r="P668" i="1"/>
  <c r="P694" i="1"/>
  <c r="P671" i="1"/>
  <c r="P613" i="1"/>
  <c r="N674" i="1"/>
  <c r="N683" i="1"/>
  <c r="N684" i="1"/>
  <c r="P592" i="1"/>
  <c r="P478" i="1"/>
  <c r="P510" i="1"/>
  <c r="P596" i="1"/>
  <c r="P554" i="1"/>
  <c r="P618" i="1"/>
  <c r="P460" i="1"/>
  <c r="N671" i="1"/>
  <c r="N685" i="1"/>
  <c r="N669" i="1"/>
  <c r="P573" i="1"/>
  <c r="P562" i="1"/>
  <c r="P538" i="1"/>
  <c r="P458" i="1"/>
  <c r="P563" i="1"/>
  <c r="P553" i="1"/>
  <c r="P649" i="1"/>
  <c r="P622" i="1"/>
  <c r="P611" i="1"/>
  <c r="P600" i="1"/>
  <c r="P586" i="1"/>
  <c r="P524" i="1"/>
  <c r="P506" i="1"/>
  <c r="P501" i="1"/>
  <c r="P594" i="1"/>
  <c r="P577" i="1"/>
  <c r="P637" i="1"/>
  <c r="P639" i="1"/>
  <c r="P588" i="1"/>
  <c r="P579" i="1"/>
  <c r="P556" i="1"/>
  <c r="P512" i="1"/>
  <c r="P623" i="1"/>
  <c r="P597" i="1"/>
  <c r="P576" i="1"/>
  <c r="P555" i="1"/>
  <c r="P496" i="1"/>
  <c r="P481" i="1"/>
  <c r="P464" i="1"/>
  <c r="P621" i="1"/>
  <c r="P583" i="1"/>
  <c r="P590" i="1"/>
  <c r="P466" i="1"/>
  <c r="P525" i="1"/>
  <c r="P634" i="1"/>
  <c r="P614" i="1"/>
  <c r="P606" i="1"/>
  <c r="P603" i="1"/>
  <c r="P593" i="1"/>
  <c r="P575" i="1"/>
  <c r="P570" i="1"/>
  <c r="P558" i="1"/>
  <c r="P541" i="1"/>
  <c r="P529" i="1"/>
  <c r="P514" i="1"/>
  <c r="P522" i="1"/>
  <c r="P520" i="1"/>
  <c r="P626" i="1"/>
  <c r="N577" i="1"/>
  <c r="N592" i="1"/>
  <c r="N598" i="1"/>
  <c r="N461" i="1"/>
  <c r="N602" i="1"/>
  <c r="J651" i="1"/>
  <c r="J517" i="1"/>
  <c r="N637" i="1"/>
  <c r="N596" i="1"/>
  <c r="N520" i="1"/>
  <c r="N687" i="1"/>
  <c r="N626" i="1"/>
  <c r="N512" i="1"/>
  <c r="N665" i="1"/>
  <c r="N597" i="1"/>
  <c r="N555" i="1"/>
  <c r="N481" i="1"/>
  <c r="N690" i="1"/>
  <c r="N672" i="1"/>
  <c r="N583" i="1"/>
  <c r="N466" i="1"/>
  <c r="N691" i="1"/>
  <c r="N668" i="1"/>
  <c r="N634" i="1"/>
  <c r="N614" i="1"/>
  <c r="N606" i="1"/>
  <c r="N558" i="1"/>
  <c r="N529" i="1"/>
  <c r="N514" i="1"/>
  <c r="N667" i="1"/>
  <c r="N594" i="1"/>
  <c r="N445" i="1"/>
  <c r="N673" i="1"/>
  <c r="N635" i="1"/>
  <c r="J566" i="1"/>
  <c r="N478" i="1"/>
  <c r="N510" i="1"/>
  <c r="N639" i="1"/>
  <c r="N588" i="1"/>
  <c r="N554" i="1"/>
  <c r="N618" i="1"/>
  <c r="N616" i="1"/>
  <c r="N487" i="1"/>
  <c r="N624" i="1"/>
  <c r="N632" i="1"/>
  <c r="G229" i="1"/>
  <c r="I102" i="1"/>
  <c r="L102" i="1"/>
  <c r="O102" i="1"/>
  <c r="H102" i="1"/>
  <c r="K102" i="1"/>
  <c r="M102" i="1"/>
  <c r="N460" i="1"/>
  <c r="J440" i="1"/>
  <c r="K788" i="4"/>
  <c r="K785" i="4"/>
  <c r="K808" i="4"/>
  <c r="K806" i="4"/>
  <c r="K805" i="4"/>
  <c r="K803" i="4"/>
  <c r="K802" i="4"/>
  <c r="K800" i="4"/>
  <c r="K799" i="4"/>
  <c r="K797" i="4"/>
  <c r="K796" i="4"/>
  <c r="K794" i="4"/>
  <c r="K793" i="4"/>
  <c r="K791" i="4"/>
  <c r="K790" i="4"/>
  <c r="K787" i="4"/>
  <c r="K784" i="4"/>
  <c r="A2221" i="4" l="1"/>
  <c r="A2228" i="4" s="1"/>
  <c r="A2230" i="4" s="1"/>
  <c r="A2232" i="4" s="1"/>
  <c r="A2234" i="4" s="1"/>
  <c r="A2236" i="4" s="1"/>
  <c r="A2238" i="4" s="1"/>
  <c r="A2251" i="4" s="1"/>
  <c r="A2253" i="4" s="1"/>
  <c r="A2269" i="4" s="1"/>
  <c r="A2277" i="4" s="1"/>
  <c r="A2279" i="4" s="1"/>
  <c r="A2281" i="4" s="1"/>
  <c r="A2283" i="4" s="1"/>
  <c r="A2285" i="4" s="1"/>
  <c r="A2287" i="4" s="1"/>
  <c r="A2289" i="4" s="1"/>
  <c r="A2291" i="4" s="1"/>
  <c r="A2293" i="4" s="1"/>
  <c r="A2295" i="4" s="1"/>
  <c r="A2297" i="4" s="1"/>
  <c r="A2299" i="4" s="1"/>
  <c r="A2301" i="4" s="1"/>
  <c r="A2303" i="4" s="1"/>
  <c r="A2306" i="4" s="1"/>
  <c r="A2309" i="4" s="1"/>
  <c r="A2312" i="4" s="1"/>
  <c r="A2315" i="4" s="1"/>
  <c r="A2317" i="4" s="1"/>
  <c r="A2319" i="4" s="1"/>
  <c r="A2321" i="4" s="1"/>
  <c r="A2323" i="4" s="1"/>
  <c r="A2325" i="4" s="1"/>
  <c r="A2329" i="4" s="1"/>
  <c r="A2333" i="4" s="1"/>
  <c r="A2335" i="4" s="1"/>
  <c r="A2339" i="4" s="1"/>
  <c r="A2341" i="4" s="1"/>
  <c r="A2346" i="4" s="1"/>
  <c r="A2350" i="4" s="1"/>
  <c r="A2355" i="4" s="1"/>
  <c r="A2358" i="4" s="1"/>
  <c r="A2363" i="4" s="1"/>
  <c r="A2365" i="4" s="1"/>
  <c r="A2367" i="4" s="1"/>
  <c r="A2370" i="4" s="1"/>
  <c r="A2372" i="4" s="1"/>
  <c r="A2376" i="4" s="1"/>
  <c r="A2378" i="4" s="1"/>
  <c r="A2381" i="4" s="1"/>
  <c r="A2383" i="4" s="1"/>
  <c r="A2386" i="4" s="1"/>
  <c r="A2389" i="4" s="1"/>
  <c r="A2392" i="4" s="1"/>
  <c r="A2399" i="4" s="1"/>
  <c r="A2402" i="4" s="1"/>
  <c r="A2404" i="4" s="1"/>
  <c r="A2406" i="4" s="1"/>
  <c r="A2409" i="4" s="1"/>
  <c r="A2412" i="4" s="1"/>
  <c r="A2415" i="4" s="1"/>
  <c r="A2419" i="4" s="1"/>
  <c r="A2422" i="4" s="1"/>
  <c r="A2426" i="4" s="1"/>
  <c r="A2428" i="4" s="1"/>
  <c r="A2430" i="4" s="1"/>
  <c r="A2433" i="4" s="1"/>
  <c r="A2435" i="4" s="1"/>
  <c r="A2437" i="4" s="1"/>
  <c r="A2439" i="4" s="1"/>
  <c r="A2443" i="4" s="1"/>
  <c r="A2445" i="4" s="1"/>
  <c r="A2448" i="4" s="1"/>
  <c r="A2451" i="4" s="1"/>
  <c r="A2454" i="4" s="1"/>
  <c r="A2457" i="4" s="1"/>
  <c r="A2459" i="4" s="1"/>
  <c r="A2462" i="4" s="1"/>
  <c r="A830" i="1"/>
  <c r="A448" i="1"/>
  <c r="A107" i="1"/>
  <c r="N651" i="1"/>
  <c r="N517" i="1"/>
  <c r="G102" i="1"/>
  <c r="N566" i="1"/>
  <c r="N440" i="1"/>
  <c r="J439" i="1"/>
  <c r="K810" i="4"/>
  <c r="K809" i="4"/>
  <c r="K807" i="4"/>
  <c r="K804" i="4"/>
  <c r="K801" i="4"/>
  <c r="K798" i="4"/>
  <c r="K795" i="4"/>
  <c r="K792" i="4"/>
  <c r="K789" i="4"/>
  <c r="K786" i="4"/>
  <c r="J810" i="4"/>
  <c r="J809" i="4"/>
  <c r="J807" i="4"/>
  <c r="J806" i="4"/>
  <c r="J804" i="4"/>
  <c r="J803" i="4"/>
  <c r="J801" i="4"/>
  <c r="J800" i="4"/>
  <c r="J798" i="4"/>
  <c r="J797" i="4"/>
  <c r="J795" i="4"/>
  <c r="J794" i="4"/>
  <c r="J792" i="4"/>
  <c r="J791" i="4"/>
  <c r="J789" i="4"/>
  <c r="J788" i="4"/>
  <c r="J786" i="4"/>
  <c r="J785" i="4"/>
  <c r="A2464" i="4" l="1"/>
  <c r="A2472" i="4" s="1"/>
  <c r="A2474" i="4" s="1"/>
  <c r="A2476" i="4" s="1"/>
  <c r="A2479" i="4" s="1"/>
  <c r="A2481" i="4" s="1"/>
  <c r="A2483" i="4" s="1"/>
  <c r="A2485" i="4" s="1"/>
  <c r="A2487" i="4" s="1"/>
  <c r="A2489" i="4" s="1"/>
  <c r="A2491" i="4" s="1"/>
  <c r="A2494" i="4" s="1"/>
  <c r="A2496" i="4" s="1"/>
  <c r="A2499" i="4" s="1"/>
  <c r="A2501" i="4" s="1"/>
  <c r="A449" i="1"/>
  <c r="A108" i="1"/>
  <c r="A831" i="1"/>
  <c r="N439" i="1"/>
  <c r="K1049" i="4"/>
  <c r="J1049" i="4"/>
  <c r="K1048" i="4"/>
  <c r="J1048" i="4"/>
  <c r="K1047" i="4"/>
  <c r="I1046" i="4"/>
  <c r="J1045" i="4"/>
  <c r="J1044" i="4"/>
  <c r="K1043" i="4"/>
  <c r="I1043" i="4"/>
  <c r="J1042" i="4"/>
  <c r="J1041" i="4"/>
  <c r="K1040" i="4"/>
  <c r="I1040" i="4"/>
  <c r="K1039" i="4"/>
  <c r="J1039" i="4"/>
  <c r="K1038" i="4"/>
  <c r="J1038" i="4"/>
  <c r="K1037" i="4"/>
  <c r="K1036" i="4"/>
  <c r="J1036" i="4"/>
  <c r="K1035" i="4"/>
  <c r="J1035" i="4"/>
  <c r="K1034" i="4"/>
  <c r="K1033" i="4"/>
  <c r="J1033" i="4"/>
  <c r="K1032" i="4"/>
  <c r="J1032" i="4"/>
  <c r="K1031" i="4"/>
  <c r="I1030" i="4"/>
  <c r="I1029" i="4"/>
  <c r="K1028" i="4"/>
  <c r="I1028" i="4" s="1"/>
  <c r="I1026" i="4"/>
  <c r="K1025" i="4"/>
  <c r="K1024" i="4" s="1"/>
  <c r="I1025" i="4"/>
  <c r="K1023" i="4"/>
  <c r="J1023" i="4"/>
  <c r="K1022" i="4"/>
  <c r="J1022" i="4"/>
  <c r="K1021" i="4"/>
  <c r="K1020" i="4"/>
  <c r="J1020" i="4"/>
  <c r="K1019" i="4"/>
  <c r="J1019" i="4"/>
  <c r="K1018" i="4"/>
  <c r="K1017" i="4"/>
  <c r="J1017" i="4"/>
  <c r="K1016" i="4"/>
  <c r="J1016" i="4"/>
  <c r="K1015" i="4"/>
  <c r="I1014" i="4"/>
  <c r="I1013" i="4"/>
  <c r="K1012" i="4"/>
  <c r="K1011" i="4" s="1"/>
  <c r="J1012" i="4"/>
  <c r="I1010" i="4"/>
  <c r="K1009" i="4"/>
  <c r="K1008" i="4" s="1"/>
  <c r="J1009" i="4"/>
  <c r="K1007" i="4"/>
  <c r="J1007" i="4"/>
  <c r="K1006" i="4"/>
  <c r="J1006" i="4"/>
  <c r="K1005" i="4"/>
  <c r="K1004" i="4"/>
  <c r="J1004" i="4"/>
  <c r="K1003" i="4"/>
  <c r="J1003" i="4"/>
  <c r="K1002" i="4"/>
  <c r="K1001" i="4"/>
  <c r="J1001" i="4"/>
  <c r="K1000" i="4"/>
  <c r="J1000" i="4"/>
  <c r="K999" i="4"/>
  <c r="K998" i="4"/>
  <c r="J998" i="4"/>
  <c r="K997" i="4"/>
  <c r="J997" i="4"/>
  <c r="K996" i="4"/>
  <c r="I995" i="4"/>
  <c r="I994" i="4"/>
  <c r="K993" i="4"/>
  <c r="J993" i="4"/>
  <c r="K992" i="4"/>
  <c r="I992" i="4"/>
  <c r="I991" i="4"/>
  <c r="K990" i="4"/>
  <c r="K989" i="4" s="1"/>
  <c r="J990" i="4"/>
  <c r="I988" i="4"/>
  <c r="K987" i="4"/>
  <c r="K985" i="4"/>
  <c r="J985" i="4"/>
  <c r="K984" i="4"/>
  <c r="J984" i="4"/>
  <c r="K983" i="4"/>
  <c r="K982" i="4"/>
  <c r="J982" i="4"/>
  <c r="K981" i="4"/>
  <c r="J981" i="4"/>
  <c r="K980" i="4"/>
  <c r="I979" i="4"/>
  <c r="K978" i="4"/>
  <c r="J978" i="4"/>
  <c r="K977" i="4"/>
  <c r="J977" i="4"/>
  <c r="J976" i="4"/>
  <c r="J975" i="4"/>
  <c r="J974" i="4"/>
  <c r="J973" i="4"/>
  <c r="J972" i="4"/>
  <c r="J971" i="4"/>
  <c r="K970" i="4"/>
  <c r="I970" i="4"/>
  <c r="K969" i="4"/>
  <c r="J969" i="4"/>
  <c r="K968" i="4"/>
  <c r="J968" i="4"/>
  <c r="K967" i="4"/>
  <c r="I966" i="4"/>
  <c r="K965" i="4"/>
  <c r="J965" i="4"/>
  <c r="K964" i="4"/>
  <c r="J964" i="4"/>
  <c r="K963" i="4"/>
  <c r="K962" i="4"/>
  <c r="J962" i="4"/>
  <c r="K961" i="4"/>
  <c r="J961" i="4"/>
  <c r="K960" i="4"/>
  <c r="K959" i="4"/>
  <c r="J959" i="4"/>
  <c r="K958" i="4"/>
  <c r="J958" i="4"/>
  <c r="K957" i="4"/>
  <c r="K956" i="4"/>
  <c r="J956" i="4"/>
  <c r="K955" i="4"/>
  <c r="J955" i="4"/>
  <c r="K954" i="4"/>
  <c r="I953" i="4"/>
  <c r="K952" i="4"/>
  <c r="J952" i="4"/>
  <c r="K951" i="4"/>
  <c r="J951" i="4"/>
  <c r="K950" i="4"/>
  <c r="K949" i="4"/>
  <c r="J949" i="4"/>
  <c r="K948" i="4"/>
  <c r="J948" i="4"/>
  <c r="K947" i="4"/>
  <c r="I946" i="4"/>
  <c r="K945" i="4"/>
  <c r="J943" i="4"/>
  <c r="J942" i="4"/>
  <c r="K941" i="4"/>
  <c r="I941" i="4"/>
  <c r="I940" i="4"/>
  <c r="K939" i="4"/>
  <c r="I939" i="4"/>
  <c r="K938" i="4"/>
  <c r="J937" i="4"/>
  <c r="J936" i="4"/>
  <c r="K935" i="4"/>
  <c r="I935" i="4"/>
  <c r="I934" i="4"/>
  <c r="K933" i="4"/>
  <c r="K932" i="4" s="1"/>
  <c r="I933" i="4"/>
  <c r="I931" i="4"/>
  <c r="K930" i="4"/>
  <c r="K929" i="4" s="1"/>
  <c r="I930" i="4"/>
  <c r="I928" i="4"/>
  <c r="K927" i="4"/>
  <c r="K926" i="4" s="1"/>
  <c r="I927" i="4"/>
  <c r="J925" i="4"/>
  <c r="J924" i="4"/>
  <c r="J923" i="4"/>
  <c r="J922" i="4"/>
  <c r="K921" i="4"/>
  <c r="I921" i="4"/>
  <c r="K919" i="4"/>
  <c r="K918" i="4" s="1"/>
  <c r="I919" i="4"/>
  <c r="K916" i="4"/>
  <c r="K915" i="4" s="1"/>
  <c r="I916" i="4"/>
  <c r="I914" i="4"/>
  <c r="K913" i="4"/>
  <c r="K912" i="4" s="1"/>
  <c r="J913" i="4"/>
  <c r="I911" i="4"/>
  <c r="K910" i="4"/>
  <c r="K909" i="4" s="1"/>
  <c r="J910" i="4"/>
  <c r="K908" i="4"/>
  <c r="J908" i="4"/>
  <c r="K907" i="4"/>
  <c r="J907" i="4"/>
  <c r="K906" i="4"/>
  <c r="K905" i="4"/>
  <c r="J905" i="4"/>
  <c r="K904" i="4"/>
  <c r="J904" i="4"/>
  <c r="K903" i="4"/>
  <c r="I902" i="4"/>
  <c r="K901" i="4"/>
  <c r="J901" i="4"/>
  <c r="K900" i="4"/>
  <c r="J900" i="4"/>
  <c r="K899" i="4"/>
  <c r="I898" i="4"/>
  <c r="I897" i="4"/>
  <c r="K896" i="4"/>
  <c r="K895" i="4" s="1"/>
  <c r="J896" i="4"/>
  <c r="K894" i="4"/>
  <c r="J894" i="4"/>
  <c r="K893" i="4"/>
  <c r="J893" i="4"/>
  <c r="K892" i="4"/>
  <c r="K891" i="4"/>
  <c r="J891" i="4"/>
  <c r="K890" i="4"/>
  <c r="J890" i="4"/>
  <c r="K889" i="4"/>
  <c r="K888" i="4"/>
  <c r="J888" i="4"/>
  <c r="K887" i="4"/>
  <c r="J887" i="4"/>
  <c r="K886" i="4"/>
  <c r="K885" i="4"/>
  <c r="J885" i="4"/>
  <c r="K884" i="4"/>
  <c r="J884" i="4"/>
  <c r="K883" i="4"/>
  <c r="I882" i="4"/>
  <c r="J881" i="4"/>
  <c r="J880" i="4"/>
  <c r="K879" i="4"/>
  <c r="I879" i="4"/>
  <c r="J878" i="4"/>
  <c r="J877" i="4"/>
  <c r="K876" i="4"/>
  <c r="I876" i="4"/>
  <c r="I875" i="4"/>
  <c r="K874" i="4"/>
  <c r="K873" i="4" s="1"/>
  <c r="I874" i="4"/>
  <c r="I872" i="4"/>
  <c r="K871" i="4"/>
  <c r="K870" i="4" s="1"/>
  <c r="I871" i="4"/>
  <c r="I869" i="4"/>
  <c r="K868" i="4"/>
  <c r="I868" i="4"/>
  <c r="K867" i="4"/>
  <c r="I866" i="4"/>
  <c r="K865" i="4"/>
  <c r="J865" i="4"/>
  <c r="K864" i="4"/>
  <c r="I864" i="4"/>
  <c r="J863" i="4"/>
  <c r="J862" i="4"/>
  <c r="K861" i="4"/>
  <c r="I861" i="4"/>
  <c r="J860" i="4"/>
  <c r="J859" i="4"/>
  <c r="K858" i="4"/>
  <c r="I858" i="4"/>
  <c r="J857" i="4"/>
  <c r="J856" i="4"/>
  <c r="K855" i="4"/>
  <c r="I855" i="4"/>
  <c r="J854" i="4"/>
  <c r="J853" i="4"/>
  <c r="K852" i="4"/>
  <c r="I852" i="4"/>
  <c r="J851" i="4"/>
  <c r="J850" i="4"/>
  <c r="K849" i="4"/>
  <c r="I849" i="4"/>
  <c r="J848" i="4"/>
  <c r="J847" i="4"/>
  <c r="K846" i="4"/>
  <c r="I846" i="4"/>
  <c r="J845" i="4"/>
  <c r="J844" i="4"/>
  <c r="K843" i="4"/>
  <c r="I843" i="4"/>
  <c r="J842" i="4"/>
  <c r="I841" i="4"/>
  <c r="K840" i="4"/>
  <c r="J839" i="4"/>
  <c r="J838" i="4"/>
  <c r="K837" i="4"/>
  <c r="I837" i="4"/>
  <c r="K836" i="4"/>
  <c r="J836" i="4"/>
  <c r="K835" i="4"/>
  <c r="J835" i="4"/>
  <c r="K834" i="4"/>
  <c r="K833" i="4"/>
  <c r="J833" i="4"/>
  <c r="K832" i="4"/>
  <c r="J832" i="4"/>
  <c r="K831" i="4"/>
  <c r="K830" i="4"/>
  <c r="J830" i="4"/>
  <c r="K829" i="4"/>
  <c r="J829" i="4"/>
  <c r="K828" i="4"/>
  <c r="I827" i="4"/>
  <c r="K826" i="4"/>
  <c r="J826" i="4"/>
  <c r="K825" i="4"/>
  <c r="J825" i="4"/>
  <c r="K824" i="4"/>
  <c r="K823" i="4"/>
  <c r="J823" i="4"/>
  <c r="K822" i="4"/>
  <c r="J822" i="4"/>
  <c r="K821" i="4"/>
  <c r="K820" i="4"/>
  <c r="J820" i="4"/>
  <c r="K819" i="4"/>
  <c r="J819" i="4"/>
  <c r="K818" i="4"/>
  <c r="K817" i="4"/>
  <c r="J817" i="4"/>
  <c r="K816" i="4"/>
  <c r="J816" i="4"/>
  <c r="K815" i="4"/>
  <c r="K814" i="4"/>
  <c r="J814" i="4"/>
  <c r="K813" i="4"/>
  <c r="J813" i="4"/>
  <c r="K812" i="4"/>
  <c r="I811" i="4"/>
  <c r="J783" i="4"/>
  <c r="K783" i="4"/>
  <c r="I783" i="4"/>
  <c r="K782" i="4"/>
  <c r="I782" i="4"/>
  <c r="K781" i="4"/>
  <c r="J781" i="4"/>
  <c r="K780" i="4"/>
  <c r="K779" i="4"/>
  <c r="I779" i="4"/>
  <c r="K778" i="4"/>
  <c r="J778" i="4"/>
  <c r="K777" i="4"/>
  <c r="K776" i="4"/>
  <c r="J776" i="4"/>
  <c r="K775" i="4"/>
  <c r="J775" i="4"/>
  <c r="K774" i="4"/>
  <c r="K773" i="4"/>
  <c r="J773" i="4"/>
  <c r="K772" i="4"/>
  <c r="J772" i="4"/>
  <c r="K771" i="4"/>
  <c r="K770" i="4"/>
  <c r="J770" i="4"/>
  <c r="K769" i="4"/>
  <c r="J769" i="4"/>
  <c r="K768" i="4"/>
  <c r="I766" i="4"/>
  <c r="K765" i="4"/>
  <c r="K764" i="4" s="1"/>
  <c r="J765" i="4"/>
  <c r="K763" i="4"/>
  <c r="I763" i="4"/>
  <c r="K762" i="4"/>
  <c r="I762" i="4"/>
  <c r="K761" i="4"/>
  <c r="I761" i="4" s="1"/>
  <c r="K760" i="4"/>
  <c r="I760" i="4"/>
  <c r="K758" i="4"/>
  <c r="I758" i="4"/>
  <c r="K757" i="4"/>
  <c r="I757" i="4"/>
  <c r="K756" i="4"/>
  <c r="I756" i="4" s="1"/>
  <c r="K755" i="4"/>
  <c r="I755" i="4"/>
  <c r="I753" i="4"/>
  <c r="K752" i="4"/>
  <c r="J752" i="4"/>
  <c r="I751" i="4"/>
  <c r="K750" i="4"/>
  <c r="J750" i="4"/>
  <c r="I749" i="4"/>
  <c r="K748" i="4"/>
  <c r="J748" i="4"/>
  <c r="I747" i="4"/>
  <c r="K746" i="4"/>
  <c r="J746" i="4"/>
  <c r="K744" i="4"/>
  <c r="J744" i="4"/>
  <c r="K743" i="4"/>
  <c r="J743" i="4"/>
  <c r="K742" i="4"/>
  <c r="K741" i="4"/>
  <c r="J741" i="4"/>
  <c r="K740" i="4"/>
  <c r="J740" i="4"/>
  <c r="K739" i="4"/>
  <c r="K738" i="4"/>
  <c r="J738" i="4"/>
  <c r="K737" i="4"/>
  <c r="J737" i="4"/>
  <c r="K736" i="4"/>
  <c r="K735" i="4"/>
  <c r="J735" i="4"/>
  <c r="K734" i="4"/>
  <c r="J734" i="4"/>
  <c r="K733" i="4"/>
  <c r="K732" i="4"/>
  <c r="J732" i="4"/>
  <c r="K731" i="4"/>
  <c r="J731" i="4"/>
  <c r="K730" i="4"/>
  <c r="K729" i="4"/>
  <c r="J729" i="4"/>
  <c r="K728" i="4"/>
  <c r="J728" i="4"/>
  <c r="K727" i="4"/>
  <c r="I726" i="4"/>
  <c r="J725" i="4"/>
  <c r="J724" i="4"/>
  <c r="K723" i="4"/>
  <c r="I723" i="4"/>
  <c r="J722" i="4"/>
  <c r="J721" i="4"/>
  <c r="K720" i="4"/>
  <c r="I720" i="4"/>
  <c r="J719" i="4"/>
  <c r="J718" i="4"/>
  <c r="K717" i="4"/>
  <c r="I717" i="4"/>
  <c r="K716" i="4"/>
  <c r="J716" i="4"/>
  <c r="K715" i="4"/>
  <c r="J715" i="4"/>
  <c r="K714" i="4"/>
  <c r="K713" i="4"/>
  <c r="J713" i="4"/>
  <c r="K712" i="4"/>
  <c r="J712" i="4"/>
  <c r="K711" i="4"/>
  <c r="K710" i="4"/>
  <c r="J710" i="4"/>
  <c r="K709" i="4"/>
  <c r="J709" i="4"/>
  <c r="K708" i="4"/>
  <c r="K707" i="4"/>
  <c r="J707" i="4"/>
  <c r="K706" i="4"/>
  <c r="J706" i="4"/>
  <c r="K705" i="4"/>
  <c r="I704" i="4"/>
  <c r="K703" i="4"/>
  <c r="I703" i="4"/>
  <c r="K702" i="4"/>
  <c r="J702" i="4"/>
  <c r="K701" i="4"/>
  <c r="I700" i="4"/>
  <c r="K699" i="4"/>
  <c r="I699" i="4"/>
  <c r="K698" i="4"/>
  <c r="J698" i="4"/>
  <c r="K697" i="4"/>
  <c r="K696" i="4"/>
  <c r="I696" i="4"/>
  <c r="K695" i="4"/>
  <c r="J695" i="4"/>
  <c r="K694" i="4"/>
  <c r="J692" i="4"/>
  <c r="J691" i="4"/>
  <c r="K690" i="4"/>
  <c r="I690" i="4"/>
  <c r="K689" i="4"/>
  <c r="K688" i="4" s="1"/>
  <c r="J689" i="4"/>
  <c r="I688" i="4"/>
  <c r="J687" i="4"/>
  <c r="J686" i="4"/>
  <c r="K685" i="4"/>
  <c r="I685" i="4"/>
  <c r="I684" i="4"/>
  <c r="J683" i="4"/>
  <c r="J682" i="4"/>
  <c r="J681" i="4"/>
  <c r="J680" i="4"/>
  <c r="J679" i="4"/>
  <c r="J678" i="4"/>
  <c r="J677" i="4"/>
  <c r="J676" i="4"/>
  <c r="J675" i="4"/>
  <c r="J674" i="4"/>
  <c r="J673" i="4"/>
  <c r="K672" i="4"/>
  <c r="K671" i="4"/>
  <c r="K670" i="4" s="1"/>
  <c r="J671" i="4"/>
  <c r="I670" i="4"/>
  <c r="J669" i="4"/>
  <c r="J668" i="4"/>
  <c r="K667" i="4"/>
  <c r="I667" i="4"/>
  <c r="I666" i="4"/>
  <c r="K665" i="4"/>
  <c r="K664" i="4" s="1"/>
  <c r="I665" i="4"/>
  <c r="K663" i="4"/>
  <c r="I661" i="4"/>
  <c r="K660" i="4"/>
  <c r="K659" i="4" s="1"/>
  <c r="J660" i="4"/>
  <c r="I658" i="4"/>
  <c r="K657" i="4"/>
  <c r="K656" i="4" s="1"/>
  <c r="K655" i="4"/>
  <c r="K654" i="4" s="1"/>
  <c r="I655" i="4"/>
  <c r="K653" i="4"/>
  <c r="K652" i="4" s="1"/>
  <c r="J653" i="4"/>
  <c r="I652" i="4"/>
  <c r="J651" i="4"/>
  <c r="J650" i="4"/>
  <c r="K649" i="4"/>
  <c r="I649" i="4"/>
  <c r="J648" i="4"/>
  <c r="K647" i="4"/>
  <c r="I647" i="4"/>
  <c r="J646" i="4"/>
  <c r="J645" i="4"/>
  <c r="K644" i="4"/>
  <c r="I644" i="4"/>
  <c r="I643" i="4"/>
  <c r="K642" i="4"/>
  <c r="K641" i="4" s="1"/>
  <c r="J642" i="4"/>
  <c r="I640" i="4"/>
  <c r="K639" i="4"/>
  <c r="K638" i="4" s="1"/>
  <c r="I639" i="4"/>
  <c r="I637" i="4"/>
  <c r="K636" i="4"/>
  <c r="K635" i="4" s="1"/>
  <c r="J636" i="4"/>
  <c r="I634" i="4"/>
  <c r="K633" i="4"/>
  <c r="I633" i="4"/>
  <c r="I632" i="4"/>
  <c r="K631" i="4"/>
  <c r="I631" i="4"/>
  <c r="I630" i="4"/>
  <c r="K629" i="4"/>
  <c r="I629" i="4"/>
  <c r="K626" i="4"/>
  <c r="K625" i="4" s="1"/>
  <c r="I626" i="4"/>
  <c r="I624" i="4"/>
  <c r="K623" i="4"/>
  <c r="K622" i="4" s="1"/>
  <c r="J623" i="4"/>
  <c r="J621" i="4"/>
  <c r="J620" i="4"/>
  <c r="K619" i="4"/>
  <c r="I619" i="4"/>
  <c r="J618" i="4"/>
  <c r="J617" i="4"/>
  <c r="K616" i="4"/>
  <c r="I616" i="4"/>
  <c r="K615" i="4"/>
  <c r="K614" i="4" s="1"/>
  <c r="I615" i="4"/>
  <c r="I613" i="4"/>
  <c r="K612" i="4"/>
  <c r="K611" i="4" s="1"/>
  <c r="I612" i="4"/>
  <c r="K610" i="4"/>
  <c r="J610" i="4"/>
  <c r="K609" i="4"/>
  <c r="J609" i="4"/>
  <c r="K608" i="4"/>
  <c r="K607" i="4"/>
  <c r="J607" i="4"/>
  <c r="K606" i="4"/>
  <c r="J606" i="4"/>
  <c r="K605" i="4"/>
  <c r="I604" i="4"/>
  <c r="I603" i="4"/>
  <c r="K602" i="4"/>
  <c r="J602" i="4"/>
  <c r="I601" i="4"/>
  <c r="K600" i="4"/>
  <c r="J600" i="4"/>
  <c r="I599" i="4"/>
  <c r="K598" i="4"/>
  <c r="J596" i="4"/>
  <c r="J595" i="4"/>
  <c r="K594" i="4"/>
  <c r="I594" i="4"/>
  <c r="I593" i="4"/>
  <c r="K592" i="4"/>
  <c r="K591" i="4" s="1"/>
  <c r="J592" i="4"/>
  <c r="I590" i="4"/>
  <c r="K589" i="4"/>
  <c r="K588" i="4" s="1"/>
  <c r="I589" i="4"/>
  <c r="J587" i="4"/>
  <c r="J586" i="4"/>
  <c r="K585" i="4"/>
  <c r="I585" i="4"/>
  <c r="J584" i="4"/>
  <c r="J583" i="4"/>
  <c r="K582" i="4"/>
  <c r="I582" i="4"/>
  <c r="I581" i="4"/>
  <c r="K580" i="4"/>
  <c r="K579" i="4" s="1"/>
  <c r="J580" i="4"/>
  <c r="J578" i="4"/>
  <c r="J577" i="4"/>
  <c r="K576" i="4"/>
  <c r="I576" i="4"/>
  <c r="I575" i="4"/>
  <c r="K574" i="4"/>
  <c r="K573" i="4" s="1"/>
  <c r="I574" i="4"/>
  <c r="K572" i="4"/>
  <c r="K571" i="4" s="1"/>
  <c r="I572" i="4"/>
  <c r="I570" i="4"/>
  <c r="K569" i="4"/>
  <c r="K568" i="4" s="1"/>
  <c r="J569" i="4"/>
  <c r="I568" i="4"/>
  <c r="K567" i="4"/>
  <c r="K566" i="4" s="1"/>
  <c r="I567" i="4"/>
  <c r="K564" i="4"/>
  <c r="I564" i="4"/>
  <c r="I563" i="4"/>
  <c r="J562" i="4"/>
  <c r="J561" i="4"/>
  <c r="J560" i="4"/>
  <c r="J559" i="4"/>
  <c r="I558" i="4"/>
  <c r="K557" i="4"/>
  <c r="K556" i="4"/>
  <c r="I556" i="4" s="1"/>
  <c r="K555" i="4"/>
  <c r="I555" i="4" s="1"/>
  <c r="K554" i="4"/>
  <c r="I554" i="4" s="1"/>
  <c r="K553" i="4"/>
  <c r="I553" i="4" s="1"/>
  <c r="J551" i="4"/>
  <c r="J550" i="4"/>
  <c r="K549" i="4"/>
  <c r="I549" i="4"/>
  <c r="K548" i="4"/>
  <c r="K547" i="4" s="1"/>
  <c r="J548" i="4"/>
  <c r="I547" i="4"/>
  <c r="K546" i="4"/>
  <c r="I546" i="4"/>
  <c r="K545" i="4"/>
  <c r="I545" i="4"/>
  <c r="K544" i="4"/>
  <c r="I544" i="4"/>
  <c r="J542" i="4"/>
  <c r="J541" i="4"/>
  <c r="K540" i="4"/>
  <c r="I540" i="4"/>
  <c r="I539" i="4"/>
  <c r="J538" i="4"/>
  <c r="J537" i="4"/>
  <c r="J536" i="4"/>
  <c r="K535" i="4"/>
  <c r="K534" i="4"/>
  <c r="K533" i="4" s="1"/>
  <c r="J534" i="4"/>
  <c r="I533" i="4"/>
  <c r="I532" i="4"/>
  <c r="K531" i="4"/>
  <c r="K530" i="4" s="1"/>
  <c r="I531" i="4"/>
  <c r="I529" i="4"/>
  <c r="K528" i="4"/>
  <c r="K527" i="4" s="1"/>
  <c r="J528" i="4"/>
  <c r="J526" i="4"/>
  <c r="J525" i="4"/>
  <c r="K524" i="4"/>
  <c r="I524" i="4"/>
  <c r="I523" i="4"/>
  <c r="K522" i="4"/>
  <c r="I522" i="4" s="1"/>
  <c r="I521" i="4"/>
  <c r="K520" i="4"/>
  <c r="I520" i="4" s="1"/>
  <c r="I519" i="4"/>
  <c r="K518" i="4"/>
  <c r="I518" i="4"/>
  <c r="K516" i="4"/>
  <c r="K515" i="4" s="1"/>
  <c r="J516" i="4"/>
  <c r="I515" i="4"/>
  <c r="I514" i="4"/>
  <c r="K513" i="4"/>
  <c r="K512" i="4" s="1"/>
  <c r="J513" i="4"/>
  <c r="I511" i="4"/>
  <c r="K510" i="4"/>
  <c r="K509" i="4" s="1"/>
  <c r="J510" i="4"/>
  <c r="J508" i="4"/>
  <c r="J507" i="4"/>
  <c r="K506" i="4"/>
  <c r="I506" i="4"/>
  <c r="J505" i="4"/>
  <c r="J504" i="4"/>
  <c r="K503" i="4"/>
  <c r="I503" i="4"/>
  <c r="J502" i="4"/>
  <c r="J501" i="4"/>
  <c r="K500" i="4"/>
  <c r="I500" i="4"/>
  <c r="J499" i="4"/>
  <c r="J498" i="4"/>
  <c r="K497" i="4"/>
  <c r="I497" i="4"/>
  <c r="K496" i="4"/>
  <c r="I496" i="4" s="1"/>
  <c r="K495" i="4"/>
  <c r="I495" i="4" s="1"/>
  <c r="K494" i="4"/>
  <c r="I494" i="4" s="1"/>
  <c r="I492" i="4"/>
  <c r="K491" i="4"/>
  <c r="K490" i="4" s="1"/>
  <c r="J491" i="4"/>
  <c r="I489" i="4"/>
  <c r="K488" i="4"/>
  <c r="K487" i="4" s="1"/>
  <c r="J488" i="4"/>
  <c r="J486" i="4"/>
  <c r="J485" i="4"/>
  <c r="J484" i="4"/>
  <c r="J483" i="4"/>
  <c r="J482" i="4"/>
  <c r="J481" i="4"/>
  <c r="K480" i="4"/>
  <c r="I480" i="4"/>
  <c r="I479" i="4"/>
  <c r="K478" i="4"/>
  <c r="K477" i="4" s="1"/>
  <c r="I478" i="4"/>
  <c r="I476" i="4"/>
  <c r="K475" i="4"/>
  <c r="K474" i="4" s="1"/>
  <c r="I475" i="4"/>
  <c r="I473" i="4"/>
  <c r="K472" i="4"/>
  <c r="K471" i="4" s="1"/>
  <c r="I472" i="4"/>
  <c r="K469" i="4"/>
  <c r="K468" i="4" s="1"/>
  <c r="J469" i="4"/>
  <c r="I467" i="4"/>
  <c r="K466" i="4"/>
  <c r="K465" i="4" s="1"/>
  <c r="I466" i="4"/>
  <c r="I464" i="4"/>
  <c r="K463" i="4"/>
  <c r="K462" i="4" s="1"/>
  <c r="I463" i="4"/>
  <c r="J461" i="4"/>
  <c r="J460" i="4"/>
  <c r="K459" i="4"/>
  <c r="I459" i="4"/>
  <c r="K458" i="4"/>
  <c r="K457" i="4" s="1"/>
  <c r="I458" i="4"/>
  <c r="I456" i="4"/>
  <c r="K455" i="4"/>
  <c r="K454" i="4" s="1"/>
  <c r="J455" i="4"/>
  <c r="J453" i="4"/>
  <c r="J452" i="4"/>
  <c r="K451" i="4"/>
  <c r="I451" i="4"/>
  <c r="I450" i="4"/>
  <c r="K449" i="4"/>
  <c r="K448" i="4" s="1"/>
  <c r="I449" i="4"/>
  <c r="K447" i="4"/>
  <c r="J447" i="4"/>
  <c r="K446" i="4"/>
  <c r="J446" i="4"/>
  <c r="K445" i="4"/>
  <c r="J445" i="4"/>
  <c r="K444" i="4"/>
  <c r="J444" i="4"/>
  <c r="K443" i="4"/>
  <c r="J443" i="4"/>
  <c r="K442" i="4"/>
  <c r="J442" i="4"/>
  <c r="I441" i="4"/>
  <c r="K440" i="4"/>
  <c r="K439" i="4" s="1"/>
  <c r="I440" i="4"/>
  <c r="J438" i="4"/>
  <c r="J437" i="4"/>
  <c r="K436" i="4"/>
  <c r="I436" i="4"/>
  <c r="J435" i="4"/>
  <c r="J434" i="4"/>
  <c r="K433" i="4"/>
  <c r="I433" i="4"/>
  <c r="K432" i="4"/>
  <c r="K431" i="4" s="1"/>
  <c r="I432" i="4"/>
  <c r="I430" i="4"/>
  <c r="K429" i="4"/>
  <c r="K428" i="4" s="1"/>
  <c r="I429" i="4"/>
  <c r="K427" i="4"/>
  <c r="K426" i="4" s="1"/>
  <c r="J427" i="4"/>
  <c r="I426" i="4"/>
  <c r="K425" i="4"/>
  <c r="K424" i="4" s="1"/>
  <c r="I425" i="4"/>
  <c r="I423" i="4"/>
  <c r="K422" i="4"/>
  <c r="K421" i="4" s="1"/>
  <c r="I422" i="4"/>
  <c r="J420" i="4"/>
  <c r="J419" i="4"/>
  <c r="K418" i="4"/>
  <c r="I418" i="4"/>
  <c r="I417" i="4"/>
  <c r="K416" i="4"/>
  <c r="K415" i="4" s="1"/>
  <c r="I416" i="4"/>
  <c r="J414" i="4"/>
  <c r="J413" i="4"/>
  <c r="J412" i="4"/>
  <c r="J411" i="4"/>
  <c r="J410" i="4"/>
  <c r="J409" i="4"/>
  <c r="K408" i="4"/>
  <c r="I408" i="4"/>
  <c r="J407" i="4"/>
  <c r="J406" i="4"/>
  <c r="K405" i="4"/>
  <c r="I405" i="4"/>
  <c r="J404" i="4"/>
  <c r="I403" i="4"/>
  <c r="J402" i="4"/>
  <c r="J401" i="4"/>
  <c r="J400" i="4"/>
  <c r="J399" i="4"/>
  <c r="K398" i="4"/>
  <c r="K397" i="4"/>
  <c r="J397" i="4"/>
  <c r="K396" i="4"/>
  <c r="J396" i="4"/>
  <c r="K395" i="4"/>
  <c r="J395" i="4"/>
  <c r="K394" i="4"/>
  <c r="J394" i="4"/>
  <c r="K393" i="4"/>
  <c r="J393" i="4"/>
  <c r="K392" i="4"/>
  <c r="J392" i="4"/>
  <c r="I391" i="4"/>
  <c r="K390" i="4"/>
  <c r="K389" i="4" s="1"/>
  <c r="I390" i="4"/>
  <c r="I388" i="4"/>
  <c r="K387" i="4"/>
  <c r="K386" i="4" s="1"/>
  <c r="I387" i="4"/>
  <c r="I385" i="4"/>
  <c r="K384" i="4"/>
  <c r="K383" i="4" s="1"/>
  <c r="I384" i="4"/>
  <c r="K382" i="4"/>
  <c r="K381" i="4" s="1"/>
  <c r="I382" i="4"/>
  <c r="A381" i="4"/>
  <c r="A383" i="4" s="1"/>
  <c r="A386" i="4" s="1"/>
  <c r="A389" i="4" s="1"/>
  <c r="A391" i="4" s="1"/>
  <c r="A398" i="4" s="1"/>
  <c r="A405" i="4" s="1"/>
  <c r="A408" i="4" s="1"/>
  <c r="A415" i="4" s="1"/>
  <c r="A418" i="4" s="1"/>
  <c r="A421" i="4" s="1"/>
  <c r="A424" i="4" s="1"/>
  <c r="A426" i="4" s="1"/>
  <c r="A428" i="4" s="1"/>
  <c r="A431" i="4" s="1"/>
  <c r="A433" i="4" s="1"/>
  <c r="A436" i="4" s="1"/>
  <c r="A439" i="4" s="1"/>
  <c r="A441" i="4" s="1"/>
  <c r="A448" i="4" s="1"/>
  <c r="A451" i="4" s="1"/>
  <c r="A454" i="4" s="1"/>
  <c r="A457" i="4" s="1"/>
  <c r="A459" i="4" s="1"/>
  <c r="A462" i="4" s="1"/>
  <c r="A465" i="4" s="1"/>
  <c r="A468" i="4" s="1"/>
  <c r="A471" i="4" s="1"/>
  <c r="A474" i="4" s="1"/>
  <c r="A477" i="4" s="1"/>
  <c r="A480" i="4" s="1"/>
  <c r="A487" i="4" s="1"/>
  <c r="A490" i="4" s="1"/>
  <c r="A493" i="4" s="1"/>
  <c r="A497" i="4" s="1"/>
  <c r="A500" i="4" s="1"/>
  <c r="A503" i="4" s="1"/>
  <c r="A506" i="4" s="1"/>
  <c r="A509" i="4" s="1"/>
  <c r="A512" i="4" s="1"/>
  <c r="A515" i="4" s="1"/>
  <c r="A517" i="4" s="1"/>
  <c r="A524" i="4" s="1"/>
  <c r="A527" i="4" s="1"/>
  <c r="A530" i="4" s="1"/>
  <c r="A533" i="4" s="1"/>
  <c r="A535" i="4" s="1"/>
  <c r="A540" i="4" s="1"/>
  <c r="A543" i="4" s="1"/>
  <c r="A547" i="4" s="1"/>
  <c r="A549" i="4" s="1"/>
  <c r="A552" i="4" s="1"/>
  <c r="A557" i="4" s="1"/>
  <c r="A566" i="4" s="1"/>
  <c r="A568" i="4" s="1"/>
  <c r="A571" i="4" s="1"/>
  <c r="A573" i="4" s="1"/>
  <c r="A576" i="4" s="1"/>
  <c r="A579" i="4" s="1"/>
  <c r="A582" i="4" s="1"/>
  <c r="A585" i="4" s="1"/>
  <c r="A588" i="4" s="1"/>
  <c r="A591" i="4" s="1"/>
  <c r="A594" i="4" s="1"/>
  <c r="A597" i="4" s="1"/>
  <c r="A604" i="4" s="1"/>
  <c r="A611" i="4" s="1"/>
  <c r="A614" i="4" s="1"/>
  <c r="A616" i="4" s="1"/>
  <c r="A619" i="4" s="1"/>
  <c r="A622" i="4" s="1"/>
  <c r="A625" i="4" s="1"/>
  <c r="A628" i="4" s="1"/>
  <c r="A635" i="4" s="1"/>
  <c r="A638" i="4" s="1"/>
  <c r="A641" i="4" s="1"/>
  <c r="A644" i="4" s="1"/>
  <c r="A647" i="4" s="1"/>
  <c r="A649" i="4" s="1"/>
  <c r="A652" i="4" s="1"/>
  <c r="A654" i="4" s="1"/>
  <c r="A656" i="4" s="1"/>
  <c r="A659" i="4" s="1"/>
  <c r="A662" i="4" s="1"/>
  <c r="A664" i="4" s="1"/>
  <c r="A667" i="4" s="1"/>
  <c r="A670" i="4" s="1"/>
  <c r="A672" i="4" s="1"/>
  <c r="A685" i="4" s="1"/>
  <c r="A688" i="4" s="1"/>
  <c r="A690" i="4" s="1"/>
  <c r="A693" i="4" s="1"/>
  <c r="A700" i="4" s="1"/>
  <c r="A704" i="4" s="1"/>
  <c r="A717" i="4" s="1"/>
  <c r="A720" i="4" s="1"/>
  <c r="A723" i="4" s="1"/>
  <c r="A726" i="4" s="1"/>
  <c r="A745" i="4" s="1"/>
  <c r="A754" i="4" s="1"/>
  <c r="A759" i="4" s="1"/>
  <c r="A764" i="4" s="1"/>
  <c r="A767" i="4" s="1"/>
  <c r="A783" i="4" s="1"/>
  <c r="A811" i="4" s="1"/>
  <c r="A827" i="4" s="1"/>
  <c r="A837" i="4" s="1"/>
  <c r="A840" i="4" s="1"/>
  <c r="A843" i="4" s="1"/>
  <c r="A846" i="4" s="1"/>
  <c r="A849" i="4" s="1"/>
  <c r="A852" i="4" s="1"/>
  <c r="A855" i="4" s="1"/>
  <c r="A858" i="4" s="1"/>
  <c r="A861" i="4" s="1"/>
  <c r="A864" i="4" s="1"/>
  <c r="A867" i="4" s="1"/>
  <c r="A870" i="4" s="1"/>
  <c r="A873" i="4" s="1"/>
  <c r="A876" i="4" s="1"/>
  <c r="A879" i="4" s="1"/>
  <c r="I380" i="4"/>
  <c r="K379" i="4"/>
  <c r="K378" i="4" s="1"/>
  <c r="I379" i="4"/>
  <c r="Q107" i="1" l="1"/>
  <c r="Q108" i="1"/>
  <c r="Q110" i="1"/>
  <c r="Q111" i="1"/>
  <c r="Q112" i="1"/>
  <c r="Q113" i="1"/>
  <c r="Q116" i="1"/>
  <c r="Q117" i="1"/>
  <c r="Q118" i="1"/>
  <c r="Q124" i="1"/>
  <c r="Q127" i="1"/>
  <c r="Q128" i="1"/>
  <c r="Q129" i="1"/>
  <c r="Q131" i="1"/>
  <c r="Q132" i="1"/>
  <c r="Q134" i="1"/>
  <c r="Q137" i="1"/>
  <c r="Q139" i="1"/>
  <c r="Q140" i="1"/>
  <c r="Q141" i="1"/>
  <c r="Q142" i="1"/>
  <c r="Q143" i="1"/>
  <c r="J515" i="4"/>
  <c r="Q147" i="1"/>
  <c r="Q148" i="1"/>
  <c r="J533" i="4"/>
  <c r="Q151" i="1"/>
  <c r="Q152" i="1"/>
  <c r="Q154" i="1"/>
  <c r="Q155" i="1"/>
  <c r="Q162" i="1"/>
  <c r="Q164" i="1"/>
  <c r="Q168" i="1"/>
  <c r="Q172" i="1"/>
  <c r="Q177" i="1"/>
  <c r="Q180" i="1"/>
  <c r="Q182" i="1"/>
  <c r="Q183" i="1"/>
  <c r="Q185" i="1"/>
  <c r="Q186" i="1"/>
  <c r="Q188" i="1"/>
  <c r="Q190" i="1"/>
  <c r="Q192" i="1"/>
  <c r="J688" i="4"/>
  <c r="Q201" i="1"/>
  <c r="Q202" i="1"/>
  <c r="Q203" i="1"/>
  <c r="Q213" i="1"/>
  <c r="Q224" i="1"/>
  <c r="Q226" i="1"/>
  <c r="Q227" i="1"/>
  <c r="Q234" i="1"/>
  <c r="Q239" i="1"/>
  <c r="Q241" i="1"/>
  <c r="Q243" i="1"/>
  <c r="Q251" i="1"/>
  <c r="Q254" i="1"/>
  <c r="Q257" i="1"/>
  <c r="Q104" i="1"/>
  <c r="Q105" i="1"/>
  <c r="Q106" i="1"/>
  <c r="Q114" i="1"/>
  <c r="Q115" i="1"/>
  <c r="J426" i="4"/>
  <c r="Q119" i="1"/>
  <c r="Q120" i="1"/>
  <c r="Q121" i="1"/>
  <c r="Q122" i="1"/>
  <c r="Q125" i="1"/>
  <c r="Q126" i="1"/>
  <c r="Q130" i="1"/>
  <c r="Q133" i="1"/>
  <c r="Q135" i="1"/>
  <c r="Q136" i="1"/>
  <c r="Q144" i="1"/>
  <c r="Q145" i="1"/>
  <c r="Q149" i="1"/>
  <c r="Q150" i="1"/>
  <c r="J547" i="4"/>
  <c r="Q157" i="1"/>
  <c r="Q158" i="1"/>
  <c r="Q159" i="1"/>
  <c r="Q160" i="1"/>
  <c r="Q161" i="1"/>
  <c r="Q165" i="1"/>
  <c r="Q166" i="1"/>
  <c r="Q167" i="1"/>
  <c r="Q169" i="1"/>
  <c r="Q173" i="1"/>
  <c r="Q174" i="1"/>
  <c r="Q175" i="1"/>
  <c r="Q176" i="1"/>
  <c r="Q179" i="1"/>
  <c r="Q181" i="1"/>
  <c r="J647" i="4"/>
  <c r="Q184" i="1"/>
  <c r="J652" i="4"/>
  <c r="Q187" i="1"/>
  <c r="Q191" i="1"/>
  <c r="J670" i="4"/>
  <c r="Q193" i="1"/>
  <c r="Q194" i="1"/>
  <c r="Q195" i="1"/>
  <c r="Q196" i="1"/>
  <c r="Q208" i="1"/>
  <c r="Q210" i="1"/>
  <c r="Q214" i="1"/>
  <c r="Q215" i="1"/>
  <c r="Q216" i="1"/>
  <c r="Q217" i="1"/>
  <c r="Q218" i="1"/>
  <c r="Q219" i="1"/>
  <c r="Q220" i="1"/>
  <c r="Q221" i="1"/>
  <c r="Q222" i="1"/>
  <c r="Q223" i="1"/>
  <c r="Q225" i="1"/>
  <c r="Q230" i="1"/>
  <c r="Q233" i="1"/>
  <c r="Q235" i="1"/>
  <c r="Q236" i="1"/>
  <c r="Q237" i="1"/>
  <c r="Q238" i="1"/>
  <c r="Q240" i="1"/>
  <c r="Q242" i="1"/>
  <c r="Q248" i="1"/>
  <c r="Q252" i="1"/>
  <c r="Q255" i="1"/>
  <c r="Q260" i="1"/>
  <c r="Q261" i="1"/>
  <c r="I527" i="4"/>
  <c r="J148" i="1" s="1"/>
  <c r="I895" i="4"/>
  <c r="I487" i="4"/>
  <c r="I389" i="4"/>
  <c r="I424" i="4"/>
  <c r="I490" i="4"/>
  <c r="I535" i="4"/>
  <c r="I571" i="4"/>
  <c r="I579" i="4"/>
  <c r="I641" i="4"/>
  <c r="I654" i="4"/>
  <c r="I659" i="4"/>
  <c r="I989" i="4"/>
  <c r="I1008" i="4"/>
  <c r="I1011" i="4"/>
  <c r="I383" i="4"/>
  <c r="K700" i="4"/>
  <c r="K391" i="4"/>
  <c r="J966" i="4"/>
  <c r="K441" i="4"/>
  <c r="J898" i="4"/>
  <c r="K966" i="4"/>
  <c r="J391" i="4"/>
  <c r="J441" i="4"/>
  <c r="K898" i="4"/>
  <c r="A109" i="1"/>
  <c r="A832" i="1"/>
  <c r="A450" i="1"/>
  <c r="K1046" i="4"/>
  <c r="I439" i="4"/>
  <c r="J489" i="4"/>
  <c r="J492" i="4"/>
  <c r="K628" i="4"/>
  <c r="J385" i="4"/>
  <c r="J416" i="4"/>
  <c r="J417" i="4"/>
  <c r="J473" i="4"/>
  <c r="J479" i="4"/>
  <c r="J529" i="4"/>
  <c r="J601" i="4"/>
  <c r="J613" i="4"/>
  <c r="J631" i="4"/>
  <c r="J632" i="4"/>
  <c r="J640" i="4"/>
  <c r="J661" i="4"/>
  <c r="J749" i="4"/>
  <c r="J753" i="4"/>
  <c r="J897" i="4"/>
  <c r="J934" i="4"/>
  <c r="J994" i="4"/>
  <c r="J388" i="4"/>
  <c r="J440" i="4"/>
  <c r="J463" i="4"/>
  <c r="J475" i="4"/>
  <c r="J476" i="4"/>
  <c r="J519" i="4"/>
  <c r="J521" i="4"/>
  <c r="J523" i="4"/>
  <c r="I565" i="4"/>
  <c r="J570" i="4"/>
  <c r="J581" i="4"/>
  <c r="J599" i="4"/>
  <c r="J603" i="4"/>
  <c r="J629" i="4"/>
  <c r="J630" i="4"/>
  <c r="J633" i="4"/>
  <c r="J634" i="4"/>
  <c r="J658" i="4"/>
  <c r="K745" i="4"/>
  <c r="J751" i="4"/>
  <c r="J991" i="4"/>
  <c r="J970" i="4"/>
  <c r="K882" i="4"/>
  <c r="K946" i="4"/>
  <c r="K995" i="4"/>
  <c r="J379" i="4"/>
  <c r="J380" i="4"/>
  <c r="J382" i="4"/>
  <c r="J384" i="4"/>
  <c r="J390" i="4"/>
  <c r="J109" i="1"/>
  <c r="J403" i="4"/>
  <c r="J111" i="1"/>
  <c r="J112" i="1"/>
  <c r="J425" i="4"/>
  <c r="J117" i="1"/>
  <c r="J432" i="4"/>
  <c r="J120" i="1"/>
  <c r="J121" i="1"/>
  <c r="J450" i="4"/>
  <c r="J456" i="4"/>
  <c r="J464" i="4"/>
  <c r="J495" i="4"/>
  <c r="J139" i="1"/>
  <c r="J140" i="1"/>
  <c r="J141" i="1"/>
  <c r="J142" i="1"/>
  <c r="J145" i="1"/>
  <c r="J520" i="4"/>
  <c r="J522" i="4"/>
  <c r="J147" i="1"/>
  <c r="J531" i="4"/>
  <c r="J532" i="4"/>
  <c r="J152" i="1"/>
  <c r="J544" i="4"/>
  <c r="J545" i="4"/>
  <c r="J546" i="4"/>
  <c r="J154" i="1"/>
  <c r="J554" i="4"/>
  <c r="J556" i="4"/>
  <c r="J159" i="1"/>
  <c r="J162" i="1"/>
  <c r="J589" i="4"/>
  <c r="J590" i="4"/>
  <c r="J171" i="1"/>
  <c r="J612" i="4"/>
  <c r="J624" i="4"/>
  <c r="J643" i="4"/>
  <c r="J655" i="4"/>
  <c r="J191" i="1"/>
  <c r="J192" i="1"/>
  <c r="J194" i="1"/>
  <c r="J195" i="1"/>
  <c r="J696" i="4"/>
  <c r="J201" i="1"/>
  <c r="J202" i="1"/>
  <c r="J203" i="1"/>
  <c r="J204" i="1"/>
  <c r="J762" i="4"/>
  <c r="J763" i="4"/>
  <c r="J211" i="1"/>
  <c r="J212" i="1"/>
  <c r="J213" i="1"/>
  <c r="J872" i="4"/>
  <c r="J874" i="4"/>
  <c r="J875" i="4"/>
  <c r="J882" i="4"/>
  <c r="J231" i="1"/>
  <c r="J232" i="1"/>
  <c r="J919" i="4"/>
  <c r="J939" i="4"/>
  <c r="J245" i="1"/>
  <c r="J247" i="1"/>
  <c r="J248" i="1"/>
  <c r="J253" i="1"/>
  <c r="J1013" i="4"/>
  <c r="J259" i="1"/>
  <c r="J260" i="1"/>
  <c r="J261" i="1"/>
  <c r="J262" i="1"/>
  <c r="A882" i="4"/>
  <c r="A895" i="4" s="1"/>
  <c r="A898" i="4" s="1"/>
  <c r="A902" i="4" s="1"/>
  <c r="A909" i="4" s="1"/>
  <c r="A912" i="4" s="1"/>
  <c r="A915" i="4" s="1"/>
  <c r="A918" i="4" s="1"/>
  <c r="A921" i="4" s="1"/>
  <c r="A926" i="4" s="1"/>
  <c r="A929" i="4" s="1"/>
  <c r="A932" i="4" s="1"/>
  <c r="A935" i="4" s="1"/>
  <c r="A938" i="4" s="1"/>
  <c r="A941" i="4" s="1"/>
  <c r="A944" i="4" s="1"/>
  <c r="A946" i="4" s="1"/>
  <c r="A953" i="4" s="1"/>
  <c r="A966" i="4" s="1"/>
  <c r="A970" i="4" s="1"/>
  <c r="A979" i="4" s="1"/>
  <c r="A986" i="4" s="1"/>
  <c r="A989" i="4" s="1"/>
  <c r="A992" i="4" s="1"/>
  <c r="A995" i="4" s="1"/>
  <c r="A1008" i="4" s="1"/>
  <c r="A1011" i="4" s="1"/>
  <c r="A1014" i="4" s="1"/>
  <c r="A1024" i="4" s="1"/>
  <c r="A1027" i="4" s="1"/>
  <c r="A1030" i="4" s="1"/>
  <c r="A1040" i="4" s="1"/>
  <c r="A1043" i="4" s="1"/>
  <c r="A1046" i="4" s="1"/>
  <c r="J387" i="4"/>
  <c r="J114" i="1"/>
  <c r="J422" i="4"/>
  <c r="J423" i="4"/>
  <c r="J429" i="4"/>
  <c r="J430" i="4"/>
  <c r="J123" i="1"/>
  <c r="J125" i="1"/>
  <c r="J128" i="1"/>
  <c r="J467" i="4"/>
  <c r="J470" i="4"/>
  <c r="J135" i="1"/>
  <c r="J494" i="4"/>
  <c r="J496" i="4"/>
  <c r="J150" i="1"/>
  <c r="J539" i="4"/>
  <c r="J155" i="1"/>
  <c r="J555" i="4"/>
  <c r="J563" i="4"/>
  <c r="J572" i="4"/>
  <c r="J575" i="4"/>
  <c r="J165" i="1"/>
  <c r="J166" i="1"/>
  <c r="J169" i="1"/>
  <c r="J174" i="1"/>
  <c r="J175" i="1"/>
  <c r="J627" i="4"/>
  <c r="J182" i="1"/>
  <c r="J183" i="1"/>
  <c r="J184" i="1"/>
  <c r="J185" i="1"/>
  <c r="J666" i="4"/>
  <c r="J196" i="1"/>
  <c r="J699" i="4"/>
  <c r="J199" i="1"/>
  <c r="J703" i="4"/>
  <c r="J200" i="1"/>
  <c r="J756" i="4"/>
  <c r="J757" i="4"/>
  <c r="J758" i="4"/>
  <c r="J761" i="4"/>
  <c r="J782" i="4"/>
  <c r="J210" i="1"/>
  <c r="J837" i="4"/>
  <c r="J215" i="1"/>
  <c r="J216" i="1"/>
  <c r="J217" i="1"/>
  <c r="J218" i="1"/>
  <c r="J219" i="1"/>
  <c r="J220" i="1"/>
  <c r="J221" i="1"/>
  <c r="J222" i="1"/>
  <c r="J866" i="4"/>
  <c r="J868" i="4"/>
  <c r="J869" i="4"/>
  <c r="J226" i="1"/>
  <c r="J227" i="1"/>
  <c r="J228" i="1"/>
  <c r="J917" i="4"/>
  <c r="J237" i="1"/>
  <c r="J928" i="4"/>
  <c r="J930" i="4"/>
  <c r="J241" i="1"/>
  <c r="J243" i="1"/>
  <c r="J246" i="1"/>
  <c r="J249" i="1"/>
  <c r="J988" i="4"/>
  <c r="J252" i="1"/>
  <c r="J1010" i="4"/>
  <c r="J256" i="1"/>
  <c r="J1026" i="4"/>
  <c r="J1029" i="4"/>
  <c r="J506" i="4"/>
  <c r="J500" i="4"/>
  <c r="J503" i="4"/>
  <c r="K517" i="4"/>
  <c r="I543" i="4"/>
  <c r="K597" i="4"/>
  <c r="I415" i="4"/>
  <c r="K662" i="4"/>
  <c r="J663" i="4"/>
  <c r="I662" i="4"/>
  <c r="J723" i="4"/>
  <c r="K726" i="4"/>
  <c r="J726" i="4"/>
  <c r="K493" i="4"/>
  <c r="K1027" i="4"/>
  <c r="J717" i="4"/>
  <c r="J549" i="4"/>
  <c r="K604" i="4"/>
  <c r="J811" i="4"/>
  <c r="J418" i="4"/>
  <c r="J576" i="4"/>
  <c r="J582" i="4"/>
  <c r="J585" i="4"/>
  <c r="J594" i="4"/>
  <c r="J604" i="4"/>
  <c r="J685" i="4"/>
  <c r="I693" i="4"/>
  <c r="J876" i="4"/>
  <c r="J879" i="4"/>
  <c r="J921" i="4"/>
  <c r="K1014" i="4"/>
  <c r="K1030" i="4"/>
  <c r="J1028" i="4"/>
  <c r="I1027" i="4"/>
  <c r="J564" i="4"/>
  <c r="J1030" i="4"/>
  <c r="J1040" i="4"/>
  <c r="J1043" i="4"/>
  <c r="J405" i="4"/>
  <c r="J408" i="4"/>
  <c r="K543" i="4"/>
  <c r="I431" i="4"/>
  <c r="J433" i="4"/>
  <c r="J436" i="4"/>
  <c r="J451" i="4"/>
  <c r="J480" i="4"/>
  <c r="J497" i="4"/>
  <c r="J649" i="4"/>
  <c r="J690" i="4"/>
  <c r="K693" i="4"/>
  <c r="J720" i="4"/>
  <c r="K827" i="4"/>
  <c r="J843" i="4"/>
  <c r="J846" i="4"/>
  <c r="J849" i="4"/>
  <c r="J852" i="4"/>
  <c r="J855" i="4"/>
  <c r="J858" i="4"/>
  <c r="J861" i="4"/>
  <c r="K902" i="4"/>
  <c r="J902" i="4"/>
  <c r="J935" i="4"/>
  <c r="J941" i="4"/>
  <c r="K953" i="4"/>
  <c r="K979" i="4"/>
  <c r="J979" i="4"/>
  <c r="J995" i="4"/>
  <c r="J1014" i="4"/>
  <c r="J1046" i="4"/>
  <c r="I378" i="4"/>
  <c r="J459" i="4"/>
  <c r="J524" i="4"/>
  <c r="J540" i="4"/>
  <c r="J616" i="4"/>
  <c r="J619" i="4"/>
  <c r="J644" i="4"/>
  <c r="J667" i="4"/>
  <c r="K704" i="4"/>
  <c r="J704" i="4"/>
  <c r="K767" i="4"/>
  <c r="K811" i="4"/>
  <c r="J827" i="4"/>
  <c r="I867" i="4"/>
  <c r="I873" i="4"/>
  <c r="J946" i="4"/>
  <c r="J953" i="4"/>
  <c r="J511" i="4"/>
  <c r="I509" i="4"/>
  <c r="J514" i="4"/>
  <c r="I512" i="4"/>
  <c r="J553" i="4"/>
  <c r="I552" i="4"/>
  <c r="J567" i="4"/>
  <c r="I566" i="4"/>
  <c r="J593" i="4"/>
  <c r="I591" i="4"/>
  <c r="J637" i="4"/>
  <c r="I635" i="4"/>
  <c r="J684" i="4"/>
  <c r="I672" i="4"/>
  <c r="J747" i="4"/>
  <c r="I745" i="4"/>
  <c r="J760" i="4"/>
  <c r="I759" i="4"/>
  <c r="J779" i="4"/>
  <c r="I767" i="4"/>
  <c r="J841" i="4"/>
  <c r="I840" i="4"/>
  <c r="J920" i="4"/>
  <c r="I918" i="4"/>
  <c r="K986" i="4"/>
  <c r="I987" i="4"/>
  <c r="I381" i="4"/>
  <c r="I386" i="4"/>
  <c r="I398" i="4"/>
  <c r="I421" i="4"/>
  <c r="I428" i="4"/>
  <c r="J449" i="4"/>
  <c r="I448" i="4"/>
  <c r="I454" i="4"/>
  <c r="J458" i="4"/>
  <c r="I457" i="4"/>
  <c r="I462" i="4"/>
  <c r="J466" i="4"/>
  <c r="I465" i="4"/>
  <c r="I468" i="4"/>
  <c r="J472" i="4"/>
  <c r="I471" i="4"/>
  <c r="I474" i="4"/>
  <c r="J478" i="4"/>
  <c r="I477" i="4"/>
  <c r="I493" i="4"/>
  <c r="J518" i="4"/>
  <c r="I517" i="4"/>
  <c r="I530" i="4"/>
  <c r="K552" i="4"/>
  <c r="J558" i="4"/>
  <c r="J574" i="4"/>
  <c r="I573" i="4"/>
  <c r="I588" i="4"/>
  <c r="J598" i="4"/>
  <c r="I597" i="4"/>
  <c r="I611" i="4"/>
  <c r="J615" i="4"/>
  <c r="I614" i="4"/>
  <c r="I622" i="4"/>
  <c r="J626" i="4"/>
  <c r="I625" i="4"/>
  <c r="I628" i="4"/>
  <c r="J639" i="4"/>
  <c r="I638" i="4"/>
  <c r="J665" i="4"/>
  <c r="I664" i="4"/>
  <c r="J755" i="4"/>
  <c r="I754" i="4"/>
  <c r="J914" i="4"/>
  <c r="I912" i="4"/>
  <c r="K944" i="4"/>
  <c r="I945" i="4"/>
  <c r="J657" i="4"/>
  <c r="I656" i="4"/>
  <c r="K754" i="4"/>
  <c r="K759" i="4"/>
  <c r="J766" i="4"/>
  <c r="I764" i="4"/>
  <c r="J871" i="4"/>
  <c r="I870" i="4"/>
  <c r="J911" i="4"/>
  <c r="I909" i="4"/>
  <c r="J931" i="4"/>
  <c r="I929" i="4"/>
  <c r="J940" i="4"/>
  <c r="I938" i="4"/>
  <c r="J1025" i="4"/>
  <c r="I1024" i="4"/>
  <c r="J916" i="4"/>
  <c r="I915" i="4"/>
  <c r="J927" i="4"/>
  <c r="I926" i="4"/>
  <c r="J933" i="4"/>
  <c r="I932" i="4"/>
  <c r="J909" i="4" l="1"/>
  <c r="J764" i="4"/>
  <c r="Q206" i="1"/>
  <c r="Q244" i="1"/>
  <c r="J912" i="4"/>
  <c r="J614" i="4"/>
  <c r="Q156" i="1"/>
  <c r="Q209" i="1"/>
  <c r="Q200" i="1"/>
  <c r="Q246" i="1"/>
  <c r="Q232" i="1"/>
  <c r="Q212" i="1"/>
  <c r="Q198" i="1"/>
  <c r="Q259" i="1"/>
  <c r="Q171" i="1"/>
  <c r="Q138" i="1"/>
  <c r="Q204" i="1"/>
  <c r="Q189" i="1"/>
  <c r="Q170" i="1"/>
  <c r="Q146" i="1"/>
  <c r="J700" i="4"/>
  <c r="J571" i="4"/>
  <c r="J535" i="4"/>
  <c r="J654" i="4"/>
  <c r="J622" i="4"/>
  <c r="J398" i="4"/>
  <c r="J389" i="4"/>
  <c r="J381" i="4"/>
  <c r="Q245" i="1"/>
  <c r="J568" i="4"/>
  <c r="J439" i="4"/>
  <c r="J992" i="4"/>
  <c r="J895" i="4"/>
  <c r="J490" i="4"/>
  <c r="Q247" i="1"/>
  <c r="Q123" i="1"/>
  <c r="Q109" i="1"/>
  <c r="Q207" i="1"/>
  <c r="J457" i="4"/>
  <c r="Q250" i="1"/>
  <c r="J840" i="4"/>
  <c r="J672" i="4"/>
  <c r="J635" i="4"/>
  <c r="J591" i="4"/>
  <c r="J566" i="4"/>
  <c r="J512" i="4"/>
  <c r="J509" i="4"/>
  <c r="Q211" i="1"/>
  <c r="Q249" i="1"/>
  <c r="Q153" i="1"/>
  <c r="Q256" i="1"/>
  <c r="Q258" i="1"/>
  <c r="J662" i="4"/>
  <c r="J1008" i="4"/>
  <c r="J864" i="4"/>
  <c r="J468" i="4"/>
  <c r="J1011" i="4"/>
  <c r="J641" i="4"/>
  <c r="J454" i="4"/>
  <c r="J431" i="4"/>
  <c r="J424" i="4"/>
  <c r="Q253" i="1"/>
  <c r="Q228" i="1"/>
  <c r="J989" i="4"/>
  <c r="Q205" i="1"/>
  <c r="J579" i="4"/>
  <c r="J659" i="4"/>
  <c r="J527" i="4"/>
  <c r="Q178" i="1"/>
  <c r="J487" i="4"/>
  <c r="Q262" i="1"/>
  <c r="Q231" i="1"/>
  <c r="Q199" i="1"/>
  <c r="J181" i="1"/>
  <c r="P181" i="1" s="1"/>
  <c r="J462" i="4"/>
  <c r="J230" i="1"/>
  <c r="P230" i="1" s="1"/>
  <c r="J188" i="1"/>
  <c r="N188" i="1" s="1"/>
  <c r="J255" i="1"/>
  <c r="N255" i="1" s="1"/>
  <c r="J251" i="1"/>
  <c r="N251" i="1" s="1"/>
  <c r="J254" i="1"/>
  <c r="P254" i="1" s="1"/>
  <c r="J160" i="1"/>
  <c r="N160" i="1" s="1"/>
  <c r="J136" i="1"/>
  <c r="N136" i="1" s="1"/>
  <c r="J186" i="1"/>
  <c r="N186" i="1" s="1"/>
  <c r="J164" i="1"/>
  <c r="P164" i="1" s="1"/>
  <c r="J151" i="1"/>
  <c r="P151" i="1" s="1"/>
  <c r="J137" i="1"/>
  <c r="N137" i="1" s="1"/>
  <c r="J116" i="1"/>
  <c r="N116" i="1" s="1"/>
  <c r="J108" i="1"/>
  <c r="P108" i="1" s="1"/>
  <c r="J122" i="1"/>
  <c r="N122" i="1" s="1"/>
  <c r="J106" i="1"/>
  <c r="N106" i="1" s="1"/>
  <c r="J565" i="4"/>
  <c r="J383" i="4"/>
  <c r="N152" i="1"/>
  <c r="A833" i="1"/>
  <c r="P202" i="1"/>
  <c r="A451" i="1"/>
  <c r="A110" i="1"/>
  <c r="P145" i="1"/>
  <c r="N142" i="1"/>
  <c r="N148" i="1"/>
  <c r="N195" i="1"/>
  <c r="P166" i="1"/>
  <c r="N150" i="1"/>
  <c r="J428" i="4"/>
  <c r="J754" i="4"/>
  <c r="J664" i="4"/>
  <c r="J638" i="4"/>
  <c r="J573" i="4"/>
  <c r="J465" i="4"/>
  <c r="N175" i="1"/>
  <c r="N184" i="1"/>
  <c r="P135" i="1"/>
  <c r="P204" i="1"/>
  <c r="P201" i="1"/>
  <c r="P192" i="1"/>
  <c r="N171" i="1"/>
  <c r="N155" i="1"/>
  <c r="P114" i="1"/>
  <c r="P212" i="1"/>
  <c r="N196" i="1"/>
  <c r="N182" i="1"/>
  <c r="N125" i="1"/>
  <c r="J471" i="4"/>
  <c r="J745" i="4"/>
  <c r="N211" i="1"/>
  <c r="P199" i="1"/>
  <c r="P194" i="1"/>
  <c r="N191" i="1"/>
  <c r="P174" i="1"/>
  <c r="P169" i="1"/>
  <c r="P165" i="1"/>
  <c r="P162" i="1"/>
  <c r="P159" i="1"/>
  <c r="P123" i="1"/>
  <c r="P117" i="1"/>
  <c r="P111" i="1"/>
  <c r="N213" i="1"/>
  <c r="P203" i="1"/>
  <c r="N200" i="1"/>
  <c r="N185" i="1"/>
  <c r="P183" i="1"/>
  <c r="N128" i="1"/>
  <c r="N121" i="1"/>
  <c r="N216" i="1"/>
  <c r="J386" i="4"/>
  <c r="J543" i="4"/>
  <c r="J493" i="4"/>
  <c r="J932" i="4"/>
  <c r="J477" i="4"/>
  <c r="P141" i="1"/>
  <c r="N112" i="1"/>
  <c r="N109" i="1"/>
  <c r="N154" i="1"/>
  <c r="N147" i="1"/>
  <c r="N140" i="1"/>
  <c r="P120" i="1"/>
  <c r="N139" i="1"/>
  <c r="J611" i="4"/>
  <c r="J628" i="4"/>
  <c r="J474" i="4"/>
  <c r="J656" i="4"/>
  <c r="J597" i="4"/>
  <c r="I557" i="4"/>
  <c r="J415" i="4"/>
  <c r="P247" i="1"/>
  <c r="N245" i="1"/>
  <c r="N232" i="1"/>
  <c r="P261" i="1"/>
  <c r="P228" i="1"/>
  <c r="N249" i="1"/>
  <c r="N220" i="1"/>
  <c r="P259" i="1"/>
  <c r="N231" i="1"/>
  <c r="N256" i="1"/>
  <c r="N252" i="1"/>
  <c r="N243" i="1"/>
  <c r="P222" i="1"/>
  <c r="P218" i="1"/>
  <c r="J926" i="4"/>
  <c r="J915" i="4"/>
  <c r="J1024" i="4"/>
  <c r="J938" i="4"/>
  <c r="J929" i="4"/>
  <c r="J918" i="4"/>
  <c r="N262" i="1"/>
  <c r="P260" i="1"/>
  <c r="P248" i="1"/>
  <c r="N237" i="1"/>
  <c r="P227" i="1"/>
  <c r="N253" i="1"/>
  <c r="P246" i="1"/>
  <c r="N241" i="1"/>
  <c r="P226" i="1"/>
  <c r="P221" i="1"/>
  <c r="P219" i="1"/>
  <c r="P217" i="1"/>
  <c r="P215" i="1"/>
  <c r="J421" i="4"/>
  <c r="J693" i="4"/>
  <c r="J870" i="4"/>
  <c r="J625" i="4"/>
  <c r="J517" i="4"/>
  <c r="J767" i="4"/>
  <c r="J759" i="4"/>
  <c r="J552" i="4"/>
  <c r="P211" i="1"/>
  <c r="N204" i="1"/>
  <c r="N201" i="1"/>
  <c r="N199" i="1"/>
  <c r="P195" i="1"/>
  <c r="N194" i="1"/>
  <c r="N192" i="1"/>
  <c r="P191" i="1"/>
  <c r="N181" i="1"/>
  <c r="P175" i="1"/>
  <c r="N174" i="1"/>
  <c r="P171" i="1"/>
  <c r="N169" i="1"/>
  <c r="N166" i="1"/>
  <c r="N165" i="1"/>
  <c r="N162" i="1"/>
  <c r="N159" i="1"/>
  <c r="P155" i="1"/>
  <c r="P150" i="1"/>
  <c r="P142" i="1"/>
  <c r="N141" i="1"/>
  <c r="N123" i="1"/>
  <c r="N114" i="1"/>
  <c r="P213" i="1"/>
  <c r="N212" i="1"/>
  <c r="P210" i="1"/>
  <c r="N203" i="1"/>
  <c r="N202" i="1"/>
  <c r="P196" i="1"/>
  <c r="P185" i="1"/>
  <c r="P184" i="1"/>
  <c r="N183" i="1"/>
  <c r="P182" i="1"/>
  <c r="P154" i="1"/>
  <c r="P152" i="1"/>
  <c r="P148" i="1"/>
  <c r="P147" i="1"/>
  <c r="N145" i="1"/>
  <c r="P140" i="1"/>
  <c r="N135" i="1"/>
  <c r="P128" i="1"/>
  <c r="P125" i="1"/>
  <c r="P139" i="1"/>
  <c r="J1027" i="4"/>
  <c r="N210" i="1"/>
  <c r="P200" i="1"/>
  <c r="J448" i="4"/>
  <c r="P262" i="1"/>
  <c r="N261" i="1"/>
  <c r="N260" i="1"/>
  <c r="N259" i="1"/>
  <c r="N248" i="1"/>
  <c r="N247" i="1"/>
  <c r="P245" i="1"/>
  <c r="P237" i="1"/>
  <c r="P231" i="1"/>
  <c r="N228" i="1"/>
  <c r="N227" i="1"/>
  <c r="N117" i="1"/>
  <c r="P112" i="1"/>
  <c r="N111" i="1"/>
  <c r="P109" i="1"/>
  <c r="P256" i="1"/>
  <c r="P253" i="1"/>
  <c r="P252" i="1"/>
  <c r="P249" i="1"/>
  <c r="N246" i="1"/>
  <c r="P243" i="1"/>
  <c r="P241" i="1"/>
  <c r="P232" i="1"/>
  <c r="N226" i="1"/>
  <c r="N222" i="1"/>
  <c r="N221" i="1"/>
  <c r="P220" i="1"/>
  <c r="N219" i="1"/>
  <c r="N218" i="1"/>
  <c r="N217" i="1"/>
  <c r="P216" i="1"/>
  <c r="N215" i="1"/>
  <c r="P121" i="1"/>
  <c r="N120" i="1"/>
  <c r="J238" i="1"/>
  <c r="J235" i="1"/>
  <c r="J242" i="1"/>
  <c r="J233" i="1"/>
  <c r="J208" i="1"/>
  <c r="J176" i="1"/>
  <c r="J234" i="1"/>
  <c r="J206" i="1"/>
  <c r="J190" i="1"/>
  <c r="J180" i="1"/>
  <c r="J178" i="1"/>
  <c r="J173" i="1"/>
  <c r="J172" i="1"/>
  <c r="J161" i="1"/>
  <c r="J149" i="1"/>
  <c r="J134" i="1"/>
  <c r="J133" i="1"/>
  <c r="J130" i="1"/>
  <c r="J129" i="1"/>
  <c r="J124" i="1"/>
  <c r="J118" i="1"/>
  <c r="J110" i="1"/>
  <c r="J105" i="1"/>
  <c r="J223" i="1"/>
  <c r="J119" i="1"/>
  <c r="J113" i="1"/>
  <c r="J153" i="1"/>
  <c r="J867" i="4"/>
  <c r="J588" i="4"/>
  <c r="J530" i="4"/>
  <c r="J240" i="1"/>
  <c r="J257" i="1"/>
  <c r="J239" i="1"/>
  <c r="J224" i="1"/>
  <c r="J177" i="1"/>
  <c r="J170" i="1"/>
  <c r="J167" i="1"/>
  <c r="J146" i="1"/>
  <c r="J138" i="1"/>
  <c r="J132" i="1"/>
  <c r="J127" i="1"/>
  <c r="J126" i="1"/>
  <c r="J115" i="1"/>
  <c r="J107" i="1"/>
  <c r="J236" i="1"/>
  <c r="J214" i="1"/>
  <c r="J209" i="1"/>
  <c r="J207" i="1"/>
  <c r="J205" i="1"/>
  <c r="J193" i="1"/>
  <c r="J179" i="1"/>
  <c r="J168" i="1"/>
  <c r="J158" i="1"/>
  <c r="J156" i="1"/>
  <c r="J144" i="1"/>
  <c r="J143" i="1"/>
  <c r="J225" i="1"/>
  <c r="J104" i="1"/>
  <c r="J258" i="1"/>
  <c r="J198" i="1"/>
  <c r="J189" i="1"/>
  <c r="J873" i="4"/>
  <c r="J378" i="4"/>
  <c r="J131" i="1"/>
  <c r="J187" i="1"/>
  <c r="J945" i="4"/>
  <c r="I944" i="4"/>
  <c r="J987" i="4"/>
  <c r="I986" i="4"/>
  <c r="J986" i="4" l="1"/>
  <c r="J944" i="4"/>
  <c r="J557" i="4"/>
  <c r="N108" i="1"/>
  <c r="P251" i="1"/>
  <c r="P186" i="1"/>
  <c r="P160" i="1"/>
  <c r="P188" i="1"/>
  <c r="N151" i="1"/>
  <c r="N230" i="1"/>
  <c r="P255" i="1"/>
  <c r="P136" i="1"/>
  <c r="P122" i="1"/>
  <c r="P106" i="1"/>
  <c r="P116" i="1"/>
  <c r="N254" i="1"/>
  <c r="N164" i="1"/>
  <c r="P137" i="1"/>
  <c r="J157" i="1"/>
  <c r="N157" i="1" s="1"/>
  <c r="A111" i="1"/>
  <c r="A452" i="1"/>
  <c r="A834" i="1"/>
  <c r="P240" i="1"/>
  <c r="N189" i="1"/>
  <c r="P238" i="1"/>
  <c r="N153" i="1"/>
  <c r="P113" i="1"/>
  <c r="P129" i="1"/>
  <c r="N208" i="1"/>
  <c r="P173" i="1"/>
  <c r="P105" i="1"/>
  <c r="N149" i="1"/>
  <c r="P206" i="1"/>
  <c r="P176" i="1"/>
  <c r="N233" i="1"/>
  <c r="P118" i="1"/>
  <c r="P133" i="1"/>
  <c r="N161" i="1"/>
  <c r="P180" i="1"/>
  <c r="P242" i="1"/>
  <c r="P214" i="1"/>
  <c r="P170" i="1"/>
  <c r="N177" i="1"/>
  <c r="N224" i="1"/>
  <c r="P119" i="1"/>
  <c r="P223" i="1"/>
  <c r="N110" i="1"/>
  <c r="P124" i="1"/>
  <c r="P130" i="1"/>
  <c r="P134" i="1"/>
  <c r="P172" i="1"/>
  <c r="P178" i="1"/>
  <c r="P190" i="1"/>
  <c r="P234" i="1"/>
  <c r="N235" i="1"/>
  <c r="P156" i="1"/>
  <c r="P132" i="1"/>
  <c r="P104" i="1"/>
  <c r="P193" i="1"/>
  <c r="P126" i="1"/>
  <c r="P146" i="1"/>
  <c r="P143" i="1"/>
  <c r="P168" i="1"/>
  <c r="P207" i="1"/>
  <c r="P107" i="1"/>
  <c r="N127" i="1"/>
  <c r="P138" i="1"/>
  <c r="N167" i="1"/>
  <c r="N239" i="1"/>
  <c r="P257" i="1"/>
  <c r="P187" i="1"/>
  <c r="N258" i="1"/>
  <c r="P225" i="1"/>
  <c r="P144" i="1"/>
  <c r="P158" i="1"/>
  <c r="N179" i="1"/>
  <c r="P205" i="1"/>
  <c r="P209" i="1"/>
  <c r="N236" i="1"/>
  <c r="P115" i="1"/>
  <c r="P258" i="1"/>
  <c r="N187" i="1"/>
  <c r="N104" i="1"/>
  <c r="N225" i="1"/>
  <c r="N143" i="1"/>
  <c r="N144" i="1"/>
  <c r="N156" i="1"/>
  <c r="N158" i="1"/>
  <c r="N168" i="1"/>
  <c r="P179" i="1"/>
  <c r="N193" i="1"/>
  <c r="N205" i="1"/>
  <c r="N207" i="1"/>
  <c r="N209" i="1"/>
  <c r="N214" i="1"/>
  <c r="P236" i="1"/>
  <c r="N107" i="1"/>
  <c r="N115" i="1"/>
  <c r="N126" i="1"/>
  <c r="P127" i="1"/>
  <c r="N132" i="1"/>
  <c r="N138" i="1"/>
  <c r="N146" i="1"/>
  <c r="P167" i="1"/>
  <c r="N170" i="1"/>
  <c r="P177" i="1"/>
  <c r="P224" i="1"/>
  <c r="P239" i="1"/>
  <c r="N257" i="1"/>
  <c r="N240" i="1"/>
  <c r="P198" i="1"/>
  <c r="N198" i="1"/>
  <c r="P189" i="1"/>
  <c r="J163" i="1"/>
  <c r="N119" i="1"/>
  <c r="N176" i="1"/>
  <c r="P208" i="1"/>
  <c r="P233" i="1"/>
  <c r="N223" i="1"/>
  <c r="N105" i="1"/>
  <c r="P110" i="1"/>
  <c r="N118" i="1"/>
  <c r="N124" i="1"/>
  <c r="N129" i="1"/>
  <c r="N130" i="1"/>
  <c r="N133" i="1"/>
  <c r="N134" i="1"/>
  <c r="P149" i="1"/>
  <c r="P161" i="1"/>
  <c r="N172" i="1"/>
  <c r="N173" i="1"/>
  <c r="N178" i="1"/>
  <c r="N180" i="1"/>
  <c r="N190" i="1"/>
  <c r="N206" i="1"/>
  <c r="N234" i="1"/>
  <c r="N242" i="1"/>
  <c r="P235" i="1"/>
  <c r="N238" i="1"/>
  <c r="J250" i="1"/>
  <c r="J244" i="1"/>
  <c r="I377" i="4"/>
  <c r="P153" i="1"/>
  <c r="N113" i="1"/>
  <c r="N131" i="1"/>
  <c r="P131" i="1"/>
  <c r="Q800" i="1"/>
  <c r="Q798" i="1"/>
  <c r="I118" i="4"/>
  <c r="J103" i="1" l="1"/>
  <c r="P157" i="1"/>
  <c r="A453" i="1"/>
  <c r="A835" i="1"/>
  <c r="A112" i="1"/>
  <c r="N163" i="1"/>
  <c r="P250" i="1"/>
  <c r="P244" i="1"/>
  <c r="N250" i="1"/>
  <c r="N244" i="1"/>
  <c r="J229" i="1"/>
  <c r="N103" i="1"/>
  <c r="N197" i="1"/>
  <c r="J197" i="1"/>
  <c r="A113" i="1" l="1"/>
  <c r="A454" i="1"/>
  <c r="A836" i="1"/>
  <c r="J800" i="1"/>
  <c r="N229" i="1"/>
  <c r="J102" i="1"/>
  <c r="A837" i="1" l="1"/>
  <c r="A114" i="1"/>
  <c r="A455" i="1"/>
  <c r="N800" i="1"/>
  <c r="N102" i="1"/>
  <c r="J798" i="1"/>
  <c r="P800" i="1"/>
  <c r="Q849" i="1"/>
  <c r="A115" i="1" l="1"/>
  <c r="A456" i="1"/>
  <c r="A838" i="1"/>
  <c r="N798" i="1"/>
  <c r="P798" i="1"/>
  <c r="A457" i="1" l="1"/>
  <c r="A839" i="1"/>
  <c r="A116" i="1"/>
  <c r="J849" i="1"/>
  <c r="A840" i="1" l="1"/>
  <c r="A117" i="1"/>
  <c r="A458" i="1"/>
  <c r="N849" i="1"/>
  <c r="P849" i="1"/>
  <c r="O854" i="1"/>
  <c r="M854" i="1"/>
  <c r="L854" i="1"/>
  <c r="K854" i="1"/>
  <c r="A459" i="1" l="1"/>
  <c r="A841" i="1"/>
  <c r="A118" i="1"/>
  <c r="A843" i="1" l="1"/>
  <c r="A119" i="1"/>
  <c r="A460" i="1"/>
  <c r="A120" i="1" l="1"/>
  <c r="A461" i="1"/>
  <c r="A844" i="1"/>
  <c r="K100" i="4"/>
  <c r="A2708" i="4"/>
  <c r="A2711" i="4" s="1"/>
  <c r="A2714" i="4" s="1"/>
  <c r="A2719" i="4" s="1"/>
  <c r="A2722" i="4" s="1"/>
  <c r="A2735" i="4" s="1"/>
  <c r="A2745" i="4" s="1"/>
  <c r="A462" i="1" l="1"/>
  <c r="A845" i="1"/>
  <c r="A121" i="1"/>
  <c r="G323" i="1"/>
  <c r="D1202" i="4"/>
  <c r="Q331" i="1"/>
  <c r="A2748" i="4" l="1"/>
  <c r="A2752" i="4" s="1"/>
  <c r="A2759" i="4" s="1"/>
  <c r="A2762" i="4" s="1"/>
  <c r="A2765" i="4" s="1"/>
  <c r="A2768" i="4" s="1"/>
  <c r="A2770" i="4" s="1"/>
  <c r="A2773" i="4" s="1"/>
  <c r="A2776" i="4" s="1"/>
  <c r="A2779" i="4" s="1"/>
  <c r="A846" i="1"/>
  <c r="A122" i="1"/>
  <c r="A463" i="1"/>
  <c r="Q327" i="1"/>
  <c r="A2782" i="4" l="1"/>
  <c r="A2789" i="4" s="1"/>
  <c r="A2792" i="4" s="1"/>
  <c r="A2794" i="4" s="1"/>
  <c r="A2813" i="4" s="1"/>
  <c r="A2815" i="4" s="1"/>
  <c r="A2822" i="4" s="1"/>
  <c r="A123" i="1"/>
  <c r="A464" i="1"/>
  <c r="A847" i="1"/>
  <c r="J327" i="1"/>
  <c r="A2825" i="4" l="1"/>
  <c r="A2828" i="4" s="1"/>
  <c r="A2831" i="4" s="1"/>
  <c r="A465" i="1"/>
  <c r="A848" i="1"/>
  <c r="A124" i="1"/>
  <c r="P327" i="1"/>
  <c r="N327" i="1"/>
  <c r="J331" i="1"/>
  <c r="O877" i="1"/>
  <c r="M877" i="1"/>
  <c r="L877" i="1"/>
  <c r="K877" i="1"/>
  <c r="O842" i="1"/>
  <c r="M842" i="1"/>
  <c r="L842" i="1"/>
  <c r="K842" i="1"/>
  <c r="O821" i="1"/>
  <c r="M821" i="1"/>
  <c r="L821" i="1"/>
  <c r="K821" i="1"/>
  <c r="I821" i="1"/>
  <c r="H821" i="1"/>
  <c r="G821" i="1"/>
  <c r="Q895" i="1"/>
  <c r="Q893" i="1"/>
  <c r="Q892" i="1"/>
  <c r="Q891" i="1"/>
  <c r="Q890" i="1"/>
  <c r="Q889" i="1"/>
  <c r="Q888" i="1"/>
  <c r="Q887" i="1"/>
  <c r="Q886" i="1"/>
  <c r="Q885" i="1"/>
  <c r="Q884" i="1"/>
  <c r="Q883" i="1"/>
  <c r="Q882" i="1"/>
  <c r="Q881" i="1"/>
  <c r="Q880" i="1"/>
  <c r="Q879" i="1"/>
  <c r="Q878" i="1"/>
  <c r="Q876" i="1"/>
  <c r="Q875" i="1"/>
  <c r="Q874" i="1"/>
  <c r="Q873" i="1"/>
  <c r="Q872" i="1"/>
  <c r="Q871" i="1"/>
  <c r="Q870" i="1"/>
  <c r="Q869" i="1"/>
  <c r="Q868" i="1"/>
  <c r="Q867" i="1"/>
  <c r="Q866" i="1"/>
  <c r="Q865" i="1"/>
  <c r="Q864" i="1"/>
  <c r="Q863" i="1"/>
  <c r="Q862" i="1"/>
  <c r="Q861" i="1"/>
  <c r="Q860" i="1"/>
  <c r="Q859" i="1"/>
  <c r="Q858" i="1"/>
  <c r="Q857" i="1"/>
  <c r="Q856" i="1"/>
  <c r="Q855" i="1"/>
  <c r="Q853" i="1"/>
  <c r="Q852" i="1"/>
  <c r="Q851" i="1"/>
  <c r="Q850" i="1"/>
  <c r="Q848" i="1"/>
  <c r="Q847" i="1"/>
  <c r="Q846" i="1"/>
  <c r="Q845" i="1"/>
  <c r="Q844" i="1"/>
  <c r="Q843" i="1"/>
  <c r="Q841" i="1"/>
  <c r="Q840" i="1"/>
  <c r="Q839" i="1"/>
  <c r="Q838" i="1"/>
  <c r="Q837" i="1"/>
  <c r="Q836" i="1"/>
  <c r="Q835" i="1"/>
  <c r="Q834" i="1"/>
  <c r="Q833" i="1"/>
  <c r="Q832" i="1"/>
  <c r="Q831" i="1"/>
  <c r="Q830" i="1"/>
  <c r="Q829" i="1"/>
  <c r="Q828" i="1"/>
  <c r="Q827" i="1"/>
  <c r="Q826" i="1"/>
  <c r="Q825" i="1"/>
  <c r="Q824" i="1"/>
  <c r="Q823" i="1"/>
  <c r="A2901" i="4"/>
  <c r="A2904" i="4" s="1"/>
  <c r="A2911" i="4" s="1"/>
  <c r="A2914" i="4" s="1"/>
  <c r="A2917" i="4" s="1"/>
  <c r="A2922" i="4" s="1"/>
  <c r="A2927" i="4" s="1"/>
  <c r="A2930" i="4" s="1"/>
  <c r="A2933" i="4" s="1"/>
  <c r="A2936" i="4" s="1"/>
  <c r="A2939" i="4" s="1"/>
  <c r="A2942" i="4" s="1"/>
  <c r="A2951" i="4" s="1"/>
  <c r="A2954" i="4" s="1"/>
  <c r="A2959" i="4" s="1"/>
  <c r="A2964" i="4" s="1"/>
  <c r="A2971" i="4" s="1"/>
  <c r="A2974" i="4" s="1"/>
  <c r="A2977" i="4" s="1"/>
  <c r="A2980" i="4" s="1"/>
  <c r="A2985" i="4" s="1"/>
  <c r="A2988" i="4" s="1"/>
  <c r="A2991" i="4" s="1"/>
  <c r="A2994" i="4" s="1"/>
  <c r="A2997" i="4" s="1"/>
  <c r="Q822" i="1"/>
  <c r="A849" i="1" l="1"/>
  <c r="N331" i="1"/>
  <c r="A125" i="1"/>
  <c r="A466" i="1"/>
  <c r="P331" i="1"/>
  <c r="A3000" i="4"/>
  <c r="A3007" i="4" s="1"/>
  <c r="A3010" i="4" s="1"/>
  <c r="A3013" i="4" s="1"/>
  <c r="A3018" i="4" s="1"/>
  <c r="O820" i="1"/>
  <c r="H820" i="1"/>
  <c r="I820" i="1"/>
  <c r="L820" i="1"/>
  <c r="K820" i="1"/>
  <c r="M820" i="1"/>
  <c r="G820" i="1"/>
  <c r="A3021" i="4" l="1"/>
  <c r="A3024" i="4" s="1"/>
  <c r="A3027" i="4" s="1"/>
  <c r="A3030" i="4" s="1"/>
  <c r="A3033" i="4" s="1"/>
  <c r="A3036" i="4" s="1"/>
  <c r="A3039" i="4" s="1"/>
  <c r="A3042" i="4" s="1"/>
  <c r="A3045" i="4" s="1"/>
  <c r="A3048" i="4" s="1"/>
  <c r="A3051" i="4" s="1"/>
  <c r="A3054" i="4" s="1"/>
  <c r="A3057" i="4" s="1"/>
  <c r="A3060" i="4" s="1"/>
  <c r="A3063" i="4" s="1"/>
  <c r="A3066" i="4" s="1"/>
  <c r="A3069" i="4" s="1"/>
  <c r="A3072" i="4" s="1"/>
  <c r="A3075" i="4" s="1"/>
  <c r="A3082" i="4" s="1"/>
  <c r="A3085" i="4" s="1"/>
  <c r="A3088" i="4" s="1"/>
  <c r="A3093" i="4" s="1"/>
  <c r="A3096" i="4" s="1"/>
  <c r="A3099" i="4" s="1"/>
  <c r="A3102" i="4" s="1"/>
  <c r="A3105" i="4" s="1"/>
  <c r="A3108" i="4" s="1"/>
  <c r="A3111" i="4" s="1"/>
  <c r="A3114" i="4" s="1"/>
  <c r="A3117" i="4" s="1"/>
  <c r="A3120" i="4" s="1"/>
  <c r="A3125" i="4" s="1"/>
  <c r="A3128" i="4" s="1"/>
  <c r="A3131" i="4" s="1"/>
  <c r="A3134" i="4" s="1"/>
  <c r="A3137" i="4" s="1"/>
  <c r="A3140" i="4" s="1"/>
  <c r="A3143" i="4" s="1"/>
  <c r="A3146" i="4" s="1"/>
  <c r="A467" i="1"/>
  <c r="A126" i="1"/>
  <c r="A850" i="1"/>
  <c r="J876" i="1"/>
  <c r="J872" i="1"/>
  <c r="J835" i="1"/>
  <c r="J831" i="1"/>
  <c r="J827" i="1"/>
  <c r="J891" i="1"/>
  <c r="J882" i="1"/>
  <c r="J870" i="1"/>
  <c r="J885" i="1"/>
  <c r="J863" i="1"/>
  <c r="J855" i="1"/>
  <c r="J845" i="1"/>
  <c r="J833" i="1"/>
  <c r="J825" i="1"/>
  <c r="J886" i="1"/>
  <c r="J873" i="1"/>
  <c r="J864" i="1"/>
  <c r="J856" i="1"/>
  <c r="J871" i="1"/>
  <c r="J861" i="1"/>
  <c r="J836" i="1"/>
  <c r="J824" i="1"/>
  <c r="J822" i="1"/>
  <c r="J884" i="1"/>
  <c r="J847" i="1"/>
  <c r="J832" i="1"/>
  <c r="J892" i="1"/>
  <c r="J857" i="1"/>
  <c r="J844" i="1"/>
  <c r="J829" i="1"/>
  <c r="J888" i="1"/>
  <c r="J848" i="1"/>
  <c r="J893" i="1"/>
  <c r="J883" i="1"/>
  <c r="J881" i="1"/>
  <c r="J880" i="1"/>
  <c r="J874" i="1"/>
  <c r="J843" i="1"/>
  <c r="J834" i="1"/>
  <c r="J828" i="1"/>
  <c r="J826" i="1"/>
  <c r="J890" i="1"/>
  <c r="J867" i="1"/>
  <c r="J859" i="1"/>
  <c r="J851" i="1"/>
  <c r="J841" i="1"/>
  <c r="J830" i="1"/>
  <c r="J823" i="1"/>
  <c r="J878" i="1"/>
  <c r="J868" i="1"/>
  <c r="J860" i="1"/>
  <c r="J852" i="1"/>
  <c r="J846" i="1"/>
  <c r="J839" i="1"/>
  <c r="J838" i="1"/>
  <c r="J837" i="1"/>
  <c r="J895" i="1"/>
  <c r="J879" i="1"/>
  <c r="J869" i="1"/>
  <c r="J853" i="1"/>
  <c r="J862" i="1"/>
  <c r="J887" i="1"/>
  <c r="J850" i="1"/>
  <c r="J840" i="1"/>
  <c r="J858" i="1"/>
  <c r="J875" i="1"/>
  <c r="J865" i="1"/>
  <c r="J889" i="1"/>
  <c r="J866" i="1"/>
  <c r="P834" i="1" l="1"/>
  <c r="P885" i="1"/>
  <c r="P827" i="1"/>
  <c r="A127" i="1"/>
  <c r="P872" i="1"/>
  <c r="P857" i="1"/>
  <c r="N870" i="1"/>
  <c r="A851" i="1"/>
  <c r="A468" i="1"/>
  <c r="N889" i="1"/>
  <c r="N875" i="1"/>
  <c r="P887" i="1"/>
  <c r="N879" i="1"/>
  <c r="N839" i="1"/>
  <c r="P823" i="1"/>
  <c r="N841" i="1"/>
  <c r="P859" i="1"/>
  <c r="P843" i="1"/>
  <c r="N883" i="1"/>
  <c r="N848" i="1"/>
  <c r="N829" i="1"/>
  <c r="N832" i="1"/>
  <c r="N824" i="1"/>
  <c r="N861" i="1"/>
  <c r="N856" i="1"/>
  <c r="P873" i="1"/>
  <c r="N845" i="1"/>
  <c r="P863" i="1"/>
  <c r="P891" i="1"/>
  <c r="P858" i="1"/>
  <c r="N850" i="1"/>
  <c r="P862" i="1"/>
  <c r="N869" i="1"/>
  <c r="P838" i="1"/>
  <c r="P846" i="1"/>
  <c r="P830" i="1"/>
  <c r="N851" i="1"/>
  <c r="N834" i="1"/>
  <c r="N881" i="1"/>
  <c r="P888" i="1"/>
  <c r="P844" i="1"/>
  <c r="P892" i="1"/>
  <c r="N847" i="1"/>
  <c r="N822" i="1"/>
  <c r="N836" i="1"/>
  <c r="N871" i="1"/>
  <c r="P864" i="1"/>
  <c r="N886" i="1"/>
  <c r="P833" i="1"/>
  <c r="P855" i="1"/>
  <c r="N885" i="1"/>
  <c r="P882" i="1"/>
  <c r="N827" i="1"/>
  <c r="N835" i="1"/>
  <c r="P876" i="1"/>
  <c r="P831" i="1"/>
  <c r="N831" i="1"/>
  <c r="N833" i="1"/>
  <c r="P836" i="1"/>
  <c r="N864" i="1"/>
  <c r="P871" i="1"/>
  <c r="P822" i="1"/>
  <c r="P886" i="1"/>
  <c r="N882" i="1"/>
  <c r="P835" i="1"/>
  <c r="N876" i="1"/>
  <c r="N863" i="1"/>
  <c r="N825" i="1"/>
  <c r="P845" i="1"/>
  <c r="N891" i="1"/>
  <c r="N872" i="1"/>
  <c r="P824" i="1"/>
  <c r="P861" i="1"/>
  <c r="N873" i="1"/>
  <c r="P856" i="1"/>
  <c r="P870" i="1"/>
  <c r="P825" i="1"/>
  <c r="N857" i="1"/>
  <c r="P884" i="1"/>
  <c r="N855" i="1"/>
  <c r="J854" i="1"/>
  <c r="N865" i="1"/>
  <c r="N838" i="1"/>
  <c r="P851" i="1"/>
  <c r="P893" i="1"/>
  <c r="P869" i="1"/>
  <c r="J877" i="1"/>
  <c r="P878" i="1"/>
  <c r="P867" i="1"/>
  <c r="P881" i="1"/>
  <c r="N840" i="1"/>
  <c r="N853" i="1"/>
  <c r="P868" i="1"/>
  <c r="P880" i="1"/>
  <c r="P895" i="1"/>
  <c r="P852" i="1"/>
  <c r="N860" i="1"/>
  <c r="P826" i="1"/>
  <c r="N874" i="1"/>
  <c r="P883" i="1"/>
  <c r="N887" i="1"/>
  <c r="P853" i="1"/>
  <c r="N895" i="1"/>
  <c r="N830" i="1"/>
  <c r="N843" i="1"/>
  <c r="N837" i="1"/>
  <c r="P839" i="1"/>
  <c r="N852" i="1"/>
  <c r="N868" i="1"/>
  <c r="N867" i="1"/>
  <c r="N890" i="1"/>
  <c r="P828" i="1"/>
  <c r="N880" i="1"/>
  <c r="N893" i="1"/>
  <c r="P829" i="1"/>
  <c r="N888" i="1"/>
  <c r="P840" i="1"/>
  <c r="P866" i="1"/>
  <c r="P850" i="1"/>
  <c r="J821" i="1"/>
  <c r="N823" i="1"/>
  <c r="N846" i="1"/>
  <c r="N828" i="1"/>
  <c r="P837" i="1"/>
  <c r="J842" i="1"/>
  <c r="N878" i="1"/>
  <c r="P879" i="1"/>
  <c r="N826" i="1"/>
  <c r="P841" i="1"/>
  <c r="P860" i="1"/>
  <c r="P874" i="1"/>
  <c r="N859" i="1"/>
  <c r="P890" i="1"/>
  <c r="P848" i="1"/>
  <c r="N844" i="1"/>
  <c r="N892" i="1"/>
  <c r="P847" i="1"/>
  <c r="N884" i="1"/>
  <c r="P875" i="1"/>
  <c r="P865" i="1"/>
  <c r="N866" i="1"/>
  <c r="P889" i="1"/>
  <c r="N858" i="1"/>
  <c r="N862" i="1"/>
  <c r="P832" i="1"/>
  <c r="A852" i="1" l="1"/>
  <c r="A469" i="1"/>
  <c r="A128" i="1"/>
  <c r="N854" i="1"/>
  <c r="J820" i="1"/>
  <c r="N821" i="1"/>
  <c r="N877" i="1"/>
  <c r="N842" i="1"/>
  <c r="A470" i="1" l="1"/>
  <c r="A129" i="1"/>
  <c r="A853" i="1"/>
  <c r="A855" i="1" s="1"/>
  <c r="N820" i="1"/>
  <c r="A130" i="1" l="1"/>
  <c r="A471" i="1"/>
  <c r="A472" i="1" l="1"/>
  <c r="A131" i="1"/>
  <c r="Q806" i="1"/>
  <c r="A2833" i="4"/>
  <c r="Q804" i="1"/>
  <c r="J804" i="1"/>
  <c r="Q803" i="1"/>
  <c r="J803" i="1"/>
  <c r="P803" i="1" s="1"/>
  <c r="Q802" i="1"/>
  <c r="J802" i="1"/>
  <c r="Q797" i="1"/>
  <c r="J797" i="1"/>
  <c r="Q796" i="1"/>
  <c r="J796" i="1"/>
  <c r="Q795" i="1"/>
  <c r="J795" i="1"/>
  <c r="Q794" i="1"/>
  <c r="J794" i="1"/>
  <c r="Q793" i="1"/>
  <c r="J793" i="1"/>
  <c r="Q792" i="1"/>
  <c r="J792" i="1"/>
  <c r="Q791" i="1"/>
  <c r="J791" i="1"/>
  <c r="Q790" i="1"/>
  <c r="J790" i="1"/>
  <c r="Q789" i="1"/>
  <c r="J789" i="1"/>
  <c r="Q788" i="1"/>
  <c r="J788" i="1"/>
  <c r="Q785" i="1"/>
  <c r="J785" i="1"/>
  <c r="Q784" i="1"/>
  <c r="J784" i="1"/>
  <c r="Q782" i="1"/>
  <c r="J782" i="1"/>
  <c r="Q780" i="1"/>
  <c r="J780" i="1"/>
  <c r="Q779" i="1"/>
  <c r="J779" i="1"/>
  <c r="Q778" i="1"/>
  <c r="J778" i="1"/>
  <c r="K343" i="1"/>
  <c r="L343" i="1"/>
  <c r="M343" i="1"/>
  <c r="Q416" i="1"/>
  <c r="Q415" i="1"/>
  <c r="Q414" i="1"/>
  <c r="Q413" i="1"/>
  <c r="Q411" i="1"/>
  <c r="Q410" i="1"/>
  <c r="Q408" i="1"/>
  <c r="Q407" i="1"/>
  <c r="Q406" i="1"/>
  <c r="Q403" i="1"/>
  <c r="Q402" i="1"/>
  <c r="Q398" i="1"/>
  <c r="Q396" i="1"/>
  <c r="Q395" i="1"/>
  <c r="Q394" i="1"/>
  <c r="Q393" i="1"/>
  <c r="Q392" i="1"/>
  <c r="Q391" i="1"/>
  <c r="Q389" i="1"/>
  <c r="Q388" i="1"/>
  <c r="Q387" i="1"/>
  <c r="Q384" i="1"/>
  <c r="Q382" i="1"/>
  <c r="Q381" i="1"/>
  <c r="Q380" i="1"/>
  <c r="Q377" i="1"/>
  <c r="Q375" i="1"/>
  <c r="Q374" i="1"/>
  <c r="Q373" i="1"/>
  <c r="Q372" i="1"/>
  <c r="Q371" i="1"/>
  <c r="Q370" i="1"/>
  <c r="Q369" i="1"/>
  <c r="Q368" i="1"/>
  <c r="Q367" i="1"/>
  <c r="Q366" i="1"/>
  <c r="Q365" i="1"/>
  <c r="Q363" i="1"/>
  <c r="Q362" i="1"/>
  <c r="Q361" i="1"/>
  <c r="Q360" i="1"/>
  <c r="Q359" i="1"/>
  <c r="Q357" i="1"/>
  <c r="Q356" i="1"/>
  <c r="Q355" i="1"/>
  <c r="Q354" i="1"/>
  <c r="Q353" i="1"/>
  <c r="Q352" i="1"/>
  <c r="Q351" i="1"/>
  <c r="Q350" i="1"/>
  <c r="Q349" i="1"/>
  <c r="Q348" i="1"/>
  <c r="J346" i="1"/>
  <c r="Q345" i="1"/>
  <c r="A1261" i="4"/>
  <c r="A1264" i="4" s="1"/>
  <c r="A1289" i="4" s="1"/>
  <c r="A1296" i="4" s="1"/>
  <c r="Q344" i="1"/>
  <c r="H343" i="1"/>
  <c r="I343" i="1"/>
  <c r="G343" i="1"/>
  <c r="A345" i="1"/>
  <c r="H35" i="1"/>
  <c r="I35" i="1"/>
  <c r="K35" i="1"/>
  <c r="L35" i="1"/>
  <c r="M35" i="1"/>
  <c r="O35" i="1"/>
  <c r="G35" i="1"/>
  <c r="A37" i="1"/>
  <c r="K276" i="4"/>
  <c r="I276" i="4" s="1"/>
  <c r="K274" i="4"/>
  <c r="I274" i="4" s="1"/>
  <c r="K273" i="4"/>
  <c r="K272" i="4"/>
  <c r="I272" i="4" s="1"/>
  <c r="K270" i="4"/>
  <c r="I270" i="4" s="1"/>
  <c r="K269" i="4"/>
  <c r="K268" i="4"/>
  <c r="I268" i="4" s="1"/>
  <c r="K266" i="4"/>
  <c r="I266" i="4" s="1"/>
  <c r="K265" i="4"/>
  <c r="K264" i="4"/>
  <c r="I264" i="4" s="1"/>
  <c r="K262" i="4"/>
  <c r="I262" i="4" s="1"/>
  <c r="K261" i="4"/>
  <c r="I261" i="4" s="1"/>
  <c r="K259" i="4"/>
  <c r="I259" i="4"/>
  <c r="I257" i="4"/>
  <c r="K256" i="4"/>
  <c r="K255" i="4" s="1"/>
  <c r="I256" i="4"/>
  <c r="J254" i="4"/>
  <c r="J253" i="4"/>
  <c r="K252" i="4"/>
  <c r="I252" i="4"/>
  <c r="I251" i="4"/>
  <c r="K250" i="4"/>
  <c r="K249" i="4" s="1"/>
  <c r="I250" i="4"/>
  <c r="I248" i="4"/>
  <c r="K247" i="4"/>
  <c r="K246" i="4" s="1"/>
  <c r="I247" i="4"/>
  <c r="K245" i="4"/>
  <c r="I245" i="4" s="1"/>
  <c r="K244" i="4"/>
  <c r="K243" i="4"/>
  <c r="I243" i="4" s="1"/>
  <c r="J241" i="4"/>
  <c r="J240" i="4"/>
  <c r="K239" i="4"/>
  <c r="I239" i="4"/>
  <c r="K238" i="4"/>
  <c r="K237" i="4" s="1"/>
  <c r="I238" i="4"/>
  <c r="K236" i="4"/>
  <c r="K235" i="4"/>
  <c r="J235" i="4"/>
  <c r="J234" i="4"/>
  <c r="K233" i="4"/>
  <c r="K232" i="4"/>
  <c r="J232" i="4"/>
  <c r="J231" i="4"/>
  <c r="K230" i="4"/>
  <c r="K229" i="4"/>
  <c r="J229" i="4"/>
  <c r="J228" i="4"/>
  <c r="K227" i="4"/>
  <c r="K226" i="4"/>
  <c r="J226" i="4"/>
  <c r="J225" i="4"/>
  <c r="K224" i="4"/>
  <c r="K223" i="4"/>
  <c r="J223" i="4"/>
  <c r="J222" i="4"/>
  <c r="K221" i="4"/>
  <c r="K220" i="4"/>
  <c r="J220" i="4"/>
  <c r="J219" i="4"/>
  <c r="I218" i="4"/>
  <c r="K217" i="4"/>
  <c r="K216" i="4"/>
  <c r="J216" i="4"/>
  <c r="J215" i="4"/>
  <c r="I214" i="4"/>
  <c r="K213" i="4"/>
  <c r="K212" i="4"/>
  <c r="J212" i="4"/>
  <c r="J211" i="4"/>
  <c r="I210" i="4"/>
  <c r="K209" i="4"/>
  <c r="K208" i="4"/>
  <c r="J208" i="4"/>
  <c r="J207" i="4"/>
  <c r="K206" i="4"/>
  <c r="K205" i="4"/>
  <c r="J205" i="4"/>
  <c r="J204" i="4"/>
  <c r="K203" i="4"/>
  <c r="K202" i="4"/>
  <c r="J202" i="4"/>
  <c r="J201" i="4"/>
  <c r="K200" i="4"/>
  <c r="K199" i="4"/>
  <c r="J199" i="4"/>
  <c r="J198" i="4"/>
  <c r="K197" i="4"/>
  <c r="K196" i="4"/>
  <c r="J196" i="4"/>
  <c r="J195" i="4"/>
  <c r="K194" i="4"/>
  <c r="K193" i="4"/>
  <c r="J193" i="4"/>
  <c r="J192" i="4"/>
  <c r="K191" i="4"/>
  <c r="K190" i="4"/>
  <c r="J190" i="4"/>
  <c r="J189" i="4"/>
  <c r="K188" i="4"/>
  <c r="K187" i="4"/>
  <c r="J187" i="4"/>
  <c r="J186" i="4"/>
  <c r="K185" i="4"/>
  <c r="K184" i="4"/>
  <c r="J184" i="4"/>
  <c r="K183" i="4"/>
  <c r="J183" i="4"/>
  <c r="I182" i="4"/>
  <c r="I181" i="4"/>
  <c r="K180" i="4"/>
  <c r="K179" i="4" s="1"/>
  <c r="I180" i="4"/>
  <c r="I178" i="4"/>
  <c r="K177" i="4"/>
  <c r="I177" i="4" s="1"/>
  <c r="I176" i="4"/>
  <c r="K175" i="4"/>
  <c r="I174" i="4"/>
  <c r="K173" i="4"/>
  <c r="I173" i="4" s="1"/>
  <c r="K171" i="4"/>
  <c r="I171" i="4"/>
  <c r="K170" i="4"/>
  <c r="I170" i="4"/>
  <c r="K169" i="4"/>
  <c r="I169" i="4"/>
  <c r="K167" i="4"/>
  <c r="I167" i="4" s="1"/>
  <c r="K166" i="4"/>
  <c r="I166" i="4" s="1"/>
  <c r="K165" i="4"/>
  <c r="I165" i="4" s="1"/>
  <c r="K163" i="4"/>
  <c r="K162" i="4" s="1"/>
  <c r="I163" i="4"/>
  <c r="K161" i="4"/>
  <c r="K160" i="4"/>
  <c r="I160" i="4"/>
  <c r="K159" i="4"/>
  <c r="J159" i="4"/>
  <c r="I157" i="4"/>
  <c r="J156" i="4"/>
  <c r="K155" i="4"/>
  <c r="I154" i="4"/>
  <c r="J153" i="4"/>
  <c r="K152" i="4"/>
  <c r="K151" i="4"/>
  <c r="K150" i="4" s="1"/>
  <c r="J151" i="4"/>
  <c r="I150" i="4"/>
  <c r="I149" i="4"/>
  <c r="K148" i="4"/>
  <c r="K147" i="4" s="1"/>
  <c r="I148" i="4"/>
  <c r="J146" i="4"/>
  <c r="J145" i="4"/>
  <c r="K144" i="4"/>
  <c r="I144" i="4"/>
  <c r="I143" i="4"/>
  <c r="K142" i="4"/>
  <c r="K141" i="4" s="1"/>
  <c r="I142" i="4"/>
  <c r="K140" i="4"/>
  <c r="I140" i="4" s="1"/>
  <c r="K139" i="4"/>
  <c r="I139" i="4" s="1"/>
  <c r="K138" i="4"/>
  <c r="I136" i="4"/>
  <c r="K135" i="4"/>
  <c r="I135" i="4" s="1"/>
  <c r="I133" i="4"/>
  <c r="K132" i="4"/>
  <c r="I132" i="4" s="1"/>
  <c r="I130" i="4"/>
  <c r="K129" i="4"/>
  <c r="K128" i="4" s="1"/>
  <c r="I129" i="4"/>
  <c r="I127" i="4"/>
  <c r="K126" i="4"/>
  <c r="I126" i="4" s="1"/>
  <c r="I125" i="4"/>
  <c r="K124" i="4"/>
  <c r="I124" i="4" s="1"/>
  <c r="I122" i="4"/>
  <c r="K121" i="4"/>
  <c r="I121" i="4" s="1"/>
  <c r="K119" i="4"/>
  <c r="J119" i="4"/>
  <c r="I117" i="4"/>
  <c r="K116" i="4"/>
  <c r="K115" i="4" s="1"/>
  <c r="I116" i="4"/>
  <c r="J113" i="4"/>
  <c r="J111" i="4"/>
  <c r="J109" i="4"/>
  <c r="K108" i="4"/>
  <c r="I108" i="4"/>
  <c r="K107" i="4"/>
  <c r="I107" i="4" s="1"/>
  <c r="K106" i="4"/>
  <c r="I106" i="4" s="1"/>
  <c r="I104" i="4"/>
  <c r="K103" i="4"/>
  <c r="K102" i="4" s="1"/>
  <c r="I103" i="4"/>
  <c r="I101" i="4"/>
  <c r="Q44" i="1"/>
  <c r="K99" i="4"/>
  <c r="I99" i="4"/>
  <c r="K98" i="4"/>
  <c r="I98" i="4"/>
  <c r="K97" i="4"/>
  <c r="I97" i="4"/>
  <c r="K96" i="4"/>
  <c r="I96" i="4"/>
  <c r="K95" i="4"/>
  <c r="I95" i="4"/>
  <c r="I93" i="4"/>
  <c r="K92" i="4"/>
  <c r="K91" i="4" s="1"/>
  <c r="I92" i="4"/>
  <c r="I90" i="4"/>
  <c r="K89" i="4"/>
  <c r="K88" i="4" s="1"/>
  <c r="I89" i="4"/>
  <c r="K87" i="4"/>
  <c r="K86" i="4"/>
  <c r="J86" i="4"/>
  <c r="K85" i="4"/>
  <c r="J85" i="4"/>
  <c r="I84" i="4"/>
  <c r="J82" i="4"/>
  <c r="J80" i="4"/>
  <c r="J78" i="4"/>
  <c r="K77" i="4"/>
  <c r="I77" i="4"/>
  <c r="J76" i="4"/>
  <c r="J75" i="4"/>
  <c r="K74" i="4"/>
  <c r="I74" i="4"/>
  <c r="I73" i="4"/>
  <c r="K72" i="4"/>
  <c r="I72" i="4"/>
  <c r="I71" i="4"/>
  <c r="K70" i="4"/>
  <c r="I70" i="4"/>
  <c r="I69" i="4"/>
  <c r="K68" i="4"/>
  <c r="I68" i="4"/>
  <c r="A67" i="4"/>
  <c r="A74" i="4" s="1"/>
  <c r="A77" i="4" s="1"/>
  <c r="A84" i="4" s="1"/>
  <c r="A88" i="4" s="1"/>
  <c r="A91" i="4" s="1"/>
  <c r="A94" i="4" s="1"/>
  <c r="A100" i="4" s="1"/>
  <c r="A102" i="4" s="1"/>
  <c r="A105" i="4" s="1"/>
  <c r="A108" i="4" s="1"/>
  <c r="A115" i="4" s="1"/>
  <c r="A118" i="4" s="1"/>
  <c r="A120" i="4" s="1"/>
  <c r="A123" i="4" s="1"/>
  <c r="A128" i="4" s="1"/>
  <c r="A131" i="4" s="1"/>
  <c r="A134" i="4" s="1"/>
  <c r="A137" i="4" s="1"/>
  <c r="A141" i="4" s="1"/>
  <c r="A144" i="4" s="1"/>
  <c r="A147" i="4" s="1"/>
  <c r="A150" i="4" s="1"/>
  <c r="A152" i="4" s="1"/>
  <c r="A155" i="4" s="1"/>
  <c r="A158" i="4" s="1"/>
  <c r="A162" i="4" s="1"/>
  <c r="A164" i="4" s="1"/>
  <c r="A168" i="4" s="1"/>
  <c r="A172" i="4" s="1"/>
  <c r="A179" i="4" s="1"/>
  <c r="A182" i="4" s="1"/>
  <c r="A210" i="4" s="1"/>
  <c r="A214" i="4" s="1"/>
  <c r="A218" i="4" s="1"/>
  <c r="A237" i="4" s="1"/>
  <c r="A239" i="4" s="1"/>
  <c r="A242" i="4" s="1"/>
  <c r="A246" i="4" s="1"/>
  <c r="A249" i="4" s="1"/>
  <c r="A252" i="4" s="1"/>
  <c r="A255" i="4" s="1"/>
  <c r="A258" i="4" s="1"/>
  <c r="A260" i="4" s="1"/>
  <c r="A263" i="4" s="1"/>
  <c r="A267" i="4" s="1"/>
  <c r="A271" i="4" s="1"/>
  <c r="A275" i="4" s="1"/>
  <c r="J66" i="4"/>
  <c r="J65" i="4"/>
  <c r="K64" i="4"/>
  <c r="I64" i="4"/>
  <c r="D63" i="4"/>
  <c r="A1299" i="4" l="1"/>
  <c r="A1301" i="4" s="1"/>
  <c r="A1304" i="4" s="1"/>
  <c r="A1307" i="4" s="1"/>
  <c r="A1318" i="4" s="1"/>
  <c r="A1321" i="4" s="1"/>
  <c r="A1323" i="4" s="1"/>
  <c r="A1325" i="4" s="1"/>
  <c r="A1332" i="4" s="1"/>
  <c r="Q41" i="1"/>
  <c r="Q45" i="1"/>
  <c r="Q48" i="1"/>
  <c r="J118" i="4"/>
  <c r="Q57" i="1"/>
  <c r="Q58" i="1"/>
  <c r="Q59" i="1"/>
  <c r="Q61" i="1"/>
  <c r="Q67" i="1"/>
  <c r="K186" i="4"/>
  <c r="K189" i="4"/>
  <c r="K192" i="4"/>
  <c r="K195" i="4"/>
  <c r="K198" i="4"/>
  <c r="K201" i="4"/>
  <c r="K204" i="4"/>
  <c r="K207" i="4"/>
  <c r="K215" i="4"/>
  <c r="K214" i="4" s="1"/>
  <c r="Q72" i="1"/>
  <c r="Q73" i="1"/>
  <c r="Q76" i="1"/>
  <c r="Q36" i="1"/>
  <c r="Q38" i="1"/>
  <c r="Q39" i="1"/>
  <c r="Q42" i="1"/>
  <c r="Q47" i="1"/>
  <c r="Q52" i="1"/>
  <c r="Q56" i="1"/>
  <c r="J150" i="4"/>
  <c r="Q60" i="1"/>
  <c r="Q63" i="1"/>
  <c r="K211" i="4"/>
  <c r="K210" i="4" s="1"/>
  <c r="K219" i="4"/>
  <c r="K222" i="4"/>
  <c r="K225" i="4"/>
  <c r="K228" i="4"/>
  <c r="K231" i="4"/>
  <c r="K234" i="4"/>
  <c r="Q75" i="1"/>
  <c r="Q77" i="1"/>
  <c r="Q78" i="1"/>
  <c r="A473" i="1"/>
  <c r="A38" i="1"/>
  <c r="A346" i="1"/>
  <c r="A347" i="1" s="1"/>
  <c r="A348" i="1" s="1"/>
  <c r="A132" i="1"/>
  <c r="A856" i="1"/>
  <c r="J160" i="4"/>
  <c r="J238" i="4"/>
  <c r="Q805" i="1"/>
  <c r="J70" i="4"/>
  <c r="J71" i="4"/>
  <c r="J38" i="1"/>
  <c r="J39" i="1"/>
  <c r="J92" i="4"/>
  <c r="J93" i="4"/>
  <c r="J106" i="4"/>
  <c r="J47" i="1"/>
  <c r="J121" i="4"/>
  <c r="J126" i="4"/>
  <c r="J129" i="4"/>
  <c r="J139" i="4"/>
  <c r="J142" i="4"/>
  <c r="J143" i="4"/>
  <c r="J59" i="1"/>
  <c r="J157" i="4"/>
  <c r="J163" i="4"/>
  <c r="J165" i="4"/>
  <c r="J167" i="4"/>
  <c r="J176" i="4"/>
  <c r="J178" i="4"/>
  <c r="J68" i="1"/>
  <c r="J69" i="1"/>
  <c r="J71" i="1"/>
  <c r="J247" i="4"/>
  <c r="J77" i="1"/>
  <c r="J256" i="4"/>
  <c r="J257" i="4"/>
  <c r="J262" i="4"/>
  <c r="J268" i="4"/>
  <c r="J270" i="4"/>
  <c r="J348" i="1"/>
  <c r="J367" i="1"/>
  <c r="J369" i="1"/>
  <c r="J391" i="1"/>
  <c r="J68" i="4"/>
  <c r="J69" i="4"/>
  <c r="J72" i="4"/>
  <c r="J73" i="4"/>
  <c r="J40" i="1"/>
  <c r="J89" i="4"/>
  <c r="J90" i="4"/>
  <c r="J95" i="4"/>
  <c r="J96" i="4"/>
  <c r="J97" i="4"/>
  <c r="J98" i="4"/>
  <c r="J99" i="4"/>
  <c r="J103" i="4"/>
  <c r="J104" i="4"/>
  <c r="J116" i="4"/>
  <c r="J117" i="4"/>
  <c r="J122" i="4"/>
  <c r="J125" i="4"/>
  <c r="J127" i="4"/>
  <c r="J132" i="4"/>
  <c r="J135" i="4"/>
  <c r="J140" i="4"/>
  <c r="J57" i="1"/>
  <c r="J148" i="4"/>
  <c r="J154" i="4"/>
  <c r="J169" i="4"/>
  <c r="J171" i="4"/>
  <c r="J173" i="4"/>
  <c r="J177" i="4"/>
  <c r="J180" i="4"/>
  <c r="J70" i="1"/>
  <c r="J73" i="1"/>
  <c r="J243" i="4"/>
  <c r="J245" i="4"/>
  <c r="J261" i="4"/>
  <c r="J264" i="4"/>
  <c r="J266" i="4"/>
  <c r="J272" i="4"/>
  <c r="J274" i="4"/>
  <c r="J393" i="1"/>
  <c r="J259" i="4"/>
  <c r="I258" i="4"/>
  <c r="K258" i="4"/>
  <c r="K118" i="4"/>
  <c r="J250" i="4"/>
  <c r="I249" i="4"/>
  <c r="I152" i="4"/>
  <c r="J49" i="1"/>
  <c r="I158" i="4"/>
  <c r="Q346" i="1"/>
  <c r="J101" i="4"/>
  <c r="I100" i="4"/>
  <c r="Q383" i="1"/>
  <c r="I94" i="4"/>
  <c r="Q386" i="1"/>
  <c r="I141" i="4"/>
  <c r="I155" i="4"/>
  <c r="I88" i="4"/>
  <c r="P791" i="1"/>
  <c r="J84" i="4"/>
  <c r="N778" i="1"/>
  <c r="P779" i="1"/>
  <c r="N780" i="1"/>
  <c r="N782" i="1"/>
  <c r="N784" i="1"/>
  <c r="P785" i="1"/>
  <c r="N788" i="1"/>
  <c r="P789" i="1"/>
  <c r="N790" i="1"/>
  <c r="N792" i="1"/>
  <c r="N793" i="1"/>
  <c r="N794" i="1"/>
  <c r="P795" i="1"/>
  <c r="N796" i="1"/>
  <c r="P797" i="1"/>
  <c r="N802" i="1"/>
  <c r="N804" i="1"/>
  <c r="P346" i="1"/>
  <c r="P782" i="1"/>
  <c r="N789" i="1"/>
  <c r="P793" i="1"/>
  <c r="N797" i="1"/>
  <c r="Q404" i="1"/>
  <c r="Q412" i="1"/>
  <c r="Q405" i="1"/>
  <c r="N779" i="1"/>
  <c r="N785" i="1"/>
  <c r="N791" i="1"/>
  <c r="N795" i="1"/>
  <c r="N803" i="1"/>
  <c r="P778" i="1"/>
  <c r="P780" i="1"/>
  <c r="P784" i="1"/>
  <c r="P788" i="1"/>
  <c r="P790" i="1"/>
  <c r="P792" i="1"/>
  <c r="P794" i="1"/>
  <c r="P796" i="1"/>
  <c r="P802" i="1"/>
  <c r="P804" i="1"/>
  <c r="J214" i="4"/>
  <c r="Q409" i="1"/>
  <c r="J64" i="4"/>
  <c r="J74" i="4"/>
  <c r="I162" i="4"/>
  <c r="J210" i="4"/>
  <c r="J36" i="1"/>
  <c r="Q385" i="1"/>
  <c r="Q397" i="1"/>
  <c r="Q401" i="1"/>
  <c r="N346" i="1"/>
  <c r="J108" i="4"/>
  <c r="K134" i="4"/>
  <c r="J218" i="4"/>
  <c r="J239" i="4"/>
  <c r="K242" i="4"/>
  <c r="K271" i="4"/>
  <c r="J276" i="4"/>
  <c r="I275" i="4"/>
  <c r="K84" i="4"/>
  <c r="K94" i="4"/>
  <c r="K105" i="4"/>
  <c r="K120" i="4"/>
  <c r="K131" i="4"/>
  <c r="K137" i="4"/>
  <c r="J252" i="4"/>
  <c r="K260" i="4"/>
  <c r="K275" i="4"/>
  <c r="J107" i="4"/>
  <c r="I105" i="4"/>
  <c r="K168" i="4"/>
  <c r="K267" i="4"/>
  <c r="K67" i="4"/>
  <c r="J77" i="4"/>
  <c r="I91" i="4"/>
  <c r="I102" i="4"/>
  <c r="I115" i="4"/>
  <c r="J144" i="4"/>
  <c r="K158" i="4"/>
  <c r="K164" i="4"/>
  <c r="K172" i="4"/>
  <c r="K263" i="4"/>
  <c r="I269" i="4"/>
  <c r="J124" i="4"/>
  <c r="I123" i="4"/>
  <c r="J130" i="4"/>
  <c r="I128" i="4"/>
  <c r="J133" i="4"/>
  <c r="I131" i="4"/>
  <c r="J136" i="4"/>
  <c r="I134" i="4"/>
  <c r="J166" i="4"/>
  <c r="I164" i="4"/>
  <c r="J174" i="4"/>
  <c r="J181" i="4"/>
  <c r="I179" i="4"/>
  <c r="I67" i="4"/>
  <c r="I120" i="4"/>
  <c r="K123" i="4"/>
  <c r="I138" i="4"/>
  <c r="J149" i="4"/>
  <c r="I147" i="4"/>
  <c r="J170" i="4"/>
  <c r="I168" i="4"/>
  <c r="I175" i="4"/>
  <c r="J182" i="4"/>
  <c r="I237" i="4"/>
  <c r="I244" i="4"/>
  <c r="J248" i="4"/>
  <c r="I246" i="4"/>
  <c r="J251" i="4"/>
  <c r="I255" i="4"/>
  <c r="I260" i="4"/>
  <c r="I265" i="4"/>
  <c r="I273" i="4"/>
  <c r="D12" i="4"/>
  <c r="H922" i="1"/>
  <c r="I922" i="1"/>
  <c r="K922" i="1"/>
  <c r="L922" i="1"/>
  <c r="M922" i="1"/>
  <c r="G922" i="1"/>
  <c r="H920" i="1"/>
  <c r="I920" i="1"/>
  <c r="K920" i="1"/>
  <c r="L920" i="1"/>
  <c r="M920" i="1"/>
  <c r="O920" i="1"/>
  <c r="G920" i="1"/>
  <c r="H914" i="1"/>
  <c r="I914" i="1"/>
  <c r="G914" i="1"/>
  <c r="H903" i="1"/>
  <c r="K903" i="1"/>
  <c r="L903" i="1"/>
  <c r="M903" i="1"/>
  <c r="O903" i="1"/>
  <c r="G903" i="1"/>
  <c r="H901" i="1"/>
  <c r="I901" i="1"/>
  <c r="K901" i="1"/>
  <c r="L901" i="1"/>
  <c r="M901" i="1"/>
  <c r="O901" i="1"/>
  <c r="G901" i="1"/>
  <c r="H896" i="1"/>
  <c r="I896" i="1"/>
  <c r="K896" i="1"/>
  <c r="L896" i="1"/>
  <c r="M896" i="1"/>
  <c r="O896" i="1"/>
  <c r="G896" i="1"/>
  <c r="H807" i="1"/>
  <c r="I807" i="1"/>
  <c r="K807" i="1"/>
  <c r="L807" i="1"/>
  <c r="M807" i="1"/>
  <c r="O807" i="1"/>
  <c r="G807" i="1"/>
  <c r="H771" i="1"/>
  <c r="I771" i="1"/>
  <c r="K771" i="1"/>
  <c r="L771" i="1"/>
  <c r="M771" i="1"/>
  <c r="O771" i="1"/>
  <c r="G771" i="1"/>
  <c r="H769" i="1"/>
  <c r="I769" i="1"/>
  <c r="K769" i="1"/>
  <c r="L769" i="1"/>
  <c r="M769" i="1"/>
  <c r="O769" i="1"/>
  <c r="G769" i="1"/>
  <c r="H764" i="1"/>
  <c r="I764" i="1"/>
  <c r="K764" i="1"/>
  <c r="L764" i="1"/>
  <c r="M764" i="1"/>
  <c r="O764" i="1"/>
  <c r="G764" i="1"/>
  <c r="H761" i="1"/>
  <c r="I761" i="1"/>
  <c r="K761" i="1"/>
  <c r="L761" i="1"/>
  <c r="M761" i="1"/>
  <c r="O761" i="1"/>
  <c r="G761" i="1"/>
  <c r="H754" i="1"/>
  <c r="I754" i="1"/>
  <c r="K754" i="1"/>
  <c r="L754" i="1"/>
  <c r="M754" i="1"/>
  <c r="G754" i="1"/>
  <c r="H738" i="1"/>
  <c r="I738" i="1"/>
  <c r="K738" i="1"/>
  <c r="L738" i="1"/>
  <c r="M738" i="1"/>
  <c r="G738" i="1"/>
  <c r="H735" i="1"/>
  <c r="I735" i="1"/>
  <c r="K735" i="1"/>
  <c r="L735" i="1"/>
  <c r="M735" i="1"/>
  <c r="G735" i="1"/>
  <c r="H731" i="1"/>
  <c r="I731" i="1"/>
  <c r="G731" i="1"/>
  <c r="H729" i="1"/>
  <c r="I729" i="1"/>
  <c r="G729" i="1"/>
  <c r="H707" i="1"/>
  <c r="I707" i="1"/>
  <c r="K707" i="1"/>
  <c r="L707" i="1"/>
  <c r="M707" i="1"/>
  <c r="G707" i="1"/>
  <c r="H704" i="1"/>
  <c r="I704" i="1"/>
  <c r="K704" i="1"/>
  <c r="L704" i="1"/>
  <c r="M704" i="1"/>
  <c r="G704" i="1"/>
  <c r="H700" i="1"/>
  <c r="I700" i="1"/>
  <c r="G700" i="1"/>
  <c r="H698" i="1"/>
  <c r="I698" i="1"/>
  <c r="K698" i="1"/>
  <c r="L698" i="1"/>
  <c r="M698" i="1"/>
  <c r="G698" i="1"/>
  <c r="H417" i="1"/>
  <c r="I417" i="1"/>
  <c r="K417" i="1"/>
  <c r="L417" i="1"/>
  <c r="M417" i="1"/>
  <c r="G417" i="1"/>
  <c r="H340" i="1"/>
  <c r="I340" i="1"/>
  <c r="K340" i="1"/>
  <c r="L340" i="1"/>
  <c r="M340" i="1"/>
  <c r="G340" i="1"/>
  <c r="H338" i="1"/>
  <c r="I338" i="1"/>
  <c r="K338" i="1"/>
  <c r="L338" i="1"/>
  <c r="M338" i="1"/>
  <c r="G338" i="1"/>
  <c r="H323" i="1"/>
  <c r="I323" i="1"/>
  <c r="K323" i="1"/>
  <c r="L323" i="1"/>
  <c r="M323" i="1"/>
  <c r="H320" i="1"/>
  <c r="I320" i="1"/>
  <c r="K320" i="1"/>
  <c r="L320" i="1"/>
  <c r="M320" i="1"/>
  <c r="G320" i="1"/>
  <c r="H316" i="1"/>
  <c r="I316" i="1"/>
  <c r="K316" i="1"/>
  <c r="L316" i="1"/>
  <c r="M316" i="1"/>
  <c r="O316" i="1"/>
  <c r="G316" i="1"/>
  <c r="H314" i="1"/>
  <c r="I314" i="1"/>
  <c r="K314" i="1"/>
  <c r="L314" i="1"/>
  <c r="M314" i="1"/>
  <c r="O314" i="1"/>
  <c r="G314" i="1"/>
  <c r="H303" i="1"/>
  <c r="I303" i="1"/>
  <c r="K303" i="1"/>
  <c r="L303" i="1"/>
  <c r="M303" i="1"/>
  <c r="O303" i="1"/>
  <c r="G303" i="1"/>
  <c r="H300" i="1"/>
  <c r="I300" i="1"/>
  <c r="K300" i="1"/>
  <c r="L300" i="1"/>
  <c r="M300" i="1"/>
  <c r="O300" i="1"/>
  <c r="G300" i="1"/>
  <c r="H297" i="1"/>
  <c r="I297" i="1"/>
  <c r="K297" i="1"/>
  <c r="L297" i="1"/>
  <c r="M297" i="1"/>
  <c r="O297" i="1"/>
  <c r="G297" i="1"/>
  <c r="H294" i="1"/>
  <c r="I294" i="1"/>
  <c r="O294" i="1"/>
  <c r="G294" i="1"/>
  <c r="H291" i="1"/>
  <c r="I291" i="1"/>
  <c r="O291" i="1"/>
  <c r="G291" i="1"/>
  <c r="H272" i="1"/>
  <c r="I272" i="1"/>
  <c r="K272" i="1"/>
  <c r="L272" i="1"/>
  <c r="M272" i="1"/>
  <c r="O272" i="1"/>
  <c r="G272" i="1"/>
  <c r="H269" i="1"/>
  <c r="I269" i="1"/>
  <c r="K269" i="1"/>
  <c r="L269" i="1"/>
  <c r="M269" i="1"/>
  <c r="O269" i="1"/>
  <c r="G269" i="1"/>
  <c r="H265" i="1"/>
  <c r="I265" i="1"/>
  <c r="O265" i="1"/>
  <c r="G265" i="1"/>
  <c r="H263" i="1"/>
  <c r="I263" i="1"/>
  <c r="K263" i="1"/>
  <c r="L263" i="1"/>
  <c r="M263" i="1"/>
  <c r="O263" i="1"/>
  <c r="G263" i="1"/>
  <c r="H85" i="1"/>
  <c r="I85" i="1"/>
  <c r="K85" i="1"/>
  <c r="L85" i="1"/>
  <c r="M85" i="1"/>
  <c r="O85" i="1"/>
  <c r="G85" i="1"/>
  <c r="H32" i="1"/>
  <c r="I32" i="1"/>
  <c r="K32" i="1"/>
  <c r="L32" i="1"/>
  <c r="M32" i="1"/>
  <c r="O32" i="1"/>
  <c r="G32" i="1"/>
  <c r="H28" i="1"/>
  <c r="I28" i="1"/>
  <c r="K28" i="1"/>
  <c r="L28" i="1"/>
  <c r="M28" i="1"/>
  <c r="O28" i="1"/>
  <c r="G28" i="1"/>
  <c r="H14" i="1"/>
  <c r="I14" i="1"/>
  <c r="K14" i="1"/>
  <c r="L14" i="1"/>
  <c r="M14" i="1"/>
  <c r="O14" i="1"/>
  <c r="G14" i="1"/>
  <c r="H11" i="1"/>
  <c r="I11" i="1"/>
  <c r="K11" i="1"/>
  <c r="L11" i="1"/>
  <c r="M11" i="1"/>
  <c r="O11" i="1"/>
  <c r="G11" i="1"/>
  <c r="D48" i="4"/>
  <c r="A1335" i="4" l="1"/>
  <c r="A1340" i="4" s="1"/>
  <c r="A1343" i="4" s="1"/>
  <c r="A1346" i="4" s="1"/>
  <c r="A1353" i="4" s="1"/>
  <c r="A1355" i="4" s="1"/>
  <c r="A1358" i="4" s="1"/>
  <c r="A1377" i="4" s="1"/>
  <c r="K218" i="4"/>
  <c r="K182" i="4"/>
  <c r="Q68" i="1" s="1"/>
  <c r="J128" i="4"/>
  <c r="Q81" i="1"/>
  <c r="Q66" i="1"/>
  <c r="Q62" i="1"/>
  <c r="Q37" i="1"/>
  <c r="Q65" i="1"/>
  <c r="Q80" i="1"/>
  <c r="Q69" i="1"/>
  <c r="Q53" i="1"/>
  <c r="Q46" i="1"/>
  <c r="Q40" i="1"/>
  <c r="J275" i="4"/>
  <c r="Q74" i="1"/>
  <c r="Q70" i="1"/>
  <c r="Q49" i="1"/>
  <c r="J162" i="4"/>
  <c r="J237" i="4"/>
  <c r="Q71" i="1"/>
  <c r="Q51" i="1"/>
  <c r="Q64" i="1"/>
  <c r="Q82" i="1"/>
  <c r="Q84" i="1"/>
  <c r="Q55" i="1"/>
  <c r="Q50" i="1"/>
  <c r="Q43" i="1"/>
  <c r="Q83" i="1"/>
  <c r="Q54" i="1"/>
  <c r="J100" i="4"/>
  <c r="Q79" i="1"/>
  <c r="J258" i="4"/>
  <c r="J152" i="4"/>
  <c r="J155" i="4"/>
  <c r="J158" i="4"/>
  <c r="G760" i="1"/>
  <c r="H760" i="1"/>
  <c r="J269" i="4"/>
  <c r="J267" i="4" s="1"/>
  <c r="J805" i="1"/>
  <c r="J260" i="4"/>
  <c r="J88" i="4"/>
  <c r="J255" i="4"/>
  <c r="J131" i="4"/>
  <c r="J120" i="4"/>
  <c r="J249" i="4"/>
  <c r="J102" i="4"/>
  <c r="J141" i="4"/>
  <c r="P393" i="1"/>
  <c r="P71" i="1"/>
  <c r="N47" i="1"/>
  <c r="N39" i="1"/>
  <c r="P69" i="1"/>
  <c r="P38" i="1"/>
  <c r="A39" i="1"/>
  <c r="P40" i="1"/>
  <c r="P77" i="1"/>
  <c r="P68" i="1"/>
  <c r="A857" i="1"/>
  <c r="A133" i="1"/>
  <c r="A474" i="1"/>
  <c r="J168" i="4"/>
  <c r="J164" i="4"/>
  <c r="J134" i="4"/>
  <c r="J123" i="4"/>
  <c r="J94" i="4"/>
  <c r="P47" i="1"/>
  <c r="P391" i="1"/>
  <c r="P369" i="1"/>
  <c r="N348" i="1"/>
  <c r="N40" i="1"/>
  <c r="N393" i="1"/>
  <c r="J115" i="4"/>
  <c r="J67" i="4"/>
  <c r="J91" i="4"/>
  <c r="J246" i="4"/>
  <c r="J147" i="4"/>
  <c r="J179" i="4"/>
  <c r="J105" i="4"/>
  <c r="P73" i="1"/>
  <c r="P57" i="1"/>
  <c r="N68" i="1"/>
  <c r="N38" i="1"/>
  <c r="P348" i="1"/>
  <c r="N367" i="1"/>
  <c r="J396" i="1"/>
  <c r="N70" i="1"/>
  <c r="P59" i="1"/>
  <c r="N391" i="1"/>
  <c r="N369" i="1"/>
  <c r="P367" i="1"/>
  <c r="N71" i="1"/>
  <c r="N59" i="1"/>
  <c r="P39" i="1"/>
  <c r="P70" i="1"/>
  <c r="N73" i="1"/>
  <c r="N57" i="1"/>
  <c r="N77" i="1"/>
  <c r="N69" i="1"/>
  <c r="J352" i="1"/>
  <c r="J80" i="1"/>
  <c r="J72" i="1"/>
  <c r="J65" i="1"/>
  <c r="J50" i="1"/>
  <c r="J64" i="1"/>
  <c r="J54" i="1"/>
  <c r="J53" i="1"/>
  <c r="J52" i="1"/>
  <c r="J51" i="1"/>
  <c r="I267" i="4"/>
  <c r="J45" i="1"/>
  <c r="J42" i="1"/>
  <c r="J416" i="1"/>
  <c r="J415" i="1"/>
  <c r="J414" i="1"/>
  <c r="J413" i="1"/>
  <c r="J412" i="1"/>
  <c r="J405" i="1"/>
  <c r="J403" i="1"/>
  <c r="J394" i="1"/>
  <c r="J392" i="1"/>
  <c r="J389" i="1"/>
  <c r="J384" i="1"/>
  <c r="J382" i="1"/>
  <c r="J381" i="1"/>
  <c r="J380" i="1"/>
  <c r="J356" i="1"/>
  <c r="J354" i="1"/>
  <c r="J353" i="1"/>
  <c r="J345" i="1"/>
  <c r="J398" i="1"/>
  <c r="J395" i="1"/>
  <c r="J387" i="1"/>
  <c r="J374" i="1"/>
  <c r="J373" i="1"/>
  <c r="J410" i="1"/>
  <c r="J386" i="1"/>
  <c r="J383" i="1"/>
  <c r="J61" i="1"/>
  <c r="J360" i="1"/>
  <c r="J43" i="1"/>
  <c r="J357" i="1"/>
  <c r="J76" i="1"/>
  <c r="J79" i="1"/>
  <c r="J78" i="1"/>
  <c r="J75" i="1"/>
  <c r="J175" i="4"/>
  <c r="J58" i="1"/>
  <c r="J37" i="1"/>
  <c r="J67" i="1"/>
  <c r="J48" i="1"/>
  <c r="J46" i="1"/>
  <c r="J84" i="1"/>
  <c r="J372" i="1"/>
  <c r="J361" i="1"/>
  <c r="J351" i="1"/>
  <c r="J63" i="1"/>
  <c r="J350" i="1"/>
  <c r="J368" i="1"/>
  <c r="J806" i="1"/>
  <c r="J371" i="1"/>
  <c r="J41" i="1"/>
  <c r="J56" i="1"/>
  <c r="J370" i="1"/>
  <c r="J365" i="1"/>
  <c r="J359" i="1"/>
  <c r="J366" i="1"/>
  <c r="J363" i="1"/>
  <c r="J44" i="1"/>
  <c r="J62" i="1"/>
  <c r="J60" i="1"/>
  <c r="N49" i="1"/>
  <c r="P49" i="1"/>
  <c r="H10" i="1"/>
  <c r="I319" i="1"/>
  <c r="G319" i="1"/>
  <c r="H319" i="1"/>
  <c r="O10" i="1"/>
  <c r="I10" i="1"/>
  <c r="G10" i="1"/>
  <c r="J344" i="1"/>
  <c r="P36" i="1"/>
  <c r="N36" i="1"/>
  <c r="J265" i="4"/>
  <c r="I263" i="4"/>
  <c r="J244" i="4"/>
  <c r="I242" i="4"/>
  <c r="J273" i="4"/>
  <c r="I271" i="4"/>
  <c r="J138" i="4"/>
  <c r="I137" i="4"/>
  <c r="I172" i="4"/>
  <c r="J776" i="1" l="1"/>
  <c r="A1380" i="4"/>
  <c r="A1383" i="4" s="1"/>
  <c r="J137" i="4"/>
  <c r="J271" i="4"/>
  <c r="J242" i="4"/>
  <c r="J263" i="4"/>
  <c r="J172" i="4"/>
  <c r="A858" i="1"/>
  <c r="P352" i="1"/>
  <c r="N352" i="1"/>
  <c r="A349" i="1"/>
  <c r="A40" i="1"/>
  <c r="N415" i="1"/>
  <c r="A475" i="1"/>
  <c r="A134" i="1"/>
  <c r="P396" i="1"/>
  <c r="N396" i="1"/>
  <c r="N80" i="1"/>
  <c r="N413" i="1"/>
  <c r="P414" i="1"/>
  <c r="N52" i="1"/>
  <c r="P52" i="1"/>
  <c r="N48" i="1"/>
  <c r="N54" i="1"/>
  <c r="N42" i="1"/>
  <c r="P405" i="1"/>
  <c r="P392" i="1"/>
  <c r="P380" i="1"/>
  <c r="N345" i="1"/>
  <c r="P415" i="1"/>
  <c r="N72" i="1"/>
  <c r="P360" i="1"/>
  <c r="P72" i="1"/>
  <c r="P45" i="1"/>
  <c r="N64" i="1"/>
  <c r="P46" i="1"/>
  <c r="N78" i="1"/>
  <c r="N361" i="1"/>
  <c r="P412" i="1"/>
  <c r="P416" i="1"/>
  <c r="P394" i="1"/>
  <c r="P373" i="1"/>
  <c r="N75" i="1"/>
  <c r="P384" i="1"/>
  <c r="N45" i="1"/>
  <c r="P50" i="1"/>
  <c r="N373" i="1"/>
  <c r="P351" i="1"/>
  <c r="N51" i="1"/>
  <c r="N67" i="1"/>
  <c r="P63" i="1"/>
  <c r="P53" i="1"/>
  <c r="P54" i="1"/>
  <c r="P64" i="1"/>
  <c r="P80" i="1"/>
  <c r="P48" i="1"/>
  <c r="N50" i="1"/>
  <c r="P65" i="1"/>
  <c r="P374" i="1"/>
  <c r="N405" i="1"/>
  <c r="N412" i="1"/>
  <c r="P413" i="1"/>
  <c r="N416" i="1"/>
  <c r="P389" i="1"/>
  <c r="P400" i="1"/>
  <c r="P353" i="1"/>
  <c r="N382" i="1"/>
  <c r="P387" i="1"/>
  <c r="P356" i="1"/>
  <c r="P395" i="1"/>
  <c r="P84" i="1"/>
  <c r="N37" i="1"/>
  <c r="N383" i="1"/>
  <c r="N356" i="1"/>
  <c r="N392" i="1"/>
  <c r="N400" i="1"/>
  <c r="N414" i="1"/>
  <c r="P42" i="1"/>
  <c r="P51" i="1"/>
  <c r="N53" i="1"/>
  <c r="N65" i="1"/>
  <c r="P357" i="1"/>
  <c r="N357" i="1"/>
  <c r="N43" i="1"/>
  <c r="P381" i="1"/>
  <c r="N79" i="1"/>
  <c r="N84" i="1"/>
  <c r="N58" i="1"/>
  <c r="P75" i="1"/>
  <c r="N76" i="1"/>
  <c r="P37" i="1"/>
  <c r="N374" i="1"/>
  <c r="P361" i="1"/>
  <c r="N384" i="1"/>
  <c r="P354" i="1"/>
  <c r="N353" i="1"/>
  <c r="N380" i="1"/>
  <c r="P382" i="1"/>
  <c r="N394" i="1"/>
  <c r="P398" i="1"/>
  <c r="P372" i="1"/>
  <c r="P345" i="1"/>
  <c r="N410" i="1"/>
  <c r="P410" i="1"/>
  <c r="N387" i="1"/>
  <c r="N398" i="1"/>
  <c r="N372" i="1"/>
  <c r="N46" i="1"/>
  <c r="P67" i="1"/>
  <c r="P58" i="1"/>
  <c r="P76" i="1"/>
  <c r="P386" i="1"/>
  <c r="N354" i="1"/>
  <c r="N381" i="1"/>
  <c r="N389" i="1"/>
  <c r="P403" i="1"/>
  <c r="P78" i="1"/>
  <c r="P61" i="1"/>
  <c r="N360" i="1"/>
  <c r="P43" i="1"/>
  <c r="P383" i="1"/>
  <c r="N395" i="1"/>
  <c r="N403" i="1"/>
  <c r="N368" i="1"/>
  <c r="N806" i="1"/>
  <c r="P79" i="1"/>
  <c r="N41" i="1"/>
  <c r="P366" i="1"/>
  <c r="P41" i="1"/>
  <c r="P363" i="1"/>
  <c r="P359" i="1"/>
  <c r="N60" i="1"/>
  <c r="P806" i="1"/>
  <c r="N371" i="1"/>
  <c r="P371" i="1"/>
  <c r="N63" i="1"/>
  <c r="P365" i="1"/>
  <c r="N365" i="1"/>
  <c r="P44" i="1"/>
  <c r="N62" i="1"/>
  <c r="N56" i="1"/>
  <c r="P350" i="1"/>
  <c r="J83" i="1"/>
  <c r="J81" i="1"/>
  <c r="J362" i="1"/>
  <c r="J385" i="1"/>
  <c r="J401" i="1"/>
  <c r="J349" i="1"/>
  <c r="J66" i="1"/>
  <c r="J409" i="1"/>
  <c r="N350" i="1"/>
  <c r="J377" i="1"/>
  <c r="J404" i="1"/>
  <c r="P56" i="1"/>
  <c r="N366" i="1"/>
  <c r="J402" i="1"/>
  <c r="J411" i="1"/>
  <c r="N359" i="1"/>
  <c r="P370" i="1"/>
  <c r="N363" i="1"/>
  <c r="P62" i="1"/>
  <c r="P60" i="1"/>
  <c r="N44" i="1"/>
  <c r="N370" i="1"/>
  <c r="P368" i="1"/>
  <c r="N351" i="1"/>
  <c r="N61" i="1"/>
  <c r="N386" i="1"/>
  <c r="J55" i="1"/>
  <c r="J74" i="1"/>
  <c r="J375" i="1"/>
  <c r="J397" i="1"/>
  <c r="J407" i="1"/>
  <c r="J408" i="1"/>
  <c r="J355" i="1"/>
  <c r="J406" i="1"/>
  <c r="J388" i="1"/>
  <c r="J82" i="1"/>
  <c r="N805" i="1"/>
  <c r="P805" i="1"/>
  <c r="N344" i="1"/>
  <c r="P344" i="1"/>
  <c r="I63" i="4"/>
  <c r="N776" i="1" l="1"/>
  <c r="A1386" i="4"/>
  <c r="A1394" i="4" s="1"/>
  <c r="A1397" i="4" s="1"/>
  <c r="A1400" i="4" s="1"/>
  <c r="N349" i="1"/>
  <c r="A476" i="1"/>
  <c r="P402" i="1"/>
  <c r="P377" i="1"/>
  <c r="P404" i="1"/>
  <c r="A41" i="1"/>
  <c r="A135" i="1"/>
  <c r="A350" i="1"/>
  <c r="A859" i="1"/>
  <c r="N377" i="1"/>
  <c r="N402" i="1"/>
  <c r="N399" i="1"/>
  <c r="P349" i="1"/>
  <c r="N407" i="1"/>
  <c r="P411" i="1"/>
  <c r="N411" i="1"/>
  <c r="N404" i="1"/>
  <c r="N74" i="1"/>
  <c r="J35" i="1"/>
  <c r="P385" i="1"/>
  <c r="N66" i="1"/>
  <c r="P55" i="1"/>
  <c r="N362" i="1"/>
  <c r="P81" i="1"/>
  <c r="P83" i="1"/>
  <c r="N401" i="1"/>
  <c r="N375" i="1"/>
  <c r="P409" i="1"/>
  <c r="P66" i="1"/>
  <c r="N81" i="1"/>
  <c r="P74" i="1"/>
  <c r="N83" i="1"/>
  <c r="N55" i="1"/>
  <c r="P401" i="1"/>
  <c r="N385" i="1"/>
  <c r="P362" i="1"/>
  <c r="N409" i="1"/>
  <c r="P399" i="1"/>
  <c r="N397" i="1"/>
  <c r="J343" i="1"/>
  <c r="P397" i="1"/>
  <c r="P375" i="1"/>
  <c r="P407" i="1"/>
  <c r="N408" i="1"/>
  <c r="P355" i="1"/>
  <c r="N355" i="1"/>
  <c r="P408" i="1"/>
  <c r="P82" i="1"/>
  <c r="N82" i="1"/>
  <c r="N388" i="1"/>
  <c r="P388" i="1"/>
  <c r="N406" i="1"/>
  <c r="P406" i="1"/>
  <c r="A1403" i="4" l="1"/>
  <c r="A1413" i="4" s="1"/>
  <c r="A1416" i="4" s="1"/>
  <c r="A1419" i="4" s="1"/>
  <c r="A1421" i="4" s="1"/>
  <c r="A1425" i="4" s="1"/>
  <c r="A1427" i="4" s="1"/>
  <c r="A1431" i="4" s="1"/>
  <c r="A1441" i="4" s="1"/>
  <c r="A351" i="1"/>
  <c r="A42" i="1"/>
  <c r="A860" i="1"/>
  <c r="A136" i="1"/>
  <c r="A477" i="1"/>
  <c r="N35" i="1"/>
  <c r="N343" i="1"/>
  <c r="A758" i="1"/>
  <c r="A317" i="1"/>
  <c r="Q930" i="1"/>
  <c r="Q758" i="1"/>
  <c r="A2663" i="4"/>
  <c r="Q929" i="1"/>
  <c r="D1192" i="4"/>
  <c r="I1195" i="4"/>
  <c r="J1194" i="4"/>
  <c r="K1193" i="4"/>
  <c r="A1193" i="4"/>
  <c r="D2655" i="4"/>
  <c r="D1188" i="4"/>
  <c r="J1191" i="4"/>
  <c r="J1190" i="4"/>
  <c r="K1189" i="4"/>
  <c r="I1189" i="4"/>
  <c r="O927" i="1"/>
  <c r="O926" i="1"/>
  <c r="O925" i="1"/>
  <c r="O924" i="1"/>
  <c r="A924" i="1"/>
  <c r="O923" i="1"/>
  <c r="A1444" i="4" l="1"/>
  <c r="A1451" i="4" s="1"/>
  <c r="A1458" i="4" s="1"/>
  <c r="A1461" i="4" s="1"/>
  <c r="A1468" i="4" s="1"/>
  <c r="A1470" i="4" s="1"/>
  <c r="A1472" i="4" s="1"/>
  <c r="A1474" i="4" s="1"/>
  <c r="A1476" i="4" s="1"/>
  <c r="Q315" i="1"/>
  <c r="Q317" i="1"/>
  <c r="A478" i="1"/>
  <c r="A861" i="1"/>
  <c r="A43" i="1"/>
  <c r="A925" i="1"/>
  <c r="A137" i="1"/>
  <c r="A352" i="1"/>
  <c r="J315" i="1"/>
  <c r="J1195" i="4"/>
  <c r="O922" i="1"/>
  <c r="Q757" i="1"/>
  <c r="Q755" i="1"/>
  <c r="J1189" i="4"/>
  <c r="I1188" i="4"/>
  <c r="I1193" i="4"/>
  <c r="A740" i="1"/>
  <c r="A305" i="1"/>
  <c r="D3226" i="4"/>
  <c r="Q927" i="1"/>
  <c r="Q926" i="1"/>
  <c r="Q925" i="1"/>
  <c r="Q924" i="1"/>
  <c r="A3230" i="4"/>
  <c r="A3235" i="4" s="1"/>
  <c r="A3238" i="4" s="1"/>
  <c r="A3241" i="4" s="1"/>
  <c r="Q923" i="1"/>
  <c r="D2610" i="4"/>
  <c r="Q753" i="1"/>
  <c r="Q751" i="1"/>
  <c r="Q750" i="1"/>
  <c r="Q748" i="1"/>
  <c r="Q747" i="1"/>
  <c r="Q745" i="1"/>
  <c r="Q744" i="1"/>
  <c r="Q742" i="1"/>
  <c r="Q741" i="1"/>
  <c r="Q740" i="1"/>
  <c r="A2614" i="4"/>
  <c r="A2616" i="4" s="1"/>
  <c r="A2619" i="4" s="1"/>
  <c r="A2622" i="4" s="1"/>
  <c r="A2624" i="4" s="1"/>
  <c r="A2627" i="4" s="1"/>
  <c r="A2629" i="4" s="1"/>
  <c r="A2631" i="4" s="1"/>
  <c r="A2634" i="4" s="1"/>
  <c r="A2636" i="4" s="1"/>
  <c r="A2638" i="4" s="1"/>
  <c r="A2641" i="4" s="1"/>
  <c r="A2644" i="4" s="1"/>
  <c r="A2653" i="4" s="1"/>
  <c r="Q739" i="1"/>
  <c r="D1155" i="4"/>
  <c r="J1187" i="4"/>
  <c r="J1186" i="4"/>
  <c r="K1185" i="4"/>
  <c r="I1185" i="4"/>
  <c r="K1184" i="4"/>
  <c r="I1184" i="4" s="1"/>
  <c r="K1183" i="4"/>
  <c r="I1183" i="4" s="1"/>
  <c r="K1182" i="4"/>
  <c r="I1182" i="4" s="1"/>
  <c r="K1181" i="4"/>
  <c r="I1181" i="4" s="1"/>
  <c r="I1179" i="4"/>
  <c r="K1178" i="4"/>
  <c r="K1177" i="4" s="1"/>
  <c r="I1178" i="4"/>
  <c r="I1176" i="4"/>
  <c r="K1175" i="4"/>
  <c r="K1174" i="4" s="1"/>
  <c r="I1175" i="4"/>
  <c r="I1173" i="4"/>
  <c r="K1172" i="4"/>
  <c r="K1171" i="4" s="1"/>
  <c r="I1172" i="4"/>
  <c r="J1170" i="4"/>
  <c r="K1169" i="4"/>
  <c r="K1168" i="4" s="1"/>
  <c r="I1169" i="4"/>
  <c r="I1167" i="4"/>
  <c r="K1166" i="4"/>
  <c r="K1165" i="4" s="1"/>
  <c r="I1166" i="4"/>
  <c r="I1164" i="4"/>
  <c r="K1163" i="4"/>
  <c r="K1162" i="4" s="1"/>
  <c r="I1163" i="4"/>
  <c r="J1161" i="4"/>
  <c r="J1160" i="4"/>
  <c r="K1159" i="4"/>
  <c r="I1159" i="4"/>
  <c r="A1159" i="4"/>
  <c r="A1162" i="4" s="1"/>
  <c r="A1165" i="4" s="1"/>
  <c r="A1168" i="4" s="1"/>
  <c r="A1171" i="4" s="1"/>
  <c r="A1174" i="4" s="1"/>
  <c r="A1177" i="4" s="1"/>
  <c r="A1180" i="4" s="1"/>
  <c r="A1185" i="4" s="1"/>
  <c r="J1158" i="4"/>
  <c r="J1157" i="4"/>
  <c r="K1156" i="4"/>
  <c r="I1156" i="4"/>
  <c r="A1479" i="4" l="1"/>
  <c r="A1483" i="4" s="1"/>
  <c r="A1485" i="4" s="1"/>
  <c r="A1488" i="4" s="1"/>
  <c r="A1490" i="4" s="1"/>
  <c r="A1497" i="4" s="1"/>
  <c r="A1500" i="4" s="1"/>
  <c r="A1503" i="4" s="1"/>
  <c r="A1505" i="4" s="1"/>
  <c r="Q305" i="1"/>
  <c r="Q306" i="1"/>
  <c r="Q308" i="1"/>
  <c r="Q311" i="1"/>
  <c r="Q304" i="1"/>
  <c r="Q307" i="1"/>
  <c r="Q309" i="1"/>
  <c r="Q310" i="1"/>
  <c r="Q313" i="1"/>
  <c r="J1193" i="4"/>
  <c r="A306" i="1"/>
  <c r="A926" i="1"/>
  <c r="A862" i="1"/>
  <c r="A741" i="1"/>
  <c r="A353" i="1"/>
  <c r="A138" i="1"/>
  <c r="A44" i="1"/>
  <c r="A479" i="1"/>
  <c r="J314" i="1"/>
  <c r="J305" i="1"/>
  <c r="J1163" i="4"/>
  <c r="J1166" i="4"/>
  <c r="J1173" i="4"/>
  <c r="J304" i="1"/>
  <c r="J1169" i="4"/>
  <c r="J1178" i="4"/>
  <c r="J1179" i="4"/>
  <c r="J1182" i="4"/>
  <c r="J1184" i="4"/>
  <c r="P315" i="1"/>
  <c r="J757" i="1"/>
  <c r="N315" i="1"/>
  <c r="J1164" i="4"/>
  <c r="J1167" i="4"/>
  <c r="J1172" i="4"/>
  <c r="J1175" i="4"/>
  <c r="J1176" i="4"/>
  <c r="J1181" i="4"/>
  <c r="J1183" i="4"/>
  <c r="J313" i="1"/>
  <c r="J755" i="1"/>
  <c r="I1165" i="4"/>
  <c r="Q743" i="1"/>
  <c r="J1156" i="4"/>
  <c r="Q746" i="1"/>
  <c r="Q749" i="1"/>
  <c r="Q752" i="1"/>
  <c r="K1180" i="4"/>
  <c r="J1159" i="4"/>
  <c r="J1185" i="4"/>
  <c r="J317" i="1"/>
  <c r="I1192" i="4"/>
  <c r="I1174" i="4"/>
  <c r="I1180" i="4"/>
  <c r="J929" i="1"/>
  <c r="J930" i="1"/>
  <c r="I1162" i="4"/>
  <c r="I1168" i="4"/>
  <c r="I1171" i="4"/>
  <c r="I1177" i="4"/>
  <c r="A809" i="1"/>
  <c r="A419" i="1"/>
  <c r="A87" i="1"/>
  <c r="D2836" i="4"/>
  <c r="Q819" i="1"/>
  <c r="Q818" i="1"/>
  <c r="Q817" i="1"/>
  <c r="Q815" i="1"/>
  <c r="Q814" i="1"/>
  <c r="Q813" i="1"/>
  <c r="Q812" i="1"/>
  <c r="A2842" i="4"/>
  <c r="A2847" i="4" s="1"/>
  <c r="A2858" i="4" s="1"/>
  <c r="A2869" i="4" s="1"/>
  <c r="A2872" i="4" s="1"/>
  <c r="A2881" i="4" s="1"/>
  <c r="A2884" i="4" s="1"/>
  <c r="A2887" i="4" s="1"/>
  <c r="A2889" i="4" s="1"/>
  <c r="A2892" i="4" s="1"/>
  <c r="A2895" i="4" s="1"/>
  <c r="D1577" i="4"/>
  <c r="Q437" i="1"/>
  <c r="Q435" i="1"/>
  <c r="Q433" i="1"/>
  <c r="Q431" i="1"/>
  <c r="Q430" i="1"/>
  <c r="Q429" i="1"/>
  <c r="Q426" i="1"/>
  <c r="Q425" i="1"/>
  <c r="Q421" i="1"/>
  <c r="A1583" i="4"/>
  <c r="A1589" i="4" s="1"/>
  <c r="A1595" i="4" s="1"/>
  <c r="A1598" i="4" s="1"/>
  <c r="A1607" i="4" s="1"/>
  <c r="A1609" i="4" s="1"/>
  <c r="A1614" i="4" s="1"/>
  <c r="A1617" i="4" s="1"/>
  <c r="A1622" i="4" s="1"/>
  <c r="A1627" i="4" s="1"/>
  <c r="A1632" i="4" s="1"/>
  <c r="A1635" i="4" s="1"/>
  <c r="A1638" i="4" s="1"/>
  <c r="A1641" i="4" s="1"/>
  <c r="A1644" i="4" s="1"/>
  <c r="A1646" i="4" s="1"/>
  <c r="A1657" i="4" s="1"/>
  <c r="A1664" i="4" s="1"/>
  <c r="A1666" i="4" s="1"/>
  <c r="A1668" i="4" s="1"/>
  <c r="D277" i="4"/>
  <c r="J376" i="4"/>
  <c r="J375" i="4"/>
  <c r="K374" i="4"/>
  <c r="I374" i="4"/>
  <c r="J373" i="4"/>
  <c r="J372" i="4"/>
  <c r="K371" i="4"/>
  <c r="I371" i="4"/>
  <c r="J370" i="4"/>
  <c r="J369" i="4"/>
  <c r="K368" i="4"/>
  <c r="I368" i="4"/>
  <c r="I367" i="4"/>
  <c r="K366" i="4"/>
  <c r="I366" i="4"/>
  <c r="I365" i="4"/>
  <c r="K364" i="4"/>
  <c r="I364" i="4"/>
  <c r="I363" i="4"/>
  <c r="K362" i="4"/>
  <c r="I362" i="4"/>
  <c r="K360" i="4"/>
  <c r="J360" i="4"/>
  <c r="K359" i="4"/>
  <c r="J359" i="4"/>
  <c r="K358" i="4"/>
  <c r="K357" i="4"/>
  <c r="J357" i="4"/>
  <c r="K356" i="4"/>
  <c r="J356" i="4"/>
  <c r="K355" i="4"/>
  <c r="K354" i="4"/>
  <c r="J354" i="4"/>
  <c r="K353" i="4"/>
  <c r="J353" i="4"/>
  <c r="K352" i="4"/>
  <c r="K351" i="4"/>
  <c r="J351" i="4"/>
  <c r="K350" i="4"/>
  <c r="J350" i="4"/>
  <c r="K349" i="4"/>
  <c r="K348" i="4"/>
  <c r="J348" i="4"/>
  <c r="K347" i="4"/>
  <c r="J347" i="4"/>
  <c r="K346" i="4"/>
  <c r="I345" i="4"/>
  <c r="K344" i="4"/>
  <c r="J344" i="4"/>
  <c r="K343" i="4"/>
  <c r="J343" i="4"/>
  <c r="K342" i="4"/>
  <c r="K341" i="4"/>
  <c r="J341" i="4"/>
  <c r="K340" i="4"/>
  <c r="J340" i="4"/>
  <c r="K339" i="4"/>
  <c r="K338" i="4"/>
  <c r="J338" i="4"/>
  <c r="K337" i="4"/>
  <c r="J337" i="4"/>
  <c r="K336" i="4"/>
  <c r="K335" i="4"/>
  <c r="J335" i="4"/>
  <c r="K334" i="4"/>
  <c r="J334" i="4"/>
  <c r="K333" i="4"/>
  <c r="K332" i="4"/>
  <c r="J332" i="4"/>
  <c r="K331" i="4"/>
  <c r="J331" i="4"/>
  <c r="K330" i="4"/>
  <c r="I329" i="4"/>
  <c r="K328" i="4"/>
  <c r="J328" i="4"/>
  <c r="K327" i="4"/>
  <c r="J327" i="4"/>
  <c r="K326" i="4"/>
  <c r="K325" i="4"/>
  <c r="J325" i="4"/>
  <c r="K324" i="4"/>
  <c r="J324" i="4"/>
  <c r="K323" i="4"/>
  <c r="K322" i="4"/>
  <c r="J322" i="4"/>
  <c r="K321" i="4"/>
  <c r="J321" i="4"/>
  <c r="K320" i="4"/>
  <c r="K319" i="4"/>
  <c r="J319" i="4"/>
  <c r="K318" i="4"/>
  <c r="J318" i="4"/>
  <c r="K317" i="4"/>
  <c r="I316" i="4"/>
  <c r="K315" i="4"/>
  <c r="J315" i="4"/>
  <c r="K314" i="4"/>
  <c r="J314" i="4"/>
  <c r="K313" i="4"/>
  <c r="K312" i="4"/>
  <c r="J312" i="4"/>
  <c r="K311" i="4"/>
  <c r="J311" i="4"/>
  <c r="K310" i="4"/>
  <c r="I309" i="4"/>
  <c r="K308" i="4"/>
  <c r="J308" i="4"/>
  <c r="K307" i="4"/>
  <c r="J307" i="4"/>
  <c r="K306" i="4"/>
  <c r="K305" i="4"/>
  <c r="J305" i="4"/>
  <c r="K304" i="4"/>
  <c r="J304" i="4"/>
  <c r="K303" i="4"/>
  <c r="K302" i="4"/>
  <c r="J302" i="4"/>
  <c r="K301" i="4"/>
  <c r="J301" i="4"/>
  <c r="K300" i="4"/>
  <c r="K299" i="4"/>
  <c r="J299" i="4"/>
  <c r="K298" i="4"/>
  <c r="J298" i="4"/>
  <c r="K297" i="4"/>
  <c r="I296" i="4"/>
  <c r="J295" i="4"/>
  <c r="J294" i="4"/>
  <c r="K293" i="4"/>
  <c r="I293" i="4"/>
  <c r="K292" i="4"/>
  <c r="K291" i="4" s="1"/>
  <c r="I292" i="4"/>
  <c r="K290" i="4"/>
  <c r="K289" i="4" s="1"/>
  <c r="I290" i="4"/>
  <c r="K288" i="4"/>
  <c r="K287" i="4" s="1"/>
  <c r="I288" i="4"/>
  <c r="I285" i="4"/>
  <c r="K284" i="4"/>
  <c r="A284" i="4"/>
  <c r="A287" i="4" s="1"/>
  <c r="A289" i="4" s="1"/>
  <c r="A291" i="4" s="1"/>
  <c r="A293" i="4" s="1"/>
  <c r="A296" i="4" s="1"/>
  <c r="A309" i="4" s="1"/>
  <c r="A316" i="4" s="1"/>
  <c r="A329" i="4" s="1"/>
  <c r="A345" i="4" s="1"/>
  <c r="A361" i="4" s="1"/>
  <c r="A368" i="4" s="1"/>
  <c r="A371" i="4" s="1"/>
  <c r="A374" i="4" s="1"/>
  <c r="J283" i="4"/>
  <c r="J282" i="4"/>
  <c r="K281" i="4"/>
  <c r="I281" i="4"/>
  <c r="J280" i="4"/>
  <c r="J279" i="4"/>
  <c r="K278" i="4"/>
  <c r="I278" i="4"/>
  <c r="A1508" i="4" l="1"/>
  <c r="Q89" i="1"/>
  <c r="Q90" i="1"/>
  <c r="Q91" i="1"/>
  <c r="Q92" i="1"/>
  <c r="Q99" i="1"/>
  <c r="Q100" i="1"/>
  <c r="Q101" i="1"/>
  <c r="J1168" i="4"/>
  <c r="Q86" i="1"/>
  <c r="Q87" i="1"/>
  <c r="Q88" i="1"/>
  <c r="Q312" i="1"/>
  <c r="J928" i="1"/>
  <c r="J758" i="1"/>
  <c r="P758" i="1" s="1"/>
  <c r="J1174" i="4"/>
  <c r="J1171" i="4"/>
  <c r="Q434" i="1"/>
  <c r="N314" i="1"/>
  <c r="A863" i="1"/>
  <c r="A810" i="1"/>
  <c r="A354" i="1"/>
  <c r="A88" i="1"/>
  <c r="A45" i="1"/>
  <c r="A420" i="1"/>
  <c r="A480" i="1"/>
  <c r="A139" i="1"/>
  <c r="A742" i="1"/>
  <c r="A927" i="1"/>
  <c r="A307" i="1"/>
  <c r="N304" i="1"/>
  <c r="J754" i="1"/>
  <c r="N305" i="1"/>
  <c r="J1180" i="4"/>
  <c r="P313" i="1"/>
  <c r="P757" i="1"/>
  <c r="N757" i="1"/>
  <c r="N313" i="1"/>
  <c r="J1177" i="4"/>
  <c r="J1162" i="4"/>
  <c r="P305" i="1"/>
  <c r="P304" i="1"/>
  <c r="N755" i="1"/>
  <c r="J311" i="1"/>
  <c r="J308" i="1"/>
  <c r="J751" i="1"/>
  <c r="J747" i="1"/>
  <c r="J926" i="1"/>
  <c r="J924" i="1"/>
  <c r="J742" i="1"/>
  <c r="J746" i="1"/>
  <c r="J307" i="1"/>
  <c r="I287" i="4"/>
  <c r="I291" i="4"/>
  <c r="J434" i="1"/>
  <c r="J309" i="1"/>
  <c r="J750" i="1"/>
  <c r="J744" i="1"/>
  <c r="J927" i="1"/>
  <c r="J925" i="1"/>
  <c r="J312" i="1"/>
  <c r="J310" i="1"/>
  <c r="J741" i="1"/>
  <c r="J749" i="1"/>
  <c r="J743" i="1"/>
  <c r="P755" i="1"/>
  <c r="J1165" i="4"/>
  <c r="J316" i="1"/>
  <c r="Q418" i="1"/>
  <c r="J86" i="1"/>
  <c r="I286" i="4"/>
  <c r="J94" i="1"/>
  <c r="J96" i="1"/>
  <c r="J97" i="1"/>
  <c r="J362" i="4"/>
  <c r="J363" i="4"/>
  <c r="J366" i="4"/>
  <c r="J367" i="4"/>
  <c r="Q810" i="1"/>
  <c r="J87" i="1"/>
  <c r="J288" i="4"/>
  <c r="J290" i="4"/>
  <c r="J292" i="4"/>
  <c r="J92" i="1"/>
  <c r="J93" i="1"/>
  <c r="J95" i="1"/>
  <c r="J364" i="4"/>
  <c r="J365" i="4"/>
  <c r="J99" i="1"/>
  <c r="J100" i="1"/>
  <c r="J101" i="1"/>
  <c r="Q423" i="1"/>
  <c r="Q424" i="1"/>
  <c r="Q420" i="1"/>
  <c r="Q428" i="1"/>
  <c r="Q432" i="1"/>
  <c r="Q438" i="1"/>
  <c r="Q809" i="1"/>
  <c r="Q811" i="1"/>
  <c r="Q427" i="1"/>
  <c r="Q436" i="1"/>
  <c r="Q808" i="1"/>
  <c r="J285" i="4"/>
  <c r="Q419" i="1"/>
  <c r="Q816" i="1"/>
  <c r="K361" i="4"/>
  <c r="Q422" i="1"/>
  <c r="J309" i="4"/>
  <c r="J329" i="4"/>
  <c r="K345" i="4"/>
  <c r="J368" i="4"/>
  <c r="J371" i="4"/>
  <c r="J374" i="4"/>
  <c r="J278" i="4"/>
  <c r="J296" i="4"/>
  <c r="J316" i="4"/>
  <c r="J293" i="4"/>
  <c r="P317" i="1"/>
  <c r="N317" i="1"/>
  <c r="J281" i="4"/>
  <c r="K296" i="4"/>
  <c r="K309" i="4"/>
  <c r="K316" i="4"/>
  <c r="K329" i="4"/>
  <c r="J345" i="4"/>
  <c r="J306" i="1"/>
  <c r="I1155" i="4"/>
  <c r="J739" i="1"/>
  <c r="J923" i="1"/>
  <c r="N930" i="1"/>
  <c r="P930" i="1"/>
  <c r="N929" i="1"/>
  <c r="P929" i="1"/>
  <c r="I289" i="4"/>
  <c r="I361" i="4"/>
  <c r="Q921" i="1"/>
  <c r="A302" i="1"/>
  <c r="D3222" i="4"/>
  <c r="D1149" i="4"/>
  <c r="K1154" i="4"/>
  <c r="K1153" i="4" s="1"/>
  <c r="I1154" i="4"/>
  <c r="J1152" i="4"/>
  <c r="J1151" i="4"/>
  <c r="K1150" i="4"/>
  <c r="I1150" i="4"/>
  <c r="A737" i="1"/>
  <c r="A299" i="1"/>
  <c r="Q919" i="1"/>
  <c r="D2603" i="4"/>
  <c r="A2607" i="4"/>
  <c r="Q736" i="1"/>
  <c r="D1143" i="4"/>
  <c r="J1148" i="4"/>
  <c r="J1147" i="4"/>
  <c r="K1146" i="4"/>
  <c r="I1146" i="4"/>
  <c r="A1146" i="4"/>
  <c r="K1145" i="4"/>
  <c r="K1144" i="4" s="1"/>
  <c r="I1145" i="4"/>
  <c r="A1515" i="4" l="1"/>
  <c r="A1518" i="4" s="1"/>
  <c r="A1520" i="4" s="1"/>
  <c r="A1522" i="4" s="1"/>
  <c r="A1525" i="4" s="1"/>
  <c r="A1528" i="4" s="1"/>
  <c r="A1530" i="4" s="1"/>
  <c r="A1532" i="4" s="1"/>
  <c r="A1534" i="4" s="1"/>
  <c r="A1536" i="4" s="1"/>
  <c r="A1539" i="4" s="1"/>
  <c r="A1548" i="4" s="1"/>
  <c r="A1550" i="4" s="1"/>
  <c r="Q299" i="1"/>
  <c r="Q298" i="1"/>
  <c r="Q301" i="1"/>
  <c r="Q302" i="1"/>
  <c r="Q96" i="1"/>
  <c r="Q94" i="1"/>
  <c r="Q97" i="1"/>
  <c r="Q98" i="1"/>
  <c r="J289" i="4"/>
  <c r="Q95" i="1"/>
  <c r="Q93" i="1"/>
  <c r="J291" i="4"/>
  <c r="J287" i="4"/>
  <c r="N928" i="1"/>
  <c r="J756" i="1"/>
  <c r="N758" i="1"/>
  <c r="N756" i="1" s="1"/>
  <c r="A140" i="1"/>
  <c r="A89" i="1"/>
  <c r="A355" i="1"/>
  <c r="N316" i="1"/>
  <c r="A421" i="1"/>
  <c r="A864" i="1"/>
  <c r="N924" i="1"/>
  <c r="N308" i="1"/>
  <c r="N754" i="1"/>
  <c r="A308" i="1"/>
  <c r="A743" i="1"/>
  <c r="A481" i="1"/>
  <c r="A46" i="1"/>
  <c r="A811" i="1"/>
  <c r="N747" i="1"/>
  <c r="N925" i="1"/>
  <c r="P742" i="1"/>
  <c r="N742" i="1"/>
  <c r="P434" i="1"/>
  <c r="N926" i="1"/>
  <c r="N751" i="1"/>
  <c r="P311" i="1"/>
  <c r="N307" i="1"/>
  <c r="N310" i="1"/>
  <c r="J89" i="1"/>
  <c r="P89" i="1" s="1"/>
  <c r="P750" i="1"/>
  <c r="N312" i="1"/>
  <c r="P924" i="1"/>
  <c r="P926" i="1"/>
  <c r="N927" i="1"/>
  <c r="P751" i="1"/>
  <c r="P308" i="1"/>
  <c r="N311" i="1"/>
  <c r="P309" i="1"/>
  <c r="P746" i="1"/>
  <c r="P747" i="1"/>
  <c r="N434" i="1"/>
  <c r="J91" i="1"/>
  <c r="P307" i="1"/>
  <c r="P743" i="1"/>
  <c r="N309" i="1"/>
  <c r="N743" i="1"/>
  <c r="N746" i="1"/>
  <c r="P310" i="1"/>
  <c r="P312" i="1"/>
  <c r="P925" i="1"/>
  <c r="P927" i="1"/>
  <c r="N750" i="1"/>
  <c r="N744" i="1"/>
  <c r="P741" i="1"/>
  <c r="N741" i="1"/>
  <c r="J817" i="1"/>
  <c r="J428" i="1"/>
  <c r="J420" i="1"/>
  <c r="J1145" i="4"/>
  <c r="J818" i="1"/>
  <c r="J811" i="1"/>
  <c r="J432" i="1"/>
  <c r="J427" i="1"/>
  <c r="J809" i="1"/>
  <c r="J435" i="1"/>
  <c r="J431" i="1"/>
  <c r="J430" i="1"/>
  <c r="J429" i="1"/>
  <c r="J426" i="1"/>
  <c r="J745" i="1"/>
  <c r="J423" i="1"/>
  <c r="J740" i="1"/>
  <c r="P749" i="1"/>
  <c r="P744" i="1"/>
  <c r="J286" i="4"/>
  <c r="J748" i="1"/>
  <c r="N749" i="1"/>
  <c r="J299" i="1"/>
  <c r="J301" i="1"/>
  <c r="J1154" i="4"/>
  <c r="J422" i="1"/>
  <c r="J815" i="1"/>
  <c r="J814" i="1"/>
  <c r="J813" i="1"/>
  <c r="J812" i="1"/>
  <c r="J810" i="1"/>
  <c r="J436" i="1"/>
  <c r="J816" i="1"/>
  <c r="J438" i="1"/>
  <c r="J752" i="1"/>
  <c r="J753" i="1"/>
  <c r="J922" i="1"/>
  <c r="N101" i="1"/>
  <c r="P99" i="1"/>
  <c r="P97" i="1"/>
  <c r="N94" i="1"/>
  <c r="J303" i="1"/>
  <c r="N100" i="1"/>
  <c r="N95" i="1"/>
  <c r="N92" i="1"/>
  <c r="N87" i="1"/>
  <c r="N96" i="1"/>
  <c r="N86" i="1"/>
  <c r="I284" i="4"/>
  <c r="P93" i="1"/>
  <c r="J361" i="4"/>
  <c r="P87" i="1"/>
  <c r="N93" i="1"/>
  <c r="N99" i="1"/>
  <c r="P101" i="1"/>
  <c r="N97" i="1"/>
  <c r="P95" i="1"/>
  <c r="J90" i="1"/>
  <c r="J98" i="1"/>
  <c r="P100" i="1"/>
  <c r="P92" i="1"/>
  <c r="P96" i="1"/>
  <c r="P94" i="1"/>
  <c r="P86" i="1"/>
  <c r="Q737" i="1"/>
  <c r="J1146" i="4"/>
  <c r="J1150" i="4"/>
  <c r="P923" i="1"/>
  <c r="N923" i="1"/>
  <c r="P739" i="1"/>
  <c r="N739" i="1"/>
  <c r="N306" i="1"/>
  <c r="P306" i="1"/>
  <c r="J808" i="1"/>
  <c r="I1153" i="4"/>
  <c r="I1144" i="4"/>
  <c r="A1553" i="4" l="1"/>
  <c r="A1560" i="4" s="1"/>
  <c r="A1567" i="4" s="1"/>
  <c r="A1574" i="4" s="1"/>
  <c r="J1153" i="4"/>
  <c r="J284" i="4"/>
  <c r="J1144" i="4"/>
  <c r="N428" i="1"/>
  <c r="N89" i="1"/>
  <c r="P429" i="1"/>
  <c r="P428" i="1"/>
  <c r="N91" i="1"/>
  <c r="A47" i="1"/>
  <c r="A90" i="1"/>
  <c r="P427" i="1"/>
  <c r="P432" i="1"/>
  <c r="P426" i="1"/>
  <c r="P435" i="1"/>
  <c r="P745" i="1"/>
  <c r="A812" i="1"/>
  <c r="A744" i="1"/>
  <c r="A865" i="1"/>
  <c r="P817" i="1"/>
  <c r="A482" i="1"/>
  <c r="A309" i="1"/>
  <c r="A422" i="1"/>
  <c r="A356" i="1"/>
  <c r="A141" i="1"/>
  <c r="P818" i="1"/>
  <c r="P811" i="1"/>
  <c r="N426" i="1"/>
  <c r="N420" i="1"/>
  <c r="N435" i="1"/>
  <c r="P740" i="1"/>
  <c r="N430" i="1"/>
  <c r="N740" i="1"/>
  <c r="N812" i="1"/>
  <c r="P420" i="1"/>
  <c r="N817" i="1"/>
  <c r="N427" i="1"/>
  <c r="N811" i="1"/>
  <c r="P809" i="1"/>
  <c r="P431" i="1"/>
  <c r="P430" i="1"/>
  <c r="P91" i="1"/>
  <c r="N745" i="1"/>
  <c r="N429" i="1"/>
  <c r="N431" i="1"/>
  <c r="N818" i="1"/>
  <c r="N809" i="1"/>
  <c r="N432" i="1"/>
  <c r="P423" i="1"/>
  <c r="N748" i="1"/>
  <c r="P748" i="1"/>
  <c r="N423" i="1"/>
  <c r="P752" i="1"/>
  <c r="P422" i="1"/>
  <c r="P810" i="1"/>
  <c r="P814" i="1"/>
  <c r="P438" i="1"/>
  <c r="N422" i="1"/>
  <c r="N301" i="1"/>
  <c r="P299" i="1"/>
  <c r="P301" i="1"/>
  <c r="I277" i="4"/>
  <c r="P812" i="1"/>
  <c r="N299" i="1"/>
  <c r="N814" i="1"/>
  <c r="J88" i="1"/>
  <c r="N816" i="1"/>
  <c r="J738" i="1"/>
  <c r="N753" i="1"/>
  <c r="P816" i="1"/>
  <c r="P815" i="1"/>
  <c r="N813" i="1"/>
  <c r="N810" i="1"/>
  <c r="P813" i="1"/>
  <c r="N815" i="1"/>
  <c r="N438" i="1"/>
  <c r="N436" i="1"/>
  <c r="P753" i="1"/>
  <c r="P436" i="1"/>
  <c r="N303" i="1"/>
  <c r="J819" i="1"/>
  <c r="J419" i="1"/>
  <c r="J433" i="1"/>
  <c r="J425" i="1"/>
  <c r="J421" i="1"/>
  <c r="J437" i="1"/>
  <c r="N752" i="1"/>
  <c r="J424" i="1"/>
  <c r="J418" i="1"/>
  <c r="N922" i="1"/>
  <c r="N90" i="1"/>
  <c r="N98" i="1"/>
  <c r="P98" i="1"/>
  <c r="P90" i="1"/>
  <c r="J298" i="1"/>
  <c r="I1143" i="4"/>
  <c r="J736" i="1"/>
  <c r="J302" i="1"/>
  <c r="I1149" i="4"/>
  <c r="J919" i="1"/>
  <c r="J916" i="1" s="1"/>
  <c r="N808" i="1"/>
  <c r="P808" i="1"/>
  <c r="J921" i="1"/>
  <c r="A296" i="1"/>
  <c r="M295" i="1"/>
  <c r="L295" i="1"/>
  <c r="K295" i="1"/>
  <c r="M734" i="1"/>
  <c r="L734" i="1"/>
  <c r="K734" i="1"/>
  <c r="M733" i="1"/>
  <c r="L733" i="1"/>
  <c r="K733" i="1"/>
  <c r="A733" i="1"/>
  <c r="O915" i="1"/>
  <c r="M915" i="1"/>
  <c r="L915" i="1"/>
  <c r="K915" i="1"/>
  <c r="D3201" i="4"/>
  <c r="Q915" i="1"/>
  <c r="D2595" i="4"/>
  <c r="Q733" i="1"/>
  <c r="A2598" i="4"/>
  <c r="A2601" i="4" s="1"/>
  <c r="Q732" i="1"/>
  <c r="D1137" i="4"/>
  <c r="J1142" i="4"/>
  <c r="J1141" i="4"/>
  <c r="K1140" i="4"/>
  <c r="I1140" i="4"/>
  <c r="A1140" i="4"/>
  <c r="K1139" i="4"/>
  <c r="K1138" i="4" s="1"/>
  <c r="I1139" i="4"/>
  <c r="M292" i="1"/>
  <c r="L292" i="1"/>
  <c r="K292" i="1"/>
  <c r="D2591" i="4"/>
  <c r="Q730" i="1"/>
  <c r="D1131" i="4"/>
  <c r="J1136" i="4"/>
  <c r="J1135" i="4"/>
  <c r="K1134" i="4"/>
  <c r="I1134" i="4"/>
  <c r="K1133" i="4"/>
  <c r="K1132" i="4" s="1"/>
  <c r="J1133" i="4"/>
  <c r="A274" i="1"/>
  <c r="A709" i="1"/>
  <c r="I903" i="1"/>
  <c r="I760" i="1" s="1"/>
  <c r="A905" i="1"/>
  <c r="D3168" i="4"/>
  <c r="Q910" i="1"/>
  <c r="Q909" i="1"/>
  <c r="Q908" i="1"/>
  <c r="Q907" i="1"/>
  <c r="Q906" i="1"/>
  <c r="Q905" i="1"/>
  <c r="A3172" i="4"/>
  <c r="A3175" i="4" s="1"/>
  <c r="A3178" i="4" s="1"/>
  <c r="A3181" i="4" s="1"/>
  <c r="A3184" i="4" s="1"/>
  <c r="A3187" i="4" s="1"/>
  <c r="Q904" i="1"/>
  <c r="Q728" i="1"/>
  <c r="Q727" i="1"/>
  <c r="Q725" i="1"/>
  <c r="Q723" i="1"/>
  <c r="Q722" i="1"/>
  <c r="Q721" i="1"/>
  <c r="Q720" i="1"/>
  <c r="Q718" i="1"/>
  <c r="Q717" i="1"/>
  <c r="Q716" i="1"/>
  <c r="Q715" i="1"/>
  <c r="Q714" i="1"/>
  <c r="Q713" i="1"/>
  <c r="Q711" i="1"/>
  <c r="A2532" i="4"/>
  <c r="A2534" i="4" s="1"/>
  <c r="A2537" i="4" s="1"/>
  <c r="A2540" i="4" s="1"/>
  <c r="A2542" i="4" s="1"/>
  <c r="A2547" i="4" s="1"/>
  <c r="A2549" i="4" s="1"/>
  <c r="D1072" i="4"/>
  <c r="I1130" i="4"/>
  <c r="K1129" i="4"/>
  <c r="I1129" i="4"/>
  <c r="K1128" i="4"/>
  <c r="J1127" i="4"/>
  <c r="J1126" i="4"/>
  <c r="K1125" i="4"/>
  <c r="I1125" i="4"/>
  <c r="I1124" i="4"/>
  <c r="K1123" i="4"/>
  <c r="K1122" i="4" s="1"/>
  <c r="I1123" i="4"/>
  <c r="J1121" i="4"/>
  <c r="J1120" i="4"/>
  <c r="K1119" i="4"/>
  <c r="I1119" i="4"/>
  <c r="J1118" i="4"/>
  <c r="J1117" i="4"/>
  <c r="K1116" i="4"/>
  <c r="I1116" i="4"/>
  <c r="I1115" i="4"/>
  <c r="K1114" i="4"/>
  <c r="K1113" i="4" s="1"/>
  <c r="I1114" i="4"/>
  <c r="I1112" i="4"/>
  <c r="K1111" i="4"/>
  <c r="K1110" i="4" s="1"/>
  <c r="I1111" i="4"/>
  <c r="J1109" i="4"/>
  <c r="J1108" i="4"/>
  <c r="K1107" i="4"/>
  <c r="I1107" i="4"/>
  <c r="I1106" i="4"/>
  <c r="K1105" i="4"/>
  <c r="K1104" i="4" s="1"/>
  <c r="I1105" i="4"/>
  <c r="I1103" i="4"/>
  <c r="K1102" i="4"/>
  <c r="I1102" i="4" s="1"/>
  <c r="I1101" i="4"/>
  <c r="K1100" i="4"/>
  <c r="I1100" i="4" s="1"/>
  <c r="I1098" i="4"/>
  <c r="K1097" i="4"/>
  <c r="I1097" i="4" s="1"/>
  <c r="I1096" i="4"/>
  <c r="K1095" i="4"/>
  <c r="I1095" i="4" s="1"/>
  <c r="I1093" i="4"/>
  <c r="K1092" i="4"/>
  <c r="K1091" i="4" s="1"/>
  <c r="I1092" i="4"/>
  <c r="J1090" i="4"/>
  <c r="J1089" i="4"/>
  <c r="K1088" i="4"/>
  <c r="I1088" i="4"/>
  <c r="J1087" i="4"/>
  <c r="J1086" i="4"/>
  <c r="K1085" i="4"/>
  <c r="I1085" i="4"/>
  <c r="J1084" i="4"/>
  <c r="J1083" i="4"/>
  <c r="K1082" i="4"/>
  <c r="I1082" i="4"/>
  <c r="I1081" i="4"/>
  <c r="K1080" i="4"/>
  <c r="K1079" i="4" s="1"/>
  <c r="I1080" i="4"/>
  <c r="K1078" i="4"/>
  <c r="I1078" i="4" s="1"/>
  <c r="K1077" i="4"/>
  <c r="I1077" i="4" s="1"/>
  <c r="A1076" i="4"/>
  <c r="A1079" i="4" s="1"/>
  <c r="A1082" i="4" s="1"/>
  <c r="A1085" i="4" s="1"/>
  <c r="A1088" i="4" s="1"/>
  <c r="A1091" i="4" s="1"/>
  <c r="A1094" i="4" s="1"/>
  <c r="A1099" i="4" s="1"/>
  <c r="A1104" i="4" s="1"/>
  <c r="A1107" i="4" s="1"/>
  <c r="A1110" i="4" s="1"/>
  <c r="A1113" i="4" s="1"/>
  <c r="A1116" i="4" s="1"/>
  <c r="A1119" i="4" s="1"/>
  <c r="A1122" i="4" s="1"/>
  <c r="A1125" i="4" s="1"/>
  <c r="A1128" i="4" s="1"/>
  <c r="I1075" i="4"/>
  <c r="K1074" i="4"/>
  <c r="K1073" i="4" s="1"/>
  <c r="I1074" i="4"/>
  <c r="A706" i="1"/>
  <c r="D3164" i="4"/>
  <c r="Q902" i="1"/>
  <c r="D2518" i="4"/>
  <c r="A2521" i="4"/>
  <c r="Q705" i="1"/>
  <c r="D1066" i="4"/>
  <c r="J1071" i="4"/>
  <c r="J1070" i="4"/>
  <c r="K1069" i="4"/>
  <c r="I1069" i="4"/>
  <c r="K1068" i="4"/>
  <c r="M703" i="1"/>
  <c r="L703" i="1"/>
  <c r="K703" i="1"/>
  <c r="A702" i="1"/>
  <c r="A267" i="1"/>
  <c r="M266" i="1"/>
  <c r="L266" i="1"/>
  <c r="K266" i="1"/>
  <c r="Q899" i="1"/>
  <c r="D2506" i="4"/>
  <c r="Q703" i="1"/>
  <c r="A2510" i="4"/>
  <c r="A2513" i="4" s="1"/>
  <c r="D1054" i="4"/>
  <c r="J1065" i="4"/>
  <c r="J1064" i="4"/>
  <c r="J1063" i="4"/>
  <c r="J1062" i="4"/>
  <c r="K1061" i="4"/>
  <c r="I1061" i="4"/>
  <c r="K1060" i="4"/>
  <c r="I1060" i="4" s="1"/>
  <c r="K1059" i="4"/>
  <c r="I1059" i="4" s="1"/>
  <c r="A1058" i="4"/>
  <c r="A1061" i="4" s="1"/>
  <c r="J1057" i="4"/>
  <c r="J1056" i="4"/>
  <c r="K1055" i="4"/>
  <c r="I1055" i="4"/>
  <c r="A342" i="1"/>
  <c r="A34" i="1"/>
  <c r="D1247" i="4"/>
  <c r="Q342" i="1"/>
  <c r="A1251" i="4"/>
  <c r="Q341" i="1"/>
  <c r="D56" i="4"/>
  <c r="Q34" i="1"/>
  <c r="A60" i="4"/>
  <c r="Q33" i="1"/>
  <c r="D3149" i="4"/>
  <c r="Q897" i="1"/>
  <c r="D2503" i="4"/>
  <c r="D1050" i="4"/>
  <c r="I1053" i="4"/>
  <c r="J1052" i="4"/>
  <c r="K1051" i="4"/>
  <c r="A30" i="1"/>
  <c r="D2690" i="4"/>
  <c r="Q772" i="1"/>
  <c r="D1243" i="4"/>
  <c r="Q339" i="1"/>
  <c r="Q31" i="1"/>
  <c r="Q30" i="1"/>
  <c r="A51" i="4"/>
  <c r="A53" i="4" s="1"/>
  <c r="D2686" i="4"/>
  <c r="K2689" i="4"/>
  <c r="I2689" i="4" s="1"/>
  <c r="K2688" i="4"/>
  <c r="J2688" i="4"/>
  <c r="A16" i="1"/>
  <c r="A325" i="1"/>
  <c r="A766" i="1"/>
  <c r="D2673" i="4"/>
  <c r="Q768" i="1"/>
  <c r="Q767" i="1"/>
  <c r="Q766" i="1"/>
  <c r="A2677" i="4"/>
  <c r="A2680" i="4" s="1"/>
  <c r="A2683" i="4" s="1"/>
  <c r="Q765" i="1"/>
  <c r="Q337" i="1"/>
  <c r="Q336" i="1"/>
  <c r="Q334" i="1"/>
  <c r="Q333" i="1"/>
  <c r="Q332" i="1"/>
  <c r="Q330" i="1"/>
  <c r="Q329" i="1"/>
  <c r="Q328" i="1"/>
  <c r="Q325" i="1"/>
  <c r="A1205" i="4"/>
  <c r="A1207" i="4" s="1"/>
  <c r="Q27" i="1"/>
  <c r="Q26" i="1"/>
  <c r="Q25" i="1"/>
  <c r="Q24" i="1"/>
  <c r="Q23" i="1"/>
  <c r="Q22" i="1"/>
  <c r="Q21" i="1"/>
  <c r="Q20" i="1"/>
  <c r="Q19" i="1"/>
  <c r="Q18" i="1"/>
  <c r="Q17" i="1"/>
  <c r="A18" i="4"/>
  <c r="A21" i="4" s="1"/>
  <c r="A24" i="4" s="1"/>
  <c r="A26" i="4" s="1"/>
  <c r="A28" i="4" s="1"/>
  <c r="A31" i="4" s="1"/>
  <c r="A34" i="4" s="1"/>
  <c r="A37" i="4" s="1"/>
  <c r="A39" i="4" s="1"/>
  <c r="A42" i="4" s="1"/>
  <c r="A45" i="4" s="1"/>
  <c r="Q16" i="1"/>
  <c r="Q15" i="1"/>
  <c r="A763" i="1"/>
  <c r="A322" i="1"/>
  <c r="A13" i="1"/>
  <c r="A2552" i="4" l="1"/>
  <c r="A2555" i="4" s="1"/>
  <c r="A2560" i="4" s="1"/>
  <c r="A2565" i="4" s="1"/>
  <c r="A2568" i="4" s="1"/>
  <c r="A2571" i="4" s="1"/>
  <c r="A2573" i="4" s="1"/>
  <c r="A2576" i="4" s="1"/>
  <c r="A2579" i="4" s="1"/>
  <c r="A2581" i="4" s="1"/>
  <c r="A2583" i="4" s="1"/>
  <c r="A2585" i="4" s="1"/>
  <c r="A2588" i="4" s="1"/>
  <c r="Q264" i="1"/>
  <c r="Q266" i="1"/>
  <c r="Q276" i="1"/>
  <c r="Q277" i="1"/>
  <c r="Q278" i="1"/>
  <c r="Q279" i="1"/>
  <c r="Q283" i="1"/>
  <c r="Q284" i="1"/>
  <c r="Q286" i="1"/>
  <c r="Q287" i="1"/>
  <c r="Q288" i="1"/>
  <c r="Q290" i="1"/>
  <c r="Q292" i="1"/>
  <c r="Q293" i="1"/>
  <c r="Q295" i="1"/>
  <c r="Q268" i="1"/>
  <c r="Q271" i="1"/>
  <c r="Q273" i="1"/>
  <c r="Q275" i="1"/>
  <c r="Q282" i="1"/>
  <c r="Q285" i="1"/>
  <c r="Q289" i="1"/>
  <c r="J1132" i="4"/>
  <c r="Q296" i="1"/>
  <c r="I1128" i="4"/>
  <c r="J290" i="1" s="1"/>
  <c r="A326" i="1"/>
  <c r="L265" i="1"/>
  <c r="K700" i="1"/>
  <c r="L291" i="1"/>
  <c r="O914" i="1"/>
  <c r="O760" i="1" s="1"/>
  <c r="M732" i="1"/>
  <c r="M294" i="1"/>
  <c r="A142" i="1"/>
  <c r="A423" i="1"/>
  <c r="A483" i="1"/>
  <c r="A17" i="1"/>
  <c r="A31" i="1"/>
  <c r="M265" i="1"/>
  <c r="L700" i="1"/>
  <c r="M291" i="1"/>
  <c r="A734" i="1"/>
  <c r="A866" i="1"/>
  <c r="A813" i="1"/>
  <c r="A91" i="1"/>
  <c r="A268" i="1"/>
  <c r="M700" i="1"/>
  <c r="A275" i="1"/>
  <c r="L914" i="1"/>
  <c r="L760" i="1" s="1"/>
  <c r="K732" i="1"/>
  <c r="K294" i="1"/>
  <c r="A357" i="1"/>
  <c r="A358" i="1" s="1"/>
  <c r="A359" i="1" s="1"/>
  <c r="A310" i="1"/>
  <c r="A710" i="1"/>
  <c r="K914" i="1"/>
  <c r="K760" i="1" s="1"/>
  <c r="A767" i="1"/>
  <c r="K265" i="1"/>
  <c r="A703" i="1"/>
  <c r="A906" i="1"/>
  <c r="K291" i="1"/>
  <c r="M914" i="1"/>
  <c r="M760" i="1" s="1"/>
  <c r="L732" i="1"/>
  <c r="L294" i="1"/>
  <c r="A745" i="1"/>
  <c r="A48" i="1"/>
  <c r="P88" i="1"/>
  <c r="P437" i="1"/>
  <c r="P424" i="1"/>
  <c r="P421" i="1"/>
  <c r="J85" i="1"/>
  <c r="P418" i="1"/>
  <c r="N738" i="1"/>
  <c r="N88" i="1"/>
  <c r="N418" i="1"/>
  <c r="P819" i="1"/>
  <c r="P419" i="1"/>
  <c r="N433" i="1"/>
  <c r="J807" i="1"/>
  <c r="P433" i="1"/>
  <c r="P425" i="1"/>
  <c r="J417" i="1"/>
  <c r="N425" i="1"/>
  <c r="N419" i="1"/>
  <c r="N819" i="1"/>
  <c r="N437" i="1"/>
  <c r="J2689" i="4"/>
  <c r="J2687" i="4" s="1"/>
  <c r="J1053" i="4"/>
  <c r="J271" i="1"/>
  <c r="J1074" i="4"/>
  <c r="J1075" i="4"/>
  <c r="J276" i="1"/>
  <c r="J277" i="1"/>
  <c r="J278" i="1"/>
  <c r="J1092" i="4"/>
  <c r="J1093" i="4"/>
  <c r="J1096" i="4"/>
  <c r="J1098" i="4"/>
  <c r="J1101" i="4"/>
  <c r="J1103" i="4"/>
  <c r="J283" i="1"/>
  <c r="J1111" i="4"/>
  <c r="J1112" i="4"/>
  <c r="J286" i="1"/>
  <c r="J287" i="1"/>
  <c r="J289" i="1"/>
  <c r="J1129" i="4"/>
  <c r="J1130" i="4"/>
  <c r="J293" i="1"/>
  <c r="J1139" i="4"/>
  <c r="J737" i="1"/>
  <c r="J1059" i="4"/>
  <c r="J268" i="1"/>
  <c r="J1078" i="4"/>
  <c r="J1080" i="4"/>
  <c r="J1095" i="4"/>
  <c r="J1097" i="4"/>
  <c r="J1100" i="4"/>
  <c r="J1102" i="4"/>
  <c r="J1105" i="4"/>
  <c r="J1106" i="4"/>
  <c r="J1114" i="4"/>
  <c r="J1115" i="4"/>
  <c r="J1123" i="4"/>
  <c r="J1124" i="4"/>
  <c r="J296" i="1"/>
  <c r="N424" i="1"/>
  <c r="N421" i="1"/>
  <c r="K1067" i="4"/>
  <c r="I1068" i="4"/>
  <c r="A1209" i="4"/>
  <c r="A1211" i="4" s="1"/>
  <c r="A1214" i="4" s="1"/>
  <c r="A1216" i="4" s="1"/>
  <c r="A1219" i="4" s="1"/>
  <c r="A1221" i="4" s="1"/>
  <c r="A1224" i="4" s="1"/>
  <c r="A1227" i="4" s="1"/>
  <c r="A1229" i="4" s="1"/>
  <c r="A1231" i="4" s="1"/>
  <c r="A1234" i="4" s="1"/>
  <c r="I1122" i="4"/>
  <c r="I1104" i="4"/>
  <c r="J920" i="1"/>
  <c r="J300" i="1"/>
  <c r="J297" i="1"/>
  <c r="I1113" i="4"/>
  <c r="I1110" i="4"/>
  <c r="I1132" i="4"/>
  <c r="I1073" i="4"/>
  <c r="Q706" i="1"/>
  <c r="Q726" i="1"/>
  <c r="Q734" i="1"/>
  <c r="J17" i="1"/>
  <c r="J21" i="1"/>
  <c r="J22" i="1"/>
  <c r="J23" i="1"/>
  <c r="J16" i="1"/>
  <c r="J26" i="1"/>
  <c r="Q324" i="1"/>
  <c r="J31" i="1"/>
  <c r="J33" i="1"/>
  <c r="Q724" i="1"/>
  <c r="Q326" i="1"/>
  <c r="Q701" i="1"/>
  <c r="K1076" i="4"/>
  <c r="Q709" i="1"/>
  <c r="Q710" i="1"/>
  <c r="Q712" i="1"/>
  <c r="Q719" i="1"/>
  <c r="Q699" i="1"/>
  <c r="K1058" i="4"/>
  <c r="Q335" i="1"/>
  <c r="J1077" i="4"/>
  <c r="I1076" i="4"/>
  <c r="Q29" i="1"/>
  <c r="Q702" i="1"/>
  <c r="K1099" i="4"/>
  <c r="Q708" i="1"/>
  <c r="K2687" i="4"/>
  <c r="Q770" i="1" s="1"/>
  <c r="K1094" i="4"/>
  <c r="J1088" i="4"/>
  <c r="J1082" i="4"/>
  <c r="J1085" i="4"/>
  <c r="I1051" i="4"/>
  <c r="J1116" i="4"/>
  <c r="J1119" i="4"/>
  <c r="J1134" i="4"/>
  <c r="J1069" i="4"/>
  <c r="I1094" i="4"/>
  <c r="I1099" i="4"/>
  <c r="J1107" i="4"/>
  <c r="J1060" i="4"/>
  <c r="I1058" i="4"/>
  <c r="J266" i="1"/>
  <c r="J1081" i="4"/>
  <c r="I1079" i="4"/>
  <c r="J1055" i="4"/>
  <c r="J1061" i="4"/>
  <c r="J1125" i="4"/>
  <c r="J1140" i="4"/>
  <c r="P921" i="1"/>
  <c r="N921" i="1"/>
  <c r="N919" i="1"/>
  <c r="N916" i="1" s="1"/>
  <c r="P919" i="1"/>
  <c r="N302" i="1"/>
  <c r="P302" i="1"/>
  <c r="N736" i="1"/>
  <c r="P736" i="1"/>
  <c r="N298" i="1"/>
  <c r="P298" i="1"/>
  <c r="I1138" i="4"/>
  <c r="I1091" i="4"/>
  <c r="I2687" i="4"/>
  <c r="D2666" i="4"/>
  <c r="D2665" i="4" s="1"/>
  <c r="Q763" i="1"/>
  <c r="A2670" i="4"/>
  <c r="Q762" i="1"/>
  <c r="D1197" i="4"/>
  <c r="D1196" i="4" s="1"/>
  <c r="Q322" i="1"/>
  <c r="A1200" i="4"/>
  <c r="Q281" i="1" l="1"/>
  <c r="Q267" i="1"/>
  <c r="Q274" i="1"/>
  <c r="J1138" i="4"/>
  <c r="Q280" i="1"/>
  <c r="Q270" i="1"/>
  <c r="J1051" i="4"/>
  <c r="J1122" i="4"/>
  <c r="J1113" i="4"/>
  <c r="P271" i="1"/>
  <c r="N807" i="1"/>
  <c r="A327" i="1"/>
  <c r="A328" i="1" s="1"/>
  <c r="M10" i="1"/>
  <c r="A49" i="1"/>
  <c r="N297" i="1"/>
  <c r="N300" i="1"/>
  <c r="K10" i="1"/>
  <c r="J735" i="1"/>
  <c r="A907" i="1"/>
  <c r="K731" i="1"/>
  <c r="A276" i="1"/>
  <c r="A143" i="1"/>
  <c r="L10" i="1"/>
  <c r="A814" i="1"/>
  <c r="A484" i="1"/>
  <c r="M731" i="1"/>
  <c r="N85" i="1"/>
  <c r="A746" i="1"/>
  <c r="L731" i="1"/>
  <c r="A768" i="1"/>
  <c r="A711" i="1"/>
  <c r="A712" i="1" s="1"/>
  <c r="A713" i="1" s="1"/>
  <c r="A714" i="1" s="1"/>
  <c r="A715" i="1" s="1"/>
  <c r="A716" i="1" s="1"/>
  <c r="A311" i="1"/>
  <c r="A92" i="1"/>
  <c r="A867" i="1"/>
  <c r="A18" i="1"/>
  <c r="A424" i="1"/>
  <c r="J1091" i="4"/>
  <c r="P293" i="1"/>
  <c r="P290" i="1"/>
  <c r="N289" i="1"/>
  <c r="N271" i="1"/>
  <c r="P276" i="1"/>
  <c r="N283" i="1"/>
  <c r="N278" i="1"/>
  <c r="J1079" i="4"/>
  <c r="N286" i="1"/>
  <c r="P283" i="1"/>
  <c r="J1094" i="4"/>
  <c r="J1099" i="4"/>
  <c r="N296" i="1"/>
  <c r="J1058" i="4"/>
  <c r="P268" i="1"/>
  <c r="J1076" i="4"/>
  <c r="P737" i="1"/>
  <c r="N737" i="1"/>
  <c r="J20" i="1"/>
  <c r="N287" i="1"/>
  <c r="N277" i="1"/>
  <c r="P296" i="1"/>
  <c r="P278" i="1"/>
  <c r="N290" i="1"/>
  <c r="P286" i="1"/>
  <c r="N276" i="1"/>
  <c r="N268" i="1"/>
  <c r="P287" i="1"/>
  <c r="P277" i="1"/>
  <c r="P289" i="1"/>
  <c r="J25" i="1"/>
  <c r="J15" i="1"/>
  <c r="J1068" i="4"/>
  <c r="N417" i="1"/>
  <c r="N293" i="1"/>
  <c r="J336" i="1"/>
  <c r="J328" i="1"/>
  <c r="J768" i="1"/>
  <c r="J766" i="1"/>
  <c r="J703" i="1"/>
  <c r="N703" i="1" s="1"/>
  <c r="J728" i="1"/>
  <c r="J720" i="1"/>
  <c r="J709" i="1"/>
  <c r="J713" i="1"/>
  <c r="J280" i="1"/>
  <c r="J723" i="1"/>
  <c r="J722" i="1"/>
  <c r="J902" i="1"/>
  <c r="J915" i="1"/>
  <c r="J910" i="1"/>
  <c r="J909" i="1"/>
  <c r="J908" i="1"/>
  <c r="J907" i="1"/>
  <c r="J906" i="1"/>
  <c r="J905" i="1"/>
  <c r="J333" i="1"/>
  <c r="J332" i="1"/>
  <c r="J724" i="1"/>
  <c r="J726" i="1"/>
  <c r="J734" i="1"/>
  <c r="I1131" i="4"/>
  <c r="J284" i="1"/>
  <c r="J285" i="1"/>
  <c r="J288" i="1"/>
  <c r="J767" i="1"/>
  <c r="J279" i="1"/>
  <c r="J727" i="1"/>
  <c r="J716" i="1"/>
  <c r="J718" i="1"/>
  <c r="J717" i="1"/>
  <c r="J711" i="1"/>
  <c r="J275" i="1"/>
  <c r="J706" i="1"/>
  <c r="P706" i="1" s="1"/>
  <c r="J267" i="1"/>
  <c r="J733" i="1"/>
  <c r="J904" i="1"/>
  <c r="J281" i="1"/>
  <c r="J730" i="1"/>
  <c r="P730" i="1" s="1"/>
  <c r="J264" i="1"/>
  <c r="J330" i="1"/>
  <c r="J708" i="1"/>
  <c r="J326" i="1"/>
  <c r="J719" i="1"/>
  <c r="J274" i="1"/>
  <c r="J699" i="1"/>
  <c r="J712" i="1"/>
  <c r="J710" i="1"/>
  <c r="J335" i="1"/>
  <c r="J273" i="1"/>
  <c r="J282" i="1"/>
  <c r="J1104" i="4"/>
  <c r="J715" i="1"/>
  <c r="J1128" i="4"/>
  <c r="J1110" i="4"/>
  <c r="J1073" i="4"/>
  <c r="J324" i="1"/>
  <c r="P21" i="1"/>
  <c r="N920" i="1"/>
  <c r="N16" i="1"/>
  <c r="P22" i="1"/>
  <c r="N31" i="1"/>
  <c r="N26" i="1"/>
  <c r="N17" i="1"/>
  <c r="J292" i="1"/>
  <c r="P31" i="1"/>
  <c r="I1067" i="4"/>
  <c r="P33" i="1"/>
  <c r="P23" i="1"/>
  <c r="P17" i="1"/>
  <c r="P26" i="1"/>
  <c r="P16" i="1"/>
  <c r="N21" i="1"/>
  <c r="N33" i="1"/>
  <c r="I1050" i="4"/>
  <c r="N23" i="1"/>
  <c r="J27" i="1"/>
  <c r="J24" i="1"/>
  <c r="P266" i="1"/>
  <c r="J29" i="1"/>
  <c r="J19" i="1"/>
  <c r="J18" i="1"/>
  <c r="N22" i="1"/>
  <c r="I1054" i="4"/>
  <c r="Q321" i="1"/>
  <c r="N266" i="1"/>
  <c r="J772" i="1"/>
  <c r="J295" i="1"/>
  <c r="I1137" i="4"/>
  <c r="I1072" i="4"/>
  <c r="J765" i="1"/>
  <c r="J770" i="1"/>
  <c r="I2686" i="4"/>
  <c r="J339" i="1"/>
  <c r="J341" i="1"/>
  <c r="J899" i="1"/>
  <c r="J898" i="1" s="1"/>
  <c r="J897" i="1"/>
  <c r="D6" i="4"/>
  <c r="D5" i="4" s="1"/>
  <c r="Q13" i="1"/>
  <c r="A9" i="4"/>
  <c r="Q12" i="1"/>
  <c r="J1067" i="4" l="1"/>
  <c r="I2665" i="4"/>
  <c r="N20" i="1"/>
  <c r="A19" i="1"/>
  <c r="A93" i="1"/>
  <c r="A312" i="1"/>
  <c r="A747" i="1"/>
  <c r="A277" i="1"/>
  <c r="N735" i="1"/>
  <c r="A360" i="1"/>
  <c r="A425" i="1"/>
  <c r="A868" i="1"/>
  <c r="L730" i="1"/>
  <c r="A144" i="1"/>
  <c r="K730" i="1"/>
  <c r="A908" i="1"/>
  <c r="A329" i="1"/>
  <c r="M730" i="1"/>
  <c r="A485" i="1"/>
  <c r="A815" i="1"/>
  <c r="A50" i="1"/>
  <c r="P25" i="1"/>
  <c r="P15" i="1"/>
  <c r="N15" i="1"/>
  <c r="N25" i="1"/>
  <c r="N904" i="1"/>
  <c r="N728" i="1"/>
  <c r="J34" i="1"/>
  <c r="N280" i="1"/>
  <c r="N713" i="1"/>
  <c r="P20" i="1"/>
  <c r="P713" i="1"/>
  <c r="N328" i="1"/>
  <c r="P336" i="1"/>
  <c r="P908" i="1"/>
  <c r="N336" i="1"/>
  <c r="J698" i="1"/>
  <c r="P905" i="1"/>
  <c r="N275" i="1"/>
  <c r="N726" i="1"/>
  <c r="N333" i="1"/>
  <c r="N902" i="1"/>
  <c r="N766" i="1"/>
  <c r="N724" i="1"/>
  <c r="P718" i="1"/>
  <c r="N720" i="1"/>
  <c r="N279" i="1"/>
  <c r="P716" i="1"/>
  <c r="P766" i="1"/>
  <c r="P767" i="1"/>
  <c r="N908" i="1"/>
  <c r="N915" i="1"/>
  <c r="P906" i="1"/>
  <c r="N910" i="1"/>
  <c r="N722" i="1"/>
  <c r="N727" i="1"/>
  <c r="J914" i="1"/>
  <c r="N718" i="1"/>
  <c r="P720" i="1"/>
  <c r="P728" i="1"/>
  <c r="P709" i="1"/>
  <c r="P727" i="1"/>
  <c r="N716" i="1"/>
  <c r="P703" i="1"/>
  <c r="P328" i="1"/>
  <c r="N767" i="1"/>
  <c r="N281" i="1"/>
  <c r="P768" i="1"/>
  <c r="P280" i="1"/>
  <c r="P907" i="1"/>
  <c r="N909" i="1"/>
  <c r="P722" i="1"/>
  <c r="P723" i="1"/>
  <c r="P724" i="1"/>
  <c r="N332" i="1"/>
  <c r="N907" i="1"/>
  <c r="P909" i="1"/>
  <c r="P915" i="1"/>
  <c r="N723" i="1"/>
  <c r="N709" i="1"/>
  <c r="N768" i="1"/>
  <c r="P904" i="1"/>
  <c r="N711" i="1"/>
  <c r="P333" i="1"/>
  <c r="N282" i="1"/>
  <c r="N706" i="1"/>
  <c r="P708" i="1"/>
  <c r="P717" i="1"/>
  <c r="P711" i="1"/>
  <c r="P275" i="1"/>
  <c r="P279" i="1"/>
  <c r="N717" i="1"/>
  <c r="N734" i="1"/>
  <c r="P726" i="1"/>
  <c r="P332" i="1"/>
  <c r="P910" i="1"/>
  <c r="J901" i="1"/>
  <c r="P734" i="1"/>
  <c r="N906" i="1"/>
  <c r="N708" i="1"/>
  <c r="N733" i="1"/>
  <c r="P264" i="1"/>
  <c r="N730" i="1"/>
  <c r="N267" i="1"/>
  <c r="N330" i="1"/>
  <c r="P712" i="1"/>
  <c r="J903" i="1"/>
  <c r="P292" i="1"/>
  <c r="J701" i="1"/>
  <c r="N701" i="1" s="1"/>
  <c r="N719" i="1"/>
  <c r="P274" i="1"/>
  <c r="J30" i="1"/>
  <c r="N324" i="1"/>
  <c r="N264" i="1"/>
  <c r="P281" i="1"/>
  <c r="P733" i="1"/>
  <c r="N285" i="1"/>
  <c r="P284" i="1"/>
  <c r="N335" i="1"/>
  <c r="J263" i="1"/>
  <c r="N288" i="1"/>
  <c r="P285" i="1"/>
  <c r="N274" i="1"/>
  <c r="P324" i="1"/>
  <c r="N712" i="1"/>
  <c r="P326" i="1"/>
  <c r="P282" i="1"/>
  <c r="J337" i="1"/>
  <c r="J721" i="1"/>
  <c r="J763" i="1"/>
  <c r="N763" i="1" s="1"/>
  <c r="N273" i="1"/>
  <c r="J714" i="1"/>
  <c r="J329" i="1"/>
  <c r="P273" i="1"/>
  <c r="N326" i="1"/>
  <c r="N699" i="1"/>
  <c r="P335" i="1"/>
  <c r="P710" i="1"/>
  <c r="J725" i="1"/>
  <c r="J334" i="1"/>
  <c r="J342" i="1"/>
  <c r="J265" i="1"/>
  <c r="P267" i="1"/>
  <c r="N710" i="1"/>
  <c r="P719" i="1"/>
  <c r="P330" i="1"/>
  <c r="J729" i="1"/>
  <c r="J272" i="1"/>
  <c r="P288" i="1"/>
  <c r="N284" i="1"/>
  <c r="P715" i="1"/>
  <c r="N715" i="1"/>
  <c r="J762" i="1"/>
  <c r="J321" i="1"/>
  <c r="J325" i="1"/>
  <c r="J702" i="1"/>
  <c r="N702" i="1" s="1"/>
  <c r="I1066" i="4"/>
  <c r="P699" i="1"/>
  <c r="N905" i="1"/>
  <c r="J338" i="1"/>
  <c r="J896" i="1"/>
  <c r="J769" i="1"/>
  <c r="J764" i="1"/>
  <c r="J771" i="1"/>
  <c r="P19" i="1"/>
  <c r="P24" i="1"/>
  <c r="N27" i="1"/>
  <c r="J294" i="1"/>
  <c r="P18" i="1"/>
  <c r="P27" i="1"/>
  <c r="N292" i="1"/>
  <c r="J291" i="1"/>
  <c r="J14" i="1"/>
  <c r="J705" i="1"/>
  <c r="P705" i="1" s="1"/>
  <c r="J732" i="1"/>
  <c r="J270" i="1"/>
  <c r="N19" i="1"/>
  <c r="N18" i="1"/>
  <c r="N29" i="1"/>
  <c r="P29" i="1"/>
  <c r="N24" i="1"/>
  <c r="N341" i="1"/>
  <c r="P341" i="1"/>
  <c r="N339" i="1"/>
  <c r="P339" i="1"/>
  <c r="P295" i="1"/>
  <c r="N295" i="1"/>
  <c r="P772" i="1"/>
  <c r="N772" i="1"/>
  <c r="P897" i="1"/>
  <c r="N897" i="1"/>
  <c r="P899" i="1"/>
  <c r="N899" i="1"/>
  <c r="N898" i="1" s="1"/>
  <c r="N770" i="1"/>
  <c r="P770" i="1"/>
  <c r="N765" i="1"/>
  <c r="P765" i="1"/>
  <c r="N700" i="1" l="1"/>
  <c r="A51" i="1"/>
  <c r="L729" i="1"/>
  <c r="A748" i="1"/>
  <c r="N294" i="1"/>
  <c r="N263" i="1"/>
  <c r="N729" i="1"/>
  <c r="P902" i="1"/>
  <c r="N34" i="1"/>
  <c r="N291" i="1"/>
  <c r="A330" i="1"/>
  <c r="A869" i="1"/>
  <c r="A94" i="1"/>
  <c r="N698" i="1"/>
  <c r="N914" i="1"/>
  <c r="A486" i="1"/>
  <c r="K729" i="1"/>
  <c r="A361" i="1"/>
  <c r="N338" i="1"/>
  <c r="N265" i="1"/>
  <c r="A816" i="1"/>
  <c r="M729" i="1"/>
  <c r="A909" i="1"/>
  <c r="A145" i="1"/>
  <c r="A426" i="1"/>
  <c r="A278" i="1"/>
  <c r="A313" i="1"/>
  <c r="A20" i="1"/>
  <c r="P329" i="1"/>
  <c r="P34" i="1"/>
  <c r="P337" i="1"/>
  <c r="J32" i="1"/>
  <c r="P701" i="1"/>
  <c r="N714" i="1"/>
  <c r="P714" i="1"/>
  <c r="P702" i="1"/>
  <c r="N30" i="1"/>
  <c r="N321" i="1"/>
  <c r="J340" i="1"/>
  <c r="N901" i="1"/>
  <c r="J28" i="1"/>
  <c r="P721" i="1"/>
  <c r="N762" i="1"/>
  <c r="P763" i="1"/>
  <c r="N334" i="1"/>
  <c r="P321" i="1"/>
  <c r="J761" i="1"/>
  <c r="J760" i="1" s="1"/>
  <c r="P342" i="1"/>
  <c r="N903" i="1"/>
  <c r="N329" i="1"/>
  <c r="J700" i="1"/>
  <c r="N272" i="1"/>
  <c r="P30" i="1"/>
  <c r="P762" i="1"/>
  <c r="N721" i="1"/>
  <c r="N337" i="1"/>
  <c r="P334" i="1"/>
  <c r="P725" i="1"/>
  <c r="P325" i="1"/>
  <c r="J323" i="1"/>
  <c r="J707" i="1"/>
  <c r="N342" i="1"/>
  <c r="N725" i="1"/>
  <c r="N325" i="1"/>
  <c r="J322" i="1"/>
  <c r="N764" i="1"/>
  <c r="N769" i="1"/>
  <c r="N771" i="1"/>
  <c r="N896" i="1"/>
  <c r="N732" i="1"/>
  <c r="J731" i="1"/>
  <c r="N705" i="1"/>
  <c r="J704" i="1"/>
  <c r="N270" i="1"/>
  <c r="J269" i="1"/>
  <c r="N14" i="1"/>
  <c r="P732" i="1"/>
  <c r="P270" i="1"/>
  <c r="J13" i="1"/>
  <c r="M319" i="1" l="1"/>
  <c r="N340" i="1"/>
  <c r="N28" i="1"/>
  <c r="N761" i="1"/>
  <c r="N760" i="1" s="1"/>
  <c r="A427" i="1"/>
  <c r="K319" i="1"/>
  <c r="A95" i="1"/>
  <c r="A331" i="1"/>
  <c r="N32" i="1"/>
  <c r="L319" i="1"/>
  <c r="N269" i="1"/>
  <c r="N731" i="1"/>
  <c r="A146" i="1"/>
  <c r="A21" i="1"/>
  <c r="A279" i="1"/>
  <c r="A910" i="1"/>
  <c r="A817" i="1"/>
  <c r="A362" i="1"/>
  <c r="A487" i="1"/>
  <c r="A870" i="1"/>
  <c r="A749" i="1"/>
  <c r="A52" i="1"/>
  <c r="N707" i="1"/>
  <c r="N322" i="1"/>
  <c r="J320" i="1"/>
  <c r="P322" i="1"/>
  <c r="N323" i="1"/>
  <c r="I1196" i="4"/>
  <c r="N704" i="1"/>
  <c r="N13" i="1"/>
  <c r="P13" i="1"/>
  <c r="J12" i="1"/>
  <c r="A53" i="1" l="1"/>
  <c r="A363" i="1"/>
  <c r="A364" i="1" s="1"/>
  <c r="A365" i="1" s="1"/>
  <c r="A147" i="1"/>
  <c r="A96" i="1"/>
  <c r="A332" i="1"/>
  <c r="N320" i="1"/>
  <c r="A871" i="1"/>
  <c r="A280" i="1"/>
  <c r="A750" i="1"/>
  <c r="A488" i="1"/>
  <c r="A818" i="1"/>
  <c r="A22" i="1"/>
  <c r="A428" i="1"/>
  <c r="J319" i="1"/>
  <c r="I5" i="4"/>
  <c r="J11" i="1"/>
  <c r="N12" i="1"/>
  <c r="P12" i="1"/>
  <c r="N319" i="1" l="1"/>
  <c r="N11" i="1"/>
  <c r="A23" i="1"/>
  <c r="A819" i="1"/>
  <c r="A751" i="1"/>
  <c r="A333" i="1"/>
  <c r="A429" i="1"/>
  <c r="A489" i="1"/>
  <c r="A872" i="1"/>
  <c r="A97" i="1"/>
  <c r="A281" i="1"/>
  <c r="A148" i="1"/>
  <c r="A54" i="1"/>
  <c r="J10" i="1"/>
  <c r="A149" i="1" l="1"/>
  <c r="A873" i="1"/>
  <c r="A366" i="1"/>
  <c r="A24" i="1"/>
  <c r="A55" i="1"/>
  <c r="A282" i="1"/>
  <c r="A752" i="1"/>
  <c r="A98" i="1"/>
  <c r="A490" i="1"/>
  <c r="A430" i="1"/>
  <c r="A334" i="1"/>
  <c r="N10" i="1"/>
  <c r="A25" i="1" l="1"/>
  <c r="A99" i="1"/>
  <c r="A283" i="1"/>
  <c r="A431" i="1"/>
  <c r="A753" i="1"/>
  <c r="A874" i="1"/>
  <c r="A335" i="1"/>
  <c r="A491" i="1"/>
  <c r="A56" i="1"/>
  <c r="A367" i="1"/>
  <c r="A150" i="1"/>
  <c r="A368" i="1" l="1"/>
  <c r="A717" i="1"/>
  <c r="A492" i="1"/>
  <c r="A875" i="1"/>
  <c r="A432" i="1"/>
  <c r="A100" i="1"/>
  <c r="A151" i="1"/>
  <c r="A57" i="1"/>
  <c r="A336" i="1"/>
  <c r="A284" i="1"/>
  <c r="A26" i="1"/>
  <c r="A27" i="1" l="1"/>
  <c r="A337" i="1"/>
  <c r="A58" i="1"/>
  <c r="A101" i="1"/>
  <c r="A876" i="1"/>
  <c r="A718" i="1"/>
  <c r="A285" i="1"/>
  <c r="A152" i="1"/>
  <c r="A433" i="1"/>
  <c r="A493" i="1"/>
  <c r="A369" i="1"/>
  <c r="A370" i="1" l="1"/>
  <c r="A434" i="1"/>
  <c r="A719" i="1"/>
  <c r="A494" i="1"/>
  <c r="A153" i="1"/>
  <c r="A286" i="1"/>
  <c r="A878" i="1"/>
  <c r="A59" i="1"/>
  <c r="A879" i="1" l="1"/>
  <c r="A154" i="1"/>
  <c r="A720" i="1"/>
  <c r="A435" i="1"/>
  <c r="A60" i="1"/>
  <c r="A287" i="1"/>
  <c r="A495" i="1"/>
  <c r="A371" i="1"/>
  <c r="A372" i="1" s="1"/>
  <c r="A373" i="1" s="1"/>
  <c r="A374" i="1" s="1"/>
  <c r="A375" i="1" s="1"/>
  <c r="A376" i="1" s="1"/>
  <c r="A377" i="1" s="1"/>
  <c r="A378" i="1" s="1"/>
  <c r="A379" i="1" s="1"/>
  <c r="A380" i="1" s="1"/>
  <c r="A381" i="1" s="1"/>
  <c r="A382" i="1" s="1"/>
  <c r="A383" i="1" s="1"/>
  <c r="A288" i="1" l="1"/>
  <c r="A436" i="1"/>
  <c r="A155" i="1"/>
  <c r="A496" i="1"/>
  <c r="A61" i="1"/>
  <c r="A721" i="1"/>
  <c r="A880" i="1"/>
  <c r="A722" i="1" l="1"/>
  <c r="A497" i="1"/>
  <c r="A156" i="1"/>
  <c r="A289" i="1"/>
  <c r="A881" i="1"/>
  <c r="A62" i="1"/>
  <c r="A437" i="1"/>
  <c r="A63" i="1" l="1"/>
  <c r="A290" i="1"/>
  <c r="A498" i="1"/>
  <c r="A438" i="1"/>
  <c r="A882" i="1"/>
  <c r="A157" i="1"/>
  <c r="A723" i="1"/>
  <c r="A883" i="1" l="1"/>
  <c r="A724" i="1"/>
  <c r="A158" i="1"/>
  <c r="A499" i="1"/>
  <c r="A64" i="1"/>
  <c r="A65" i="1" l="1"/>
  <c r="A725" i="1"/>
  <c r="A500" i="1"/>
  <c r="A159" i="1"/>
  <c r="A884" i="1"/>
  <c r="A885" i="1" l="1"/>
  <c r="A501" i="1"/>
  <c r="A160" i="1"/>
  <c r="A726" i="1"/>
  <c r="A66" i="1"/>
  <c r="A67" i="1" l="1"/>
  <c r="A161" i="1"/>
  <c r="A502" i="1"/>
  <c r="A727" i="1"/>
  <c r="A886" i="1"/>
  <c r="A887" i="1" l="1"/>
  <c r="A728" i="1"/>
  <c r="A162" i="1"/>
  <c r="A503" i="1"/>
  <c r="A68" i="1"/>
  <c r="A69" i="1" l="1"/>
  <c r="A504" i="1"/>
  <c r="A164" i="1"/>
  <c r="A888" i="1"/>
  <c r="A165" i="1" l="1"/>
  <c r="A70" i="1"/>
  <c r="A889" i="1"/>
  <c r="A505" i="1"/>
  <c r="A384" i="1"/>
  <c r="A71" i="1" l="1"/>
  <c r="A506" i="1"/>
  <c r="A385" i="1"/>
  <c r="A386" i="1" s="1"/>
  <c r="A890" i="1"/>
  <c r="A166" i="1"/>
  <c r="A507" i="1" l="1"/>
  <c r="A891" i="1"/>
  <c r="A167" i="1"/>
  <c r="A72" i="1"/>
  <c r="A387" i="1" l="1"/>
  <c r="A388" i="1" s="1"/>
  <c r="A389" i="1" s="1"/>
  <c r="A390" i="1" s="1"/>
  <c r="A391" i="1" s="1"/>
  <c r="A392" i="1" s="1"/>
  <c r="A393" i="1" s="1"/>
  <c r="A892" i="1"/>
  <c r="A73" i="1"/>
  <c r="A168" i="1"/>
  <c r="A508" i="1"/>
  <c r="A893" i="1" l="1"/>
  <c r="A169" i="1"/>
  <c r="A509" i="1"/>
  <c r="A74" i="1"/>
  <c r="A75" i="1" l="1"/>
  <c r="A170" i="1"/>
  <c r="A510" i="1"/>
  <c r="A894" i="1"/>
  <c r="A511" i="1" l="1"/>
  <c r="A171" i="1"/>
  <c r="A895" i="1"/>
  <c r="A76" i="1"/>
  <c r="A172" i="1" l="1"/>
  <c r="A77" i="1"/>
  <c r="A512" i="1"/>
  <c r="A513" i="1" l="1"/>
  <c r="A173" i="1"/>
  <c r="A78" i="1"/>
  <c r="A174" i="1" l="1"/>
  <c r="A394" i="1"/>
  <c r="A79" i="1"/>
  <c r="A514" i="1"/>
  <c r="A515" i="1" l="1"/>
  <c r="A395" i="1"/>
  <c r="A80" i="1"/>
  <c r="A175" i="1"/>
  <c r="A176" i="1" l="1"/>
  <c r="A396" i="1"/>
  <c r="A81" i="1"/>
  <c r="A516" i="1"/>
  <c r="A518" i="1" l="1"/>
  <c r="A397" i="1"/>
  <c r="A82" i="1"/>
  <c r="A177" i="1"/>
  <c r="A178" i="1" l="1"/>
  <c r="A398" i="1"/>
  <c r="A83" i="1"/>
  <c r="A519" i="1"/>
  <c r="A520" i="1" l="1"/>
  <c r="A399" i="1"/>
  <c r="A84" i="1"/>
  <c r="A179" i="1"/>
  <c r="A180" i="1" l="1"/>
  <c r="A400" i="1"/>
  <c r="A521" i="1"/>
  <c r="A401" i="1" l="1"/>
  <c r="A522" i="1"/>
  <c r="A181" i="1"/>
  <c r="A523" i="1" l="1"/>
  <c r="A182" i="1"/>
  <c r="A402" i="1"/>
  <c r="A183" i="1" l="1"/>
  <c r="A403" i="1"/>
  <c r="A524" i="1"/>
  <c r="A404" i="1" l="1"/>
  <c r="A525" i="1"/>
  <c r="A184" i="1"/>
  <c r="A526" i="1" l="1"/>
  <c r="A185" i="1"/>
  <c r="A405" i="1"/>
  <c r="A186" i="1" l="1"/>
  <c r="A406" i="1"/>
  <c r="A527" i="1"/>
  <c r="A528" i="1" s="1"/>
  <c r="A529" i="1" s="1"/>
  <c r="A407" i="1" l="1"/>
  <c r="A187" i="1"/>
  <c r="A530" i="1" l="1"/>
  <c r="A188" i="1"/>
  <c r="A408" i="1"/>
  <c r="A189" i="1" l="1"/>
  <c r="A409" i="1"/>
  <c r="A531" i="1"/>
  <c r="A410" i="1" l="1"/>
  <c r="A532" i="1"/>
  <c r="A190" i="1"/>
  <c r="A411" i="1" l="1"/>
  <c r="A412" i="1" s="1"/>
  <c r="A413" i="1" s="1"/>
  <c r="A533" i="1"/>
  <c r="A191" i="1"/>
  <c r="A534" i="1" l="1"/>
  <c r="A192" i="1"/>
  <c r="A193" i="1" l="1"/>
  <c r="A535" i="1"/>
  <c r="A536" i="1" l="1"/>
  <c r="A194" i="1"/>
  <c r="A537" i="1" l="1"/>
  <c r="A195" i="1"/>
  <c r="A414" i="1"/>
  <c r="A196" i="1" l="1"/>
  <c r="A415" i="1"/>
  <c r="A538" i="1"/>
  <c r="A416" i="1" l="1"/>
  <c r="A539" i="1"/>
  <c r="A198" i="1"/>
  <c r="A199" i="1" l="1"/>
  <c r="A540" i="1"/>
  <c r="A541" i="1" l="1"/>
  <c r="A200" i="1"/>
  <c r="A201" i="1" l="1"/>
  <c r="A542" i="1"/>
  <c r="A543" i="1" l="1"/>
  <c r="A202" i="1"/>
  <c r="A203" i="1" l="1"/>
  <c r="A544" i="1"/>
  <c r="A545" i="1" l="1"/>
  <c r="A204" i="1"/>
  <c r="A205" i="1" l="1"/>
  <c r="A546" i="1"/>
  <c r="A547" i="1" l="1"/>
  <c r="A206" i="1"/>
  <c r="A207" i="1" l="1"/>
  <c r="A548" i="1"/>
  <c r="A549" i="1" l="1"/>
  <c r="A208" i="1"/>
  <c r="A209" i="1" l="1"/>
  <c r="A550" i="1"/>
  <c r="A551" i="1" l="1"/>
  <c r="A210" i="1"/>
  <c r="A211" i="1" l="1"/>
  <c r="A552" i="1"/>
  <c r="A553" i="1" l="1"/>
  <c r="A212" i="1"/>
  <c r="A213" i="1" l="1"/>
  <c r="A554" i="1"/>
  <c r="A555" i="1" l="1"/>
  <c r="A214" i="1"/>
  <c r="A215" i="1" l="1"/>
  <c r="A556" i="1"/>
  <c r="A557" i="1" l="1"/>
  <c r="A216" i="1"/>
  <c r="A217" i="1" l="1"/>
  <c r="A558" i="1"/>
  <c r="A559" i="1" l="1"/>
  <c r="A218" i="1"/>
  <c r="A219" i="1" l="1"/>
  <c r="A560" i="1"/>
  <c r="A561" i="1" l="1"/>
  <c r="A220" i="1"/>
  <c r="A221" i="1" l="1"/>
  <c r="A562" i="1"/>
  <c r="A563" i="1" l="1"/>
  <c r="A222" i="1"/>
  <c r="A223" i="1" l="1"/>
  <c r="A564" i="1"/>
  <c r="A565" i="1" l="1"/>
  <c r="A224" i="1"/>
  <c r="A225" i="1" l="1"/>
  <c r="A567" i="1"/>
  <c r="A568" i="1" l="1"/>
  <c r="A226" i="1"/>
  <c r="A227" i="1" l="1"/>
  <c r="A569" i="1"/>
  <c r="A570" i="1" l="1"/>
  <c r="A228" i="1"/>
  <c r="A230" i="1" l="1"/>
  <c r="A571" i="1"/>
  <c r="A572" i="1" l="1"/>
  <c r="A231" i="1"/>
  <c r="A232" i="1" l="1"/>
  <c r="A573" i="1"/>
  <c r="A574" i="1" s="1"/>
  <c r="A233" i="1" l="1"/>
  <c r="A234" i="1" l="1"/>
  <c r="A575" i="1" l="1"/>
  <c r="A235" i="1"/>
  <c r="A236" i="1" l="1"/>
  <c r="A576" i="1"/>
  <c r="A577" i="1" l="1"/>
  <c r="A237" i="1"/>
  <c r="A238" i="1" l="1"/>
  <c r="A578" i="1"/>
  <c r="A579" i="1" l="1"/>
  <c r="A239" i="1"/>
  <c r="A240" i="1" l="1"/>
  <c r="A580" i="1"/>
  <c r="A581" i="1" l="1"/>
  <c r="A241" i="1"/>
  <c r="A242" i="1" l="1"/>
  <c r="A582" i="1"/>
  <c r="A583" i="1" l="1"/>
  <c r="A243" i="1"/>
  <c r="A244" i="1" l="1"/>
  <c r="A584" i="1"/>
  <c r="A585" i="1" l="1"/>
  <c r="A245" i="1"/>
  <c r="A246" i="1" l="1"/>
  <c r="A586" i="1"/>
  <c r="A587" i="1" l="1"/>
  <c r="A247" i="1"/>
  <c r="A248" i="1" l="1"/>
  <c r="A588" i="1"/>
  <c r="A589" i="1" l="1"/>
  <c r="A249" i="1"/>
  <c r="A250" i="1" l="1"/>
  <c r="A590" i="1"/>
  <c r="A591" i="1" l="1"/>
  <c r="A251" i="1"/>
  <c r="A252" i="1" l="1"/>
  <c r="A592" i="1"/>
  <c r="A593" i="1" l="1"/>
  <c r="A253" i="1"/>
  <c r="A254" i="1" l="1"/>
  <c r="A594" i="1"/>
  <c r="A595" i="1" l="1"/>
  <c r="A255" i="1"/>
  <c r="A256" i="1" l="1"/>
  <c r="A596" i="1"/>
  <c r="A597" i="1" l="1"/>
  <c r="A257" i="1"/>
  <c r="A258" i="1" l="1"/>
  <c r="A598" i="1"/>
  <c r="A599" i="1" l="1"/>
  <c r="A259" i="1"/>
  <c r="A260" i="1" l="1"/>
  <c r="A600" i="1"/>
  <c r="A601" i="1" l="1"/>
  <c r="A261" i="1"/>
  <c r="A262" i="1" l="1"/>
  <c r="A602" i="1"/>
  <c r="A603" i="1" l="1"/>
  <c r="A604" i="1" l="1"/>
  <c r="A605" i="1" l="1"/>
  <c r="A606" i="1" l="1"/>
  <c r="A607" i="1" l="1"/>
  <c r="A608" i="1" l="1"/>
  <c r="A609" i="1" l="1"/>
  <c r="A610" i="1" l="1"/>
  <c r="A611" i="1" l="1"/>
  <c r="A612" i="1" l="1"/>
  <c r="A613" i="1" l="1"/>
  <c r="A614" i="1" l="1"/>
  <c r="A615" i="1" l="1"/>
  <c r="A616" i="1" l="1"/>
  <c r="A617" i="1" l="1"/>
  <c r="A618" i="1" l="1"/>
  <c r="A619" i="1" l="1"/>
  <c r="A620" i="1" l="1"/>
  <c r="A621" i="1" l="1"/>
  <c r="A622" i="1" l="1"/>
  <c r="A623" i="1" l="1"/>
  <c r="A624" i="1" l="1"/>
  <c r="A625" i="1" l="1"/>
  <c r="A626" i="1" l="1"/>
  <c r="A627" i="1" l="1"/>
  <c r="A628" i="1" l="1"/>
  <c r="A629" i="1" l="1"/>
  <c r="A630" i="1" l="1"/>
  <c r="A631" i="1" l="1"/>
  <c r="A632" i="1" l="1"/>
  <c r="A633" i="1" l="1"/>
  <c r="A634" i="1" l="1"/>
  <c r="A635" i="1" l="1"/>
  <c r="A636" i="1" l="1"/>
  <c r="A637" i="1" l="1"/>
  <c r="A638" i="1" l="1"/>
  <c r="A639" i="1" l="1"/>
  <c r="A640" i="1" l="1"/>
  <c r="A641" i="1" l="1"/>
  <c r="A642" i="1" l="1"/>
  <c r="A643" i="1" l="1"/>
  <c r="A644" i="1" l="1"/>
  <c r="A645" i="1" l="1"/>
  <c r="A646" i="1" l="1"/>
  <c r="A647" i="1" l="1"/>
  <c r="A648" i="1" l="1"/>
  <c r="A649" i="1" l="1"/>
  <c r="A650" i="1" l="1"/>
  <c r="A652" i="1" l="1"/>
  <c r="A653" i="1" l="1"/>
  <c r="A654" i="1" l="1"/>
  <c r="A655" i="1" l="1"/>
  <c r="A656" i="1" l="1"/>
  <c r="A657" i="1" l="1"/>
  <c r="A658" i="1" l="1"/>
  <c r="A659" i="1" l="1"/>
  <c r="A660" i="1" l="1"/>
  <c r="A661" i="1" l="1"/>
  <c r="A662" i="1" l="1"/>
  <c r="A663" i="1" l="1"/>
  <c r="A664" i="1" l="1"/>
  <c r="A665" i="1" l="1"/>
  <c r="A666" i="1" l="1"/>
  <c r="A667" i="1" l="1"/>
  <c r="A668" i="1" l="1"/>
  <c r="A669" i="1" l="1"/>
  <c r="A670" i="1" l="1"/>
  <c r="A671" i="1" l="1"/>
  <c r="A672" i="1" l="1"/>
  <c r="A673" i="1" l="1"/>
  <c r="A674" i="1" l="1"/>
  <c r="A675" i="1" l="1"/>
  <c r="A676" i="1" l="1"/>
  <c r="A677" i="1" l="1"/>
  <c r="A678" i="1" l="1"/>
  <c r="A679" i="1" l="1"/>
  <c r="A680" i="1" l="1"/>
  <c r="A681" i="1" l="1"/>
  <c r="A682" i="1" l="1"/>
  <c r="A683" i="1" l="1"/>
  <c r="A684" i="1" l="1"/>
  <c r="A685" i="1" l="1"/>
  <c r="A686" i="1" l="1"/>
  <c r="A687" i="1" l="1"/>
  <c r="A688" i="1" l="1"/>
  <c r="A689" i="1" l="1"/>
  <c r="A690" i="1" l="1"/>
  <c r="A691" i="1" l="1"/>
  <c r="A692" i="1" l="1"/>
  <c r="A693" i="1" l="1"/>
  <c r="A694" i="1" l="1"/>
  <c r="A695" i="1" l="1"/>
  <c r="A696" i="1" l="1"/>
  <c r="A697" i="1" l="1"/>
</calcChain>
</file>

<file path=xl/comments1.xml><?xml version="1.0" encoding="utf-8"?>
<comments xmlns="http://schemas.openxmlformats.org/spreadsheetml/2006/main">
  <authors>
    <author>Светлана Сергеевна Карпова</author>
  </authors>
  <commentList>
    <comment ref="I1222" authorId="0" shapeId="0">
      <text>
        <r>
          <rPr>
            <b/>
            <sz val="9"/>
            <color indexed="81"/>
            <rFont val="Tahoma"/>
            <family val="2"/>
            <charset val="204"/>
          </rPr>
          <t>Светлана Сергеевна Карпова:</t>
        </r>
        <r>
          <rPr>
            <sz val="9"/>
            <color indexed="81"/>
            <rFont val="Tahoma"/>
            <family val="2"/>
            <charset val="204"/>
          </rPr>
          <t xml:space="preserve">
по ПСД 1 660 545.21 р.</t>
        </r>
      </text>
    </comment>
    <comment ref="I2829" authorId="0" shapeId="0">
      <text>
        <r>
          <rPr>
            <b/>
            <sz val="9"/>
            <color indexed="81"/>
            <rFont val="Tahoma"/>
            <family val="2"/>
            <charset val="204"/>
          </rPr>
          <t>Светлана Сергеевна Карпова:</t>
        </r>
        <r>
          <rPr>
            <sz val="9"/>
            <color indexed="81"/>
            <rFont val="Tahoma"/>
            <family val="2"/>
            <charset val="204"/>
          </rPr>
          <t xml:space="preserve">
по ПСД 3 617 128.67</t>
        </r>
      </text>
    </comment>
  </commentList>
</comments>
</file>

<file path=xl/sharedStrings.xml><?xml version="1.0" encoding="utf-8"?>
<sst xmlns="http://schemas.openxmlformats.org/spreadsheetml/2006/main" count="10228" uniqueCount="836">
  <si>
    <t>№ п/п</t>
  </si>
  <si>
    <t>Адрес МКД</t>
  </si>
  <si>
    <t>Количество этажей</t>
  </si>
  <si>
    <t>Общая площадь МКД, всего</t>
  </si>
  <si>
    <t>Стоимость капитального ремонта</t>
  </si>
  <si>
    <t>Плановая дата завершения работ</t>
  </si>
  <si>
    <t>за счет средств Фонда</t>
  </si>
  <si>
    <t>за счет средств бюджета субъекта Российской Федерации</t>
  </si>
  <si>
    <t>за счет средств местного бюджета</t>
  </si>
  <si>
    <t>кв. м</t>
  </si>
  <si>
    <t>чел.</t>
  </si>
  <si>
    <t>руб.</t>
  </si>
  <si>
    <t>руб./кв. м</t>
  </si>
  <si>
    <t>Х</t>
  </si>
  <si>
    <t>всего</t>
  </si>
  <si>
    <t>в том числе</t>
  </si>
  <si>
    <t>Итого по Александровскому району</t>
  </si>
  <si>
    <t>Примечание:</t>
  </si>
  <si>
    <t>Количество жителей, зарегистрированных в МКД на дату утверждения краткосрочного плана</t>
  </si>
  <si>
    <t>Площадь помещений МКД, кв. м</t>
  </si>
  <si>
    <t>Вид элемента строительных конструкций, оборудования, инженерных систем</t>
  </si>
  <si>
    <t xml:space="preserve">Вид работы (услуги) по капитальному ремонту </t>
  </si>
  <si>
    <t>Стоимость работы (услуги), руб.</t>
  </si>
  <si>
    <t>Удельная стоимость работы (услуги), руб./кв. м</t>
  </si>
  <si>
    <t>Предельная стоимость работы (услуги), руб./кв. м</t>
  </si>
  <si>
    <t>№
п/п</t>
  </si>
  <si>
    <t>за счет средств собственников 
помещений в МКД</t>
  </si>
  <si>
    <t>за счет других не запрещенных законом источников</t>
  </si>
  <si>
    <t>2017 год</t>
  </si>
  <si>
    <t>2018 год</t>
  </si>
  <si>
    <t>2019 год</t>
  </si>
  <si>
    <t>1. Перечень многоквартирных домов, включенных в краткосрочный план реализации в 2017 - 2019 гг. региональной программы капитального ремонта общего имущества в многоквартирных домах</t>
  </si>
  <si>
    <t>Код МКД</t>
  </si>
  <si>
    <t>Итого по Асиновскому району</t>
  </si>
  <si>
    <t>Итого по Бакчарскому району</t>
  </si>
  <si>
    <t>Итого по Верхнекетскому району</t>
  </si>
  <si>
    <t>Итого по Зырянскому району</t>
  </si>
  <si>
    <t>Итого по Каргасокскому району</t>
  </si>
  <si>
    <t>Итого по городу Кедровому</t>
  </si>
  <si>
    <t>Итого по Кожевниковскому району</t>
  </si>
  <si>
    <t>Итого по Колпашевскому району</t>
  </si>
  <si>
    <t>Итого по Кривошеинскому району</t>
  </si>
  <si>
    <t xml:space="preserve">Итого по Молчановскому району </t>
  </si>
  <si>
    <t>Итого по Парабельскому району</t>
  </si>
  <si>
    <t xml:space="preserve">Итого по Первомайскому району </t>
  </si>
  <si>
    <t xml:space="preserve">Итого по городской округ ЗАТО Северск </t>
  </si>
  <si>
    <t>Итого по городскому округу Стрежевой</t>
  </si>
  <si>
    <t>Итого по Городу Томску</t>
  </si>
  <si>
    <t xml:space="preserve">Итого по Томскому району </t>
  </si>
  <si>
    <t>Итого по Чаинскому району</t>
  </si>
  <si>
    <t xml:space="preserve">Итого по Шегарскому району </t>
  </si>
  <si>
    <t>Всего по Томской области</t>
  </si>
  <si>
    <t>Итого по городскому округу ЗАТО Северск</t>
  </si>
  <si>
    <t>Итого по Молчановскому району</t>
  </si>
  <si>
    <t>Итого по Томскому району</t>
  </si>
  <si>
    <t>Итого по Шегарскому району</t>
  </si>
  <si>
    <t>Итого по Первомайскому району</t>
  </si>
  <si>
    <t xml:space="preserve">Итого по Чаинскому району </t>
  </si>
  <si>
    <t>Год ввода в эксплуатацию</t>
  </si>
  <si>
    <t>Площадь помещений в МКД</t>
  </si>
  <si>
    <t>Способ формирования фонда капитального ремонта многоквартирного дома &lt;3&gt;</t>
  </si>
  <si>
    <t>Материал стен &lt;4&gt;</t>
  </si>
  <si>
    <t>2. Перечень работ и услуг по капитальному ремонту общего имущества в многоквартирных домах, включенных в краткосрочный план реализации в 2017 - 2019 гг. региональной программы капитального ремонта общего имущества в многоквартирных домах</t>
  </si>
  <si>
    <t xml:space="preserve">&lt;1&gt; </t>
  </si>
  <si>
    <t>&lt;2&gt;</t>
  </si>
  <si>
    <t>выбирается из списка: ПСД, СМР – разработка проектно-сметной документации, включая проведение проверки достоверности определения сметной стоимости и выполнение работ по капитальному ремонту и осуществлению строительного контроля; ПСД, СМР (н) – разработка проектно-сметной документации, включая проведение проверки достоверности определения сметной стоимости и начало работ по капитальному ремонту; СМР (з) – завершение работ по капитальному ремонту и осуществление строительного контроля; ПСД – разработка проектно-сметной документации, включая проведение проверки достоверности определения сметной стоимости; СМР – выполнение работ по капитальному ремонту и осуществление строительного контроля;</t>
  </si>
  <si>
    <t>&lt;3&gt;</t>
  </si>
  <si>
    <t xml:space="preserve">&lt;4&gt; </t>
  </si>
  <si>
    <t>выбирается из списка: К - кирпичные, П - панельные, Д - деревянные, Пр - прочие.</t>
  </si>
  <si>
    <t>выбирается из списка: 1 - счет регионального оператора; 2 - специальный счет, владельцем которого является региональный оператор; 3 - специальный счет, владельцем которого является управляющая компания; 4 - специальный счет, владельцем которого является товарищество собственников жилья; 5 - специальный счет, владельцем которого является жилищный кооператив; 6 - специальный счет, владельцем которого является лицо, не указанное в кодах 2 – 5;</t>
  </si>
  <si>
    <t>П</t>
  </si>
  <si>
    <t>крыша</t>
  </si>
  <si>
    <t>Итого</t>
  </si>
  <si>
    <t>ремонт</t>
  </si>
  <si>
    <t>К</t>
  </si>
  <si>
    <t>строительный контроль</t>
  </si>
  <si>
    <t>внутридомовая инженерная система теплоснабжения</t>
  </si>
  <si>
    <t>внутридомовая инженерная система холодного водоснабжения</t>
  </si>
  <si>
    <t>внутридомовая инженерная система горячего водоснабжения</t>
  </si>
  <si>
    <t>Пр</t>
  </si>
  <si>
    <t>г. Томск, ул. Дзержинского, д. 26</t>
  </si>
  <si>
    <t>фундамент</t>
  </si>
  <si>
    <t>подвальные помещения, относящиеся к общему имуществу МКД</t>
  </si>
  <si>
    <t>внутридомовая инженерная система газоснабжения</t>
  </si>
  <si>
    <t>фасад</t>
  </si>
  <si>
    <t>переустройство невентилируемой крыши на вентилируемую крышу</t>
  </si>
  <si>
    <t>внутридомовая инженерная система электроснабжения</t>
  </si>
  <si>
    <t>г. Томск, ул. Войкова, д. 84а</t>
  </si>
  <si>
    <t>г. Томск, ул. Говорова, д. 34</t>
  </si>
  <si>
    <t>внутридомовая инженерная система водоотведения</t>
  </si>
  <si>
    <t>г. Томск, пр-кт Кирова, д. 53/1</t>
  </si>
  <si>
    <t>г. Томск, пр-кт Кирова, д. 55</t>
  </si>
  <si>
    <t>г. Томск, пр-кт Кирова, д. 56</t>
  </si>
  <si>
    <t>г. Томск, ул. Дзержинского, д. 24</t>
  </si>
  <si>
    <t>г. Томск, ул. Дзержинского, д. 34в</t>
  </si>
  <si>
    <t>г. Томск, ул. Дзержинского, д. 34г</t>
  </si>
  <si>
    <t>г. Томск, ул. Елизаровых, д. 39</t>
  </si>
  <si>
    <t>г. Томск, ул. Енисейская, д. 15</t>
  </si>
  <si>
    <t>г. Томск, ул. Карташова, д. 54</t>
  </si>
  <si>
    <t>г. Томск, ул. Киевская, д. 66</t>
  </si>
  <si>
    <t>г. Томск, ул. Советская, д. 110</t>
  </si>
  <si>
    <t>г. Томск, ул. Тимакова, д. 3</t>
  </si>
  <si>
    <t>г. Томск, ул. Усова, д. 10а</t>
  </si>
  <si>
    <t>г. Томск, ул. Усова, д. 23а</t>
  </si>
  <si>
    <t>г. Томск, ул. Усова, д. 58</t>
  </si>
  <si>
    <t>г. Томск, ул. Усова, д. 60</t>
  </si>
  <si>
    <t>г. Томск, ул. Учебная, д. 20</t>
  </si>
  <si>
    <t>г. Томск, пер. Шпальный, д. 5</t>
  </si>
  <si>
    <t>несущие и ограждающие ненесущие конструкции, не отнесенные в соответствии с законодательством о градостроительной деятельности к реконструкции объектов капитального строительства</t>
  </si>
  <si>
    <t>г. Томск, пр-кт Ленина, д. 212а</t>
  </si>
  <si>
    <t>г. Томск, проезд Кольцевой, д. 12</t>
  </si>
  <si>
    <t>г. Томск, проезд Кольцевой, д. 14</t>
  </si>
  <si>
    <t>г. Томск, ул. Войкова, д. 84б</t>
  </si>
  <si>
    <t>г. Томск, ул. Мельничная, д. 79</t>
  </si>
  <si>
    <t>г. Томск, ул. Розы Люксембург, д. 42</t>
  </si>
  <si>
    <t>г. Томск, ул. Стрелочная, д. 1б</t>
  </si>
  <si>
    <t>г. Томск, пер. Карский, д. 31</t>
  </si>
  <si>
    <t>г. Томск, пер. Новый, д. 1</t>
  </si>
  <si>
    <t>г. Томск, пер. Сергея Лазо, д. 6</t>
  </si>
  <si>
    <t>г. Томск, ул. Бела Куна, д. 14</t>
  </si>
  <si>
    <t>г. Томск, ул. Беринга, д. 1/1</t>
  </si>
  <si>
    <t>г. Томск, ул. Беринга, д. 1/2</t>
  </si>
  <si>
    <t>г. Томск, ул. Беринга, д. 1/3</t>
  </si>
  <si>
    <t>г. Томск, ул. Железнодорожная, д. 5</t>
  </si>
  <si>
    <t>г. Томск, ул. Ивана Черных, д. 115</t>
  </si>
  <si>
    <t>г. Томск, ул. Лазарева, д. 4а</t>
  </si>
  <si>
    <t>г. Томск, ул. Лазарева, д. 6а</t>
  </si>
  <si>
    <t>г. Томск, ул. Лазарева, д. 8</t>
  </si>
  <si>
    <t>г. Томск, ул. Мичурина, д. 63</t>
  </si>
  <si>
    <t>г. Томск, ул. Мичурина, д. 69</t>
  </si>
  <si>
    <t>г. Томск, ул. Мичурина, д. 81</t>
  </si>
  <si>
    <t>г. Томск, ул. Партизанская, д. 4</t>
  </si>
  <si>
    <t>г. Томск, ул. Пушкина, д. 52в</t>
  </si>
  <si>
    <t>г. Томск, ул. Пушкина, д. 52д</t>
  </si>
  <si>
    <t>г. Томск, ул. Северный городок, д. 58</t>
  </si>
  <si>
    <t>г. Томск, ул. Северный городок, д. 59</t>
  </si>
  <si>
    <t>г. Томск, пр-кт Кирова, д. 62</t>
  </si>
  <si>
    <t>г. Томск, ул. Алексея Беленца, д. 2а</t>
  </si>
  <si>
    <t>г. Томск, ул. Алексея Беленца, д. 17</t>
  </si>
  <si>
    <t>г. Томск, ул. Белинского, д. 28/1</t>
  </si>
  <si>
    <t>г. Томск, ул. Гагарина, д. 5/1</t>
  </si>
  <si>
    <t>г. Томск, ул. Гагарина, д. 52</t>
  </si>
  <si>
    <t>г. Томск, ул. Герцена, д. 74</t>
  </si>
  <si>
    <t>г. Томск, ул. Елизаровых, д. 42</t>
  </si>
  <si>
    <t>г. Томск, ул. Крылова, д. 10а</t>
  </si>
  <si>
    <t>г. Томск, ул. Кулагина, д. 15</t>
  </si>
  <si>
    <t>г. Томск, ул. Некрасова, д. 61</t>
  </si>
  <si>
    <t>г. Томск, ул. Новгородская, д. 44</t>
  </si>
  <si>
    <t>г. Томск, ул. Новгородская, д. 48</t>
  </si>
  <si>
    <t>г. Томск, ул. Сибирская, д. 101</t>
  </si>
  <si>
    <t>г. Томск, ул. Шевченко, д. 48</t>
  </si>
  <si>
    <t>с. Александровское, ул. Таежная, д. 19а</t>
  </si>
  <si>
    <t>ПСД</t>
  </si>
  <si>
    <t>12.2017</t>
  </si>
  <si>
    <t>с. Александровское, ул. Таежная, д. 28</t>
  </si>
  <si>
    <t>СМР</t>
  </si>
  <si>
    <t>г. Асино, ул. АВПУ, д. 27</t>
  </si>
  <si>
    <t>г. Асино, ул. АВПУ, д. 33</t>
  </si>
  <si>
    <t xml:space="preserve">г. Асино, ул. им. В.В.Липатова, д. 27  </t>
  </si>
  <si>
    <t>г. Асино, ул. им. В.В.Липатова, д. 34</t>
  </si>
  <si>
    <t>ПСД, СМР (н)</t>
  </si>
  <si>
    <t>12.2018</t>
  </si>
  <si>
    <t>г. Асино, ул. им. Ивана Черных, д. 18</t>
  </si>
  <si>
    <t>г. Асино, ул. им. Ленина, д. 31а</t>
  </si>
  <si>
    <t xml:space="preserve">г. Асино, ул. им. Чернышевского, д. 6а  </t>
  </si>
  <si>
    <t>г. Асино, ул. Лесозаводская, д. 31</t>
  </si>
  <si>
    <t>г. Асино, ул. Тимирязева, д. 17/2</t>
  </si>
  <si>
    <t>г. Асино, ул. Транспортная, д. 1</t>
  </si>
  <si>
    <t>г. Асино, ул. Транспортная, д. 12</t>
  </si>
  <si>
    <t>п. Светлый, ул. Сидоренко, д. 17</t>
  </si>
  <si>
    <t>с. Ново-Кусково, ул. Библиотечная, д. 9</t>
  </si>
  <si>
    <t>рп. Белый Яр, ул. Гагарина, д. 56</t>
  </si>
  <si>
    <t>рп. Белый Яр, ул. Космонавтов, д. 10</t>
  </si>
  <si>
    <t>рп. Белый Яр, ул. Российская, д. 1</t>
  </si>
  <si>
    <t>г. Кедровый, мкр. 1-й, д. 9</t>
  </si>
  <si>
    <t>г. Кедровый, мкр. 1-й, д. 10</t>
  </si>
  <si>
    <t>г. Северск, пр-кт Коммунистический, д. 20</t>
  </si>
  <si>
    <t>г. Северск, пр-кт Коммунистический, д. 33</t>
  </si>
  <si>
    <t>ХВС, ГВС, ТС</t>
  </si>
  <si>
    <t>г. Северск, пр-кт Коммунистический, д. 55</t>
  </si>
  <si>
    <t>г. Северск, пр-кт Коммунистический, д. 90</t>
  </si>
  <si>
    <t>г. Северск, пр-кт Коммунистический, д. 117</t>
  </si>
  <si>
    <t>ЛО</t>
  </si>
  <si>
    <t>ПСД, СМР</t>
  </si>
  <si>
    <t>г. Северск, ул. 40 лет Октября, д. 3</t>
  </si>
  <si>
    <t>г. Северск, ул. Горького, д. 4</t>
  </si>
  <si>
    <t>г. Северск, ул. Ершова, д. 6</t>
  </si>
  <si>
    <t>г. Северск, ул. Калинина, д. 14</t>
  </si>
  <si>
    <t>г. Северск, ул. Калинина, д. 16</t>
  </si>
  <si>
    <t>ГВС</t>
  </si>
  <si>
    <t>г. Северск, ул. Калинина, д. 27</t>
  </si>
  <si>
    <t>г. Северск, ул. Калинина, д. 41</t>
  </si>
  <si>
    <t>г. Северск, ул. Калинина, д. 46</t>
  </si>
  <si>
    <t>г. Северск, ул. Калинина, д. 83</t>
  </si>
  <si>
    <t>г. Северск, ул. Кирова, д. 3</t>
  </si>
  <si>
    <t>г. Северск, ул. Кирова, д. 9</t>
  </si>
  <si>
    <t>г. Северск, ул. Комсомольская, д. 20</t>
  </si>
  <si>
    <t>ХВС, ГВС</t>
  </si>
  <si>
    <t>г. Северск, ул. Комсомольская, д. 22</t>
  </si>
  <si>
    <t>г. Северск, ул. Комсомольская, д. 24</t>
  </si>
  <si>
    <t>г. Северск, ул. Комсомольская, д. 26</t>
  </si>
  <si>
    <t>г. Северск, ул. Крупской, д. 14а</t>
  </si>
  <si>
    <t>ХВС, ГВС, ВО</t>
  </si>
  <si>
    <t>г. Северск, ул. Ленина, д. 6</t>
  </si>
  <si>
    <t>г. Северск, ул. Ленина, д. 10</t>
  </si>
  <si>
    <t>г. Северск, ул. Ленина, д. 22</t>
  </si>
  <si>
    <t>г. Северск, ул. Ленина, д. 34</t>
  </si>
  <si>
    <t>г. Северск, ул. Ленина, д. 96</t>
  </si>
  <si>
    <t>г. Северск, ул. Ленина, д. 104</t>
  </si>
  <si>
    <t>г. Северск, ул. Ленинградская, д. 6</t>
  </si>
  <si>
    <t>г. Северск, ул. Леонтичука, д. 8</t>
  </si>
  <si>
    <t>г. Северск, ул. Леонтичука, д. 9</t>
  </si>
  <si>
    <t>г. Северск, ул. Маяковского, д. 14</t>
  </si>
  <si>
    <t>г. Северск, ул. Мира, д. 10</t>
  </si>
  <si>
    <t>г. Северск, ул. Первомайская, д. 31</t>
  </si>
  <si>
    <t>г. Северск, ул. Победы, д. 2</t>
  </si>
  <si>
    <t>г. Северск, ул. Победы, д. 4</t>
  </si>
  <si>
    <t>г. Северск, ул. Победы, д. 6а</t>
  </si>
  <si>
    <t>г. Северск, ул. Победы, д. 14</t>
  </si>
  <si>
    <t>1988, 1989</t>
  </si>
  <si>
    <t>г. Северск, ул. Пушкина, д. 3</t>
  </si>
  <si>
    <t>г. Северск, ул. Пушкина, д. 9</t>
  </si>
  <si>
    <t>г. Северск, ул. Пушкина, д. 10а</t>
  </si>
  <si>
    <t>г. Северск, ул. Свердлова, д. 3</t>
  </si>
  <si>
    <t>г. Северск, ул. Свердлова, д. 5</t>
  </si>
  <si>
    <t>г. Северск, ул. Солнечная, д. 3</t>
  </si>
  <si>
    <t>г. Северск, ул. Строителей, д. 3</t>
  </si>
  <si>
    <t>г. Северск, ул. Транспортная, д. 100</t>
  </si>
  <si>
    <t>г. Северск, ул. Тупиковая, д. 10</t>
  </si>
  <si>
    <t>пос. Самусь, ул. Карла Маркса, д. 1</t>
  </si>
  <si>
    <t>Ф</t>
  </si>
  <si>
    <t>пос. Самусь, ул. Ленина, д. 7</t>
  </si>
  <si>
    <t>пос. Самусь, ул. Ленина, д. 9</t>
  </si>
  <si>
    <t>пос. Самусь, ул. Ленина, д. 11</t>
  </si>
  <si>
    <t>пос. Самусь, ул. Ленина, д. 20а</t>
  </si>
  <si>
    <t>ТС</t>
  </si>
  <si>
    <t>г. Стрежевой, мкр. 1-й, д. 146</t>
  </si>
  <si>
    <t>г. Стрежевой, мкр. 1-й, д. 148</t>
  </si>
  <si>
    <t>г. Стрежевой, мкр. 2-й, д. 223</t>
  </si>
  <si>
    <t>ЭС</t>
  </si>
  <si>
    <t>г. Стрежевой, мкр. 3-й, д. 302</t>
  </si>
  <si>
    <t>г. Стрежевой, мкр. 3-й, д. 303</t>
  </si>
  <si>
    <t>г. Стрежевой, мкр. 3-й, д. 305</t>
  </si>
  <si>
    <t>г. Стрежевой, мкр. 4-й, д. 410</t>
  </si>
  <si>
    <t>г. Стрежевой, мкр. 4-й, д. 413</t>
  </si>
  <si>
    <t>г. Стрежевой, мкр. 4-й, д. 414</t>
  </si>
  <si>
    <t>г. Стрежевой, мкр. 4-й, д. 426</t>
  </si>
  <si>
    <t>г. Стрежевой, мкр. 5-й, д. 516</t>
  </si>
  <si>
    <t>г. Стрежевой, мкр. 5-й, д. 518</t>
  </si>
  <si>
    <t>г. Стрежевой, ул. Викулова, д. 10</t>
  </si>
  <si>
    <t>ТС, ХВС, ВО</t>
  </si>
  <si>
    <t>г. Стрежевой, ул. Новая, д. 7а</t>
  </si>
  <si>
    <t>г. Стрежевой, ул. Новая, д. 8</t>
  </si>
  <si>
    <t>г. Стрежевой, ул. Новая, д. 91</t>
  </si>
  <si>
    <t>Кировский район</t>
  </si>
  <si>
    <t>г. Томск, д. Лоскутово, ул. Гагарина, д. 47</t>
  </si>
  <si>
    <t>г. Томск, д. Лоскутово, ул. Ленина, д. 16</t>
  </si>
  <si>
    <t xml:space="preserve">ПСД </t>
  </si>
  <si>
    <t>г. Томск, д. Лоскутово, ул. Октябрьская, д. 1</t>
  </si>
  <si>
    <t>г. Томск, д. Лоскутово, ул. Октябрьская, д. 2</t>
  </si>
  <si>
    <t>г. Томск, Московский тракт, д. 70/1</t>
  </si>
  <si>
    <t>г. Томск, пер. Нахимова, д. 14/1</t>
  </si>
  <si>
    <t>г. Томск, пер. Промышленный, д. 9</t>
  </si>
  <si>
    <t>ТС, ХВС, ГВС</t>
  </si>
  <si>
    <t>г. Томск, пр-кт Кирова, д. 34</t>
  </si>
  <si>
    <t>г. Томск, пр-кт Кирова, д. 34а</t>
  </si>
  <si>
    <t>г. Томск, пр-кт Кирова, д. 37</t>
  </si>
  <si>
    <t>г. Томск, с. Дзержинское, ул. Заводская, д. 4</t>
  </si>
  <si>
    <t>г. Томск, с. Тимирязевское, ул. Водозаборная, д. 1</t>
  </si>
  <si>
    <t>г. Томск, с. Тимирязевское, ул. Водозаборная, д. 3</t>
  </si>
  <si>
    <t>г. Томск, с. Тимирязевское, ул. Октябрьская, д. 91а</t>
  </si>
  <si>
    <t>г. Томск, с. Тимирязевское, ул. Путевая, д. 1а</t>
  </si>
  <si>
    <t>г. Томск, с. Тимирязевское, ул. Путевая, д. 1д</t>
  </si>
  <si>
    <t>г. Томск, ул. Артема, д. 3</t>
  </si>
  <si>
    <t>г. Томск, ул. Артема, д. 6</t>
  </si>
  <si>
    <t>г. Томск, ул. Белинского, д. 84</t>
  </si>
  <si>
    <t>г. Томск, ул. Белинского, д. 86</t>
  </si>
  <si>
    <t>г. Томск, ул. Герцена, д. 15</t>
  </si>
  <si>
    <t>Ф, ПП</t>
  </si>
  <si>
    <t>г. Томск, ул. Дзержинского, д. 60а</t>
  </si>
  <si>
    <t>г. Томск, ул. Елизаровых, д. 12</t>
  </si>
  <si>
    <t>г. Томск, ул. Елизаровых, д. 17/1</t>
  </si>
  <si>
    <t>г. Томск, ул. Елизаровых, д. 24</t>
  </si>
  <si>
    <t>г. Томск, ул. Елизаровых, д. 25</t>
  </si>
  <si>
    <t>г. Томск, ул. Елизаровых, д. 27</t>
  </si>
  <si>
    <t>г. Томск, ул. Елизаровых, д. 41</t>
  </si>
  <si>
    <t>г. Томск, ул. Елизаровых, д. 45</t>
  </si>
  <si>
    <t>г. Томск, ул. Елизаровых, д. 51</t>
  </si>
  <si>
    <t>г. Томск, ул. Енисейская, д. 23</t>
  </si>
  <si>
    <t>ГС</t>
  </si>
  <si>
    <t>г. Томск, ул. Карпова, д. 23</t>
  </si>
  <si>
    <t>г. Томск, ул. Карташова, д. 42в</t>
  </si>
  <si>
    <t>г. Томск, ул. Карташова, д. 68</t>
  </si>
  <si>
    <t>г. Томск, ул. Киевская, д. 86</t>
  </si>
  <si>
    <t>г. Томск, ул. Киевская, д. 88</t>
  </si>
  <si>
    <t>г. Томск, ул. Киевская, д. 109/1</t>
  </si>
  <si>
    <t>г. Томск, ул. Короленко, д. 11</t>
  </si>
  <si>
    <t>г. Томск, ул. Короленко, д. 19</t>
  </si>
  <si>
    <t>г. Томск, ул. Косарева, д. 19</t>
  </si>
  <si>
    <t>г. Томск, ул. Котовского, д. 6</t>
  </si>
  <si>
    <t>г. Томск, ул. Котовского, д. 10</t>
  </si>
  <si>
    <t>г. Томск, ул. Котовского, д. 12</t>
  </si>
  <si>
    <t>г. Томск, ул. Красноармейская, д. 134</t>
  </si>
  <si>
    <t>г. Томск, ул. Кулева, д. 32</t>
  </si>
  <si>
    <t>г. Томск, ул. Мокрушина, д. 12а</t>
  </si>
  <si>
    <t>г. Томск, ул. Пирогова, д. 19</t>
  </si>
  <si>
    <t>г. Томск, ул. Савиных, д. 13</t>
  </si>
  <si>
    <t>г. Томск, ул. Советская, д. 46</t>
  </si>
  <si>
    <t>К, РУФ</t>
  </si>
  <si>
    <t>г. Томск, ул. Советская, д. 48</t>
  </si>
  <si>
    <t>г. Томск, ул. Советская, д. 105</t>
  </si>
  <si>
    <t>1982, 1983, 1985</t>
  </si>
  <si>
    <t>г. Томск, ул. Студенческая, д. 5а</t>
  </si>
  <si>
    <t>г. Томск, ул. Студенческая, д. 7</t>
  </si>
  <si>
    <t>г. Томск, ул. Тверская, д. 105</t>
  </si>
  <si>
    <t>г. Томск, ул. Усова, д. 15/1</t>
  </si>
  <si>
    <t>г. Томск, ул. Усова, д. 37</t>
  </si>
  <si>
    <t>1967, 1968</t>
  </si>
  <si>
    <t>г. Томск, ул. Усова, д. 37а</t>
  </si>
  <si>
    <t>г. Томск, ул. Учебная, д. 19</t>
  </si>
  <si>
    <t>г. Томск, ул. Учебная, д. 40</t>
  </si>
  <si>
    <t>г. Томск, ул. Учебная, д. 45</t>
  </si>
  <si>
    <t>г. Томск, ул. Щорса, д. 13</t>
  </si>
  <si>
    <t>Ленинский район</t>
  </si>
  <si>
    <t>г. Томск, пер. Красный, д. 5</t>
  </si>
  <si>
    <t>г. Томск, пер. Совпартшкольный, д. 2а</t>
  </si>
  <si>
    <t>г. Томск, пр-кт Ленина, д. 96</t>
  </si>
  <si>
    <t>г. Томск, пр-кт Ленина, д. 108</t>
  </si>
  <si>
    <t>г. Томск, пр-кт Ленина, д. 149</t>
  </si>
  <si>
    <t>г. Томск, пр-кт Ленина, д. 235</t>
  </si>
  <si>
    <t>г. Томск, пр-кт Мира, д. 3</t>
  </si>
  <si>
    <t>г. Томск, пр-кт Мира, д. 41</t>
  </si>
  <si>
    <t>г. Томск, ул. 79 Гвардейской Дивизии, д. 8</t>
  </si>
  <si>
    <t>г. Томск, ул. 79 Гвардейской Дивизии, д. 9/1</t>
  </si>
  <si>
    <t>г. Томск, ул. 79 Гвардейской Дивизии, д. 10/1</t>
  </si>
  <si>
    <t>г. Томск, ул. 79 Гвардейской Дивизии, д. 10/2</t>
  </si>
  <si>
    <t>г. Томск, ул. 79 Гвардейской Дивизии, д. 14</t>
  </si>
  <si>
    <t>г. Томск, ул. 79 Гвардейской Дивизии, д. 18</t>
  </si>
  <si>
    <t>г. Томск, ул. 79 Гвардейской Дивизии, д. 20</t>
  </si>
  <si>
    <t>г. Томск, ул. 79 Гвардейской Дивизии, д. 22</t>
  </si>
  <si>
    <t>г. Томск, ул. 79 Гвардейской Дивизии, д. 26</t>
  </si>
  <si>
    <t>г. Томск, ул. Войкова, д. 43а</t>
  </si>
  <si>
    <t>г. Томск, ул. Героев Чубаровцев, д. 22</t>
  </si>
  <si>
    <t>г. Томск, ул. Героев Чубаровцев, д. 30а</t>
  </si>
  <si>
    <t>Ф, ПП, К</t>
  </si>
  <si>
    <t>г. Томск, ул. Говорова, д. 58</t>
  </si>
  <si>
    <t>г. Томск, ул. Интернационалистов, д. 36</t>
  </si>
  <si>
    <t>г. Томск, ул. Карла Ильмера, д. 7/1</t>
  </si>
  <si>
    <t>г. Томск, ул. Карла Ильмера, д. 10</t>
  </si>
  <si>
    <t>г. Томск, ул. Карла Ильмера, д. 12</t>
  </si>
  <si>
    <t>г. Томск, ул. Карла Ильмера, д. 19</t>
  </si>
  <si>
    <t>г. Томск, ул. Карла Маркса, д. 24</t>
  </si>
  <si>
    <t>г. Томск, ул. Крымская, д. 43</t>
  </si>
  <si>
    <t>г. Томск, ул. Мельничная, д. 71</t>
  </si>
  <si>
    <t>г. Томск, ул. Профсоюзная, д. 20а</t>
  </si>
  <si>
    <t>г. Томск, ул. Профсоюзная, д. 33</t>
  </si>
  <si>
    <t>г. Томск, ул. Смирнова, д. 23</t>
  </si>
  <si>
    <t xml:space="preserve">Октябрьский район </t>
  </si>
  <si>
    <t>г. Томск, Иркутский тракт, д. 37/1</t>
  </si>
  <si>
    <t>г. Томск, Иркутский тракт, д. 81/1</t>
  </si>
  <si>
    <t>г. Томск, Иркутский тракт, д. 89</t>
  </si>
  <si>
    <t>г. Томск, Иркутский тракт, д. 152</t>
  </si>
  <si>
    <t>г. Томск, Иркутский тракт, д. 154</t>
  </si>
  <si>
    <t>г. Томск, пер. Сергея Лазо, д. 4</t>
  </si>
  <si>
    <t>г. Томск, пос. Светлый, д. 19</t>
  </si>
  <si>
    <t>г. Томск, ул. Бела Куна, д. 22/2</t>
  </si>
  <si>
    <t>ТС, ХВС, ГВС, ВО</t>
  </si>
  <si>
    <t>г. Томск, ул. Бела Куна, д. 24/2</t>
  </si>
  <si>
    <t>г. Томск, ул. Бела Куна, д. 26/2</t>
  </si>
  <si>
    <t>г. Томск, ул. Беринга, д. 1/4</t>
  </si>
  <si>
    <t>г. Томск, ул. Беринга, д. 24</t>
  </si>
  <si>
    <t>г. Томск, ул. Бирюкова, д. 2</t>
  </si>
  <si>
    <t>г. Томск, ул. Бирюкова, д. 6</t>
  </si>
  <si>
    <t>г. Томск, ул. Вокзальная, д. 23</t>
  </si>
  <si>
    <t>г. Томск, ул. Железнодорожная, д. 11</t>
  </si>
  <si>
    <t>г. Томск, ул. Ивана Черных, д. 111</t>
  </si>
  <si>
    <t>г. Томск, ул. Ивана Черных, д. 113</t>
  </si>
  <si>
    <t>г. Томск, ул. Лазарева, д. 5</t>
  </si>
  <si>
    <t>г. Томск, ул. Любы Шевцовой, д. 7</t>
  </si>
  <si>
    <t>г. Томск, ул. Мичурина, д. 59</t>
  </si>
  <si>
    <t>г. Томск, ул. Мичурина, д. 59а</t>
  </si>
  <si>
    <t>г. Томск, ул. Мичурина, д. 61б</t>
  </si>
  <si>
    <t>г. Томск, ул. Мичурина, д. 67</t>
  </si>
  <si>
    <t>г. Томск, ул. Мичурина, д. 89</t>
  </si>
  <si>
    <t>г. Томск, ул. Мичурина, д. 91</t>
  </si>
  <si>
    <t>г. Томск, ул. Мичурина, д. 93</t>
  </si>
  <si>
    <t>г. Томск, ул. Мичурина, д. 95</t>
  </si>
  <si>
    <t>г. Томск, ул. Партизанская, д. 21</t>
  </si>
  <si>
    <t>г. Томск, ул. Пушкина, д. 25а</t>
  </si>
  <si>
    <t>г. Томск, ул. Северный городок, д. 50</t>
  </si>
  <si>
    <t>г. Томск, ул. Северный городок, д. 53</t>
  </si>
  <si>
    <t>г. Томск, ул. Северный городок, д. 54</t>
  </si>
  <si>
    <t>г. Томск, ул. Сергея Лазо, д. 17</t>
  </si>
  <si>
    <t>Советский район</t>
  </si>
  <si>
    <t>г. Томск, пр-кт Комсомольский, д. 39/3</t>
  </si>
  <si>
    <t>г. Томск, пр-кт Фрунзе, д. 63</t>
  </si>
  <si>
    <t>г. Томск, пр-кт Фрунзе, д. 116</t>
  </si>
  <si>
    <t>г. Томск, пр-кт Фрунзе, д. 121</t>
  </si>
  <si>
    <t>г. Томск, пр-кт Фрунзе, д. 125</t>
  </si>
  <si>
    <t>г. Томск, пр-кт Фрунзе, д. 127</t>
  </si>
  <si>
    <t>г. Томск, пр-кт Фрунзе, д. 131</t>
  </si>
  <si>
    <t>г. Томск, пр-кт Фрунзе, д. 220</t>
  </si>
  <si>
    <t>ГВС, ХВС</t>
  </si>
  <si>
    <t>г. Томск, ул. Алтайская, д. 34</t>
  </si>
  <si>
    <t>г. Томск, ул. Алтайская, д. 72</t>
  </si>
  <si>
    <t>г. Томск, ул. Алтайская, д. 103</t>
  </si>
  <si>
    <t>г. Томск, ул. Алтайская, д. 120</t>
  </si>
  <si>
    <t>г. Томск, ул. Алтайская, д. 124</t>
  </si>
  <si>
    <t>г. Томск, ул. Гагарина, д. 2а</t>
  </si>
  <si>
    <t>г. Томск, ул. Герцена, д. 52</t>
  </si>
  <si>
    <t>г. Томск, ул. Елизаровых, д. 46/1</t>
  </si>
  <si>
    <t>г. Томск, ул. Елизаровых, д. 70</t>
  </si>
  <si>
    <t>г. Томск, ул. Енисейская, д. 4</t>
  </si>
  <si>
    <t>г. Томск, ул. Источная, д. 15в</t>
  </si>
  <si>
    <t>ТС, ХВС, ГВС, ПУ, УУ</t>
  </si>
  <si>
    <t>г. Томск, ул. Киевская, д. 58</t>
  </si>
  <si>
    <t>1990, 1992</t>
  </si>
  <si>
    <t>г. Томск, ул. Крылова, д. 23/1</t>
  </si>
  <si>
    <t>г. Томск, ул. Кулагина, д. 7</t>
  </si>
  <si>
    <t>г. Томск, ул. Кулагина, д. 9</t>
  </si>
  <si>
    <t>г. Томск, ул. Кулагина, д. 31</t>
  </si>
  <si>
    <t>г. Томск, ул. Лебедева, д. 8</t>
  </si>
  <si>
    <t>г. Томск, ул. Никитина, д. 31</t>
  </si>
  <si>
    <t>г. Томск, ул. Сибирская, д. 27/1</t>
  </si>
  <si>
    <t>г. Томск, ул. Сибирская, д. 102</t>
  </si>
  <si>
    <t>г. Томск, ул. Татарская, д. 2а</t>
  </si>
  <si>
    <t>г. Томск, ул. Татарская, д. 43</t>
  </si>
  <si>
    <t>г. Томск, ул. Тверская, д. 75</t>
  </si>
  <si>
    <t>г. Томск, ул. Трамвайная, д. 1</t>
  </si>
  <si>
    <t>г. Томск, ул. Трамвайная, д. 5</t>
  </si>
  <si>
    <t>г. Томск, ул. Шевченко, д. 21</t>
  </si>
  <si>
    <t>с .Зырянское, ул. 60 лет СССР,  д. 7</t>
  </si>
  <si>
    <t>п. Геологический, ул. Энтузиастов, д.19</t>
  </si>
  <si>
    <t>с. Каргасок, ул. Красноармейская, д. 48</t>
  </si>
  <si>
    <t>РУФ</t>
  </si>
  <si>
    <t>с. Каргасок, ул. Красноармейская, д. 91</t>
  </si>
  <si>
    <t>с. Кожевниково, ул. Гагарина, д. 6</t>
  </si>
  <si>
    <t>с. Кожевниково, ул. Калинина, д. 57</t>
  </si>
  <si>
    <t>г. Колпашево, ул. Кирова, д. 6</t>
  </si>
  <si>
    <t>г. Колпашево, ул. Кирова, д. 42/1</t>
  </si>
  <si>
    <t>г. Колпашево, ул. Кирова, д. 46/2</t>
  </si>
  <si>
    <t xml:space="preserve">г. Колпашево, ул. Коммунистическая, д. 14 </t>
  </si>
  <si>
    <t xml:space="preserve">г. Колпашево, ул. Ленина, д. 44 </t>
  </si>
  <si>
    <t xml:space="preserve">г. Колпашево, ул. Матросова, д. 18 </t>
  </si>
  <si>
    <t>г. Колпашево, ул. Мира, д. 24</t>
  </si>
  <si>
    <t>г. Колпашево, ул. Мира, д. 32</t>
  </si>
  <si>
    <t>г. Колпашево, ул. Обская, д. 23</t>
  </si>
  <si>
    <t xml:space="preserve">г. Колпашево, ул. Победы, д. 87 </t>
  </si>
  <si>
    <t xml:space="preserve">г. Колпашево, ул. Советский Север, д. 11 </t>
  </si>
  <si>
    <t>г. Колпашево, ул. Советский Север, д. 61</t>
  </si>
  <si>
    <t>г. Колпашево, ул. Энгельса, д. 30</t>
  </si>
  <si>
    <t xml:space="preserve">с. Тогур, ул. Болотная, д. 7 </t>
  </si>
  <si>
    <t xml:space="preserve">с. Тогур, ул. Титова, д. 3 </t>
  </si>
  <si>
    <t>с. Тогур, ул. Чапаева, д. 1</t>
  </si>
  <si>
    <t xml:space="preserve">с. Тогур, ул. Чапаева, д. 3 </t>
  </si>
  <si>
    <t>с. Тогур, ул. Чапаева, д. 6</t>
  </si>
  <si>
    <t>с. Володино, ул. Молодежная, д. 4</t>
  </si>
  <si>
    <t>с. Кривошеино, ул. Чкалова, д. 10</t>
  </si>
  <si>
    <t>с. Нарга, ул. Олега Кошевого, д. 5</t>
  </si>
  <si>
    <t>с. Нарга, ул. Олега Кошевого, д. 6</t>
  </si>
  <si>
    <t>с. Парабель, ул. Советская, д. 64</t>
  </si>
  <si>
    <t xml:space="preserve">с. Парабель, ул. Советская, д. 92а </t>
  </si>
  <si>
    <t>п. Улу-Юл, ул. Советская, д. 15</t>
  </si>
  <si>
    <t>с. Первомайское, ул. Советская, д.11</t>
  </si>
  <si>
    <t>п. Копылово, ул. Зои Космодемьянской, д. 4</t>
  </si>
  <si>
    <t>п. Копылово, ул. Новая, д. 7</t>
  </si>
  <si>
    <t>п. Молодежный, д. 9</t>
  </si>
  <si>
    <t>п. Молодежный, д. 10</t>
  </si>
  <si>
    <t>п. Рассвет, д. 3</t>
  </si>
  <si>
    <t xml:space="preserve">п. Рассвет, д. 18 </t>
  </si>
  <si>
    <t>с. Богашево, ул. Новостройка, д. 35</t>
  </si>
  <si>
    <t>с. Богашево, ул. Новостройка, д. 45</t>
  </si>
  <si>
    <t>с. Межениновка, ул. Тихая, д. 1</t>
  </si>
  <si>
    <t>с. Томское, ул. Маяковского, д. 20</t>
  </si>
  <si>
    <t>с. Подгорное, ул. 60 лет ВЛКСМ, д. 7а</t>
  </si>
  <si>
    <t>с. Мельниково, пер. Западный, д. 2</t>
  </si>
  <si>
    <t>с. Александровское, ул. Ленина, д. 14</t>
  </si>
  <si>
    <t>с. Александровское, ул. Пушкина, д. 56</t>
  </si>
  <si>
    <t>г. Асино, пер. Электрический, д. 2</t>
  </si>
  <si>
    <t>г. Асино, ул. им. Крупской, д.17</t>
  </si>
  <si>
    <t>г. Асино, ул. им. Куйбышева, д. 8</t>
  </si>
  <si>
    <t>СМР (з)</t>
  </si>
  <si>
    <t>г. Асино, ул. им. В.В.Липатова, д. 36</t>
  </si>
  <si>
    <t>НОК</t>
  </si>
  <si>
    <t>г. Асино, ул. Партизанская, д. 40</t>
  </si>
  <si>
    <t>г. Асино, ул. Рабочая, д. 103</t>
  </si>
  <si>
    <t>г. Асино, ул. Транспортная, д. 2</t>
  </si>
  <si>
    <t>СМР (з), ПСД, СМР</t>
  </si>
  <si>
    <t>г. Кедровый, мкр. 1-й, д. 39</t>
  </si>
  <si>
    <t>г. Северск, пр-кт Коммунистический, д. 74</t>
  </si>
  <si>
    <t>г. Северск, пр-кт Коммунистический, д. 116</t>
  </si>
  <si>
    <t>г. Северск, ул. 40 лет Октября, д. 5</t>
  </si>
  <si>
    <t>г. Северск, ул. Ершова, д. 4</t>
  </si>
  <si>
    <t>12.2019</t>
  </si>
  <si>
    <t>г. Северск, ул. Калинина, д. 6</t>
  </si>
  <si>
    <t>г. Северск, ул. Калинина, д. 8</t>
  </si>
  <si>
    <t>г. Северск, ул. Калинина, д. 13</t>
  </si>
  <si>
    <t>г. Северск, ул. Калинина, д. 23</t>
  </si>
  <si>
    <t>г. Северск, ул. Калинина, д. 60</t>
  </si>
  <si>
    <t>г. Северск, ул. Кирова, д. 2</t>
  </si>
  <si>
    <t>г. Северск, ул. Кирова, д. 10</t>
  </si>
  <si>
    <t>г. Северск, ул. Ленина, д. 80</t>
  </si>
  <si>
    <t>г. Северск, ул. Ленина, д. 98</t>
  </si>
  <si>
    <t>г. Северск, ул. Мира, д. 2</t>
  </si>
  <si>
    <t>К, НОК</t>
  </si>
  <si>
    <t>г. Северск, ул. Мира, д. 13</t>
  </si>
  <si>
    <t>г. Северск, ул. Мира, д. 15</t>
  </si>
  <si>
    <t>г. Северск, ул. Парковая, д. 18</t>
  </si>
  <si>
    <t>г. Северск, ул. Первомайская, д. 15</t>
  </si>
  <si>
    <t>г. Северск, ул. Пушкина, д. 1</t>
  </si>
  <si>
    <t>г. Северск, ул. Пушкина, д. 5</t>
  </si>
  <si>
    <t>г. Северск, ул. Северная, д. 14</t>
  </si>
  <si>
    <t>г. Северск, ул. Советская, д. 13</t>
  </si>
  <si>
    <t>г. Северск, ул. Советская, д. 18</t>
  </si>
  <si>
    <t>г. Северск, ул. Советская, д. 22</t>
  </si>
  <si>
    <t>г. Северск, ул. Советская, д. 28</t>
  </si>
  <si>
    <t>г. Северск, ул. Солнечная, д. 7</t>
  </si>
  <si>
    <t>г. Северск, ул. Строителей, д. 4</t>
  </si>
  <si>
    <t>г. Северск, ул. Транспортная, д. 2</t>
  </si>
  <si>
    <t>г. Северск, ул. Транспортная, д. 14</t>
  </si>
  <si>
    <t>г. Северск, ул. Транспортная, д. 18</t>
  </si>
  <si>
    <t>г. Северск, ул. Транспортная, д. 58</t>
  </si>
  <si>
    <t>г. Северск, ул. Тупиковая, д. 6</t>
  </si>
  <si>
    <t>г. Северск, ул. Царевского, д. 18</t>
  </si>
  <si>
    <t xml:space="preserve">ТС, ХВС, ГВС, ВО </t>
  </si>
  <si>
    <t>г. Томск, д. Лоскутово, ул. Гагарина, д. 45</t>
  </si>
  <si>
    <t>г. Томск,  д. Лоскутово, ул. Ленина, д. 19</t>
  </si>
  <si>
    <t>РУФ, К</t>
  </si>
  <si>
    <t>г. Томск, ул. Дзержинского, д. 31а</t>
  </si>
  <si>
    <t>РУФ, Ф, К</t>
  </si>
  <si>
    <t>г. Томск, ул. Дзержинского, д. 34б</t>
  </si>
  <si>
    <t>г. Томск, ул. Дзержинского, д. 36</t>
  </si>
  <si>
    <t>г. Томск, ул. Дзержинского, д. 51а</t>
  </si>
  <si>
    <t>г. Томск, ул. Елизаровых, д. 17</t>
  </si>
  <si>
    <t>г. Томск, ул. Карпова, д. 17</t>
  </si>
  <si>
    <t>г. Томск, ул. Карташова, д. 31а</t>
  </si>
  <si>
    <t>г. Томск, ул. Карташова, д. 31б</t>
  </si>
  <si>
    <t>г. Томск, ул. Киевская, д. 86б</t>
  </si>
  <si>
    <t>ТС, ХВС, ГВС, К</t>
  </si>
  <si>
    <t>г. Томск, ул. Киевская, д. 86г</t>
  </si>
  <si>
    <t>г. Томск, ул. Косарева, д. 23</t>
  </si>
  <si>
    <t>г. Томск, ул. Косарева, д. 25</t>
  </si>
  <si>
    <t>г. Томск, ул. Красноармейская, д. 89а</t>
  </si>
  <si>
    <t>г. Томск, ул. Кузнецова, д. 1</t>
  </si>
  <si>
    <t>г. Томск, ул. Мокрушина, д. 14</t>
  </si>
  <si>
    <t>РУФ, К, ТС</t>
  </si>
  <si>
    <t>ГС, К</t>
  </si>
  <si>
    <t>г. Томск, ул. Усова, д. 52</t>
  </si>
  <si>
    <t>г. Томск, пер. Светлый, д. 36</t>
  </si>
  <si>
    <t>г. Томск, пер. Светлый, д. 40б</t>
  </si>
  <si>
    <t>г. Томск, ул. Войкова, д. 59а</t>
  </si>
  <si>
    <t>ЭС, НОК</t>
  </si>
  <si>
    <t>г. Томск, ул. Интернационалистов, д. 3</t>
  </si>
  <si>
    <t>г. Томск, ул. Нижне-Луговая, д. 1</t>
  </si>
  <si>
    <t>г. Томск, ул. Первомайская, д. 65</t>
  </si>
  <si>
    <t>г. Томск, ул. Первомайская, д. 65а</t>
  </si>
  <si>
    <t>г. Томск, ул. Профсоюзная, д. 35</t>
  </si>
  <si>
    <t>ХВС, ВО</t>
  </si>
  <si>
    <t>г. Томск, ул. Смирнова, д.  40/3</t>
  </si>
  <si>
    <t>г. Томск, пер. Сергея Лазо, д. 2</t>
  </si>
  <si>
    <t>г. Томск, пер. Сергея Лазо, 10/3</t>
  </si>
  <si>
    <t>г. Томск, ул. 79 Гвардейской Дивизии, д. 3</t>
  </si>
  <si>
    <t>ТС, ХВС, ГВС, ВО, К</t>
  </si>
  <si>
    <t>СМР (з), ПСД</t>
  </si>
  <si>
    <t>г. Томск, ул. Беринга, д. 5</t>
  </si>
  <si>
    <t>г. Томск, ул. Беринга, д. 5/2</t>
  </si>
  <si>
    <t>г. Томск, ул. Ивана Черных, д. 107/1</t>
  </si>
  <si>
    <t>г. Томск, ул. Ивана Черных, д. 109/3</t>
  </si>
  <si>
    <t>г. Томск, ул. Ивана Черных, д. 113а</t>
  </si>
  <si>
    <t>г. Томск, ул. Ивана Черных, д. 127</t>
  </si>
  <si>
    <t>г. Томск, ул. Клюева, д. 18</t>
  </si>
  <si>
    <t>1989, 1990</t>
  </si>
  <si>
    <t>г. Томск, ул. Лазарева, д. 2</t>
  </si>
  <si>
    <t>г. Томск, ул. Лазарева, д. 5/1</t>
  </si>
  <si>
    <t>г. Томск, ул. Лазарева, д. 7</t>
  </si>
  <si>
    <t>г. Томск, ул. Лазарева, д. 9</t>
  </si>
  <si>
    <t>г. Томск, ул. Мичурина, д. 51/2</t>
  </si>
  <si>
    <t>г. Томск, ул. Партизанская, д. 6</t>
  </si>
  <si>
    <t>г. Томск, ул. Пушкина, д. 7а</t>
  </si>
  <si>
    <t>г. Томск, ул. Пушкина, д. 27з</t>
  </si>
  <si>
    <t>К, РУФ, НОК</t>
  </si>
  <si>
    <t>РУФ, Ф</t>
  </si>
  <si>
    <t>г. Томск, ул. Яковлева, д. 6</t>
  </si>
  <si>
    <t>г. Томск, пр-кт Ленина, д. 46</t>
  </si>
  <si>
    <t>г. Томск, пр-кт Фрунзе, д. 130</t>
  </si>
  <si>
    <t>1990, 1992, 1995</t>
  </si>
  <si>
    <t>г. Томск, ул. Алтайская, д. 114</t>
  </si>
  <si>
    <t>1883, 1960</t>
  </si>
  <si>
    <t>г. Томск, ул. Олега Кошевого, д. 70</t>
  </si>
  <si>
    <t>г. Томск, ул. Олега Кошевого, д. 73</t>
  </si>
  <si>
    <t>г. Томск, ул. Олега Кошевого, д. 77</t>
  </si>
  <si>
    <t>г. Томск, ул. Салтыкова-Щедрина, д. 48</t>
  </si>
  <si>
    <t>с. Зырянское, ул. Советская, д. 40</t>
  </si>
  <si>
    <t>с. Каргасок, ул. Октябрьская, д. 14</t>
  </si>
  <si>
    <t>с. Каргасок, ул. Красноармейская, д. 35</t>
  </si>
  <si>
    <t>с. Кожевниково, ул. Гагарина, д. 8</t>
  </si>
  <si>
    <t>ТС, ХВС</t>
  </si>
  <si>
    <t>г. Колпашево, пер. Кооперативный тупик, д. 7</t>
  </si>
  <si>
    <t>г. Колпашево, ул. Кирова, д. 2</t>
  </si>
  <si>
    <t>г. Колпашево, ул. Кирова, д. 4</t>
  </si>
  <si>
    <t>г. Колпашево, ул. Кирова, д. 8</t>
  </si>
  <si>
    <t>г. Колпашево, ул. Кирова, д. 48/1</t>
  </si>
  <si>
    <t>г. Колпашево, ул. Ленина, д. 41/1</t>
  </si>
  <si>
    <t>г. Колпашево, ул. Обская, д. 75</t>
  </si>
  <si>
    <t>г. Колпашево, ул. Победы, д. 87</t>
  </si>
  <si>
    <t>г. Колпашево, ул. Победы, д. 117/1</t>
  </si>
  <si>
    <t>с. Озерное, ул. Трактовая, д. 3</t>
  </si>
  <si>
    <t>с. Озерное, ул. Трактовая, д. 5</t>
  </si>
  <si>
    <t>с. Тогур, мкр. Новостройка, д. 4</t>
  </si>
  <si>
    <t>с. Нарга, ул. Олега Кошевого, д. 2</t>
  </si>
  <si>
    <t>с. Нарга, ул. Олега Кошевого, д. 7</t>
  </si>
  <si>
    <t>с. Парабель, ул. Техническая, д. 3</t>
  </si>
  <si>
    <t>д. Кисловка, ул. Мира, д. 1</t>
  </si>
  <si>
    <t>п. Рассвет, д. 2</t>
  </si>
  <si>
    <t>п. Рассвет, д. 4</t>
  </si>
  <si>
    <t>п. Рассвет, д. 14</t>
  </si>
  <si>
    <t>с. Богашево, ул. Народная, д. 5</t>
  </si>
  <si>
    <t>с. Богашево, ул. Народная, д. 7</t>
  </si>
  <si>
    <t>с. Моряковский Затон, ул. Советская, д. 25а</t>
  </si>
  <si>
    <t>с. Подгорное, ул. 60 лет ВЛКСМ, д. 27</t>
  </si>
  <si>
    <t>с. Мельниково, пер. Базарный, д. 7</t>
  </si>
  <si>
    <t>с. Мельниково, ул. Ленина, д. 13</t>
  </si>
  <si>
    <t>с. Мельниково, пер. Почтовый, д. 4</t>
  </si>
  <si>
    <t>с. Бакчар, пер. Трактовый, д. 19</t>
  </si>
  <si>
    <t>г. Северск, ул. Калинина, д. 96</t>
  </si>
  <si>
    <t>1992, 1993</t>
  </si>
  <si>
    <t>г. Северск, ул. Ленина, д. 14</t>
  </si>
  <si>
    <t>г. Северск, ул. Парковая, д. 22</t>
  </si>
  <si>
    <t>г. Северск, ул. Царевского, д. 8</t>
  </si>
  <si>
    <t xml:space="preserve">СМР  </t>
  </si>
  <si>
    <t>г. Томск, ул.  Усова, д. 58</t>
  </si>
  <si>
    <t xml:space="preserve">ЭС </t>
  </si>
  <si>
    <t>с. Зырянское, ул. Советская, д. 15</t>
  </si>
  <si>
    <t>Д</t>
  </si>
  <si>
    <t>разработка проектной документации, включая проведение проверки достоверности определения сметной стоимости</t>
  </si>
  <si>
    <t xml:space="preserve">ремонт </t>
  </si>
  <si>
    <t xml:space="preserve">г. Асино, ул. АВПУ, д. 33  </t>
  </si>
  <si>
    <t xml:space="preserve">г. Асино, ул. Лесозаводская, д. 31  </t>
  </si>
  <si>
    <t xml:space="preserve">г. Асино, ул. Тимирязева, д. 17/2  </t>
  </si>
  <si>
    <t xml:space="preserve">п. Светлый, ул. Сидоренко, д. 17  </t>
  </si>
  <si>
    <t xml:space="preserve">г. Северск, пр-кт Коммунистический, д. 20 </t>
  </si>
  <si>
    <t>лифтовое оборудование (подъезд № 1)</t>
  </si>
  <si>
    <t>замена</t>
  </si>
  <si>
    <t>коллективный (общедомовой) прибор учета потребления горячего водоснабжения, необходимый для предоставления горячего водоснабжения, узел управления и регулирования потребления горячего водоснабжения</t>
  </si>
  <si>
    <t xml:space="preserve">г. Северск, ул. Калинина, д. 41 </t>
  </si>
  <si>
    <t xml:space="preserve">П </t>
  </si>
  <si>
    <t>лифтовое оборудование (подъезд № 5)</t>
  </si>
  <si>
    <t>лифтовое оборудование (подъезд № 2)</t>
  </si>
  <si>
    <t>лифтовое оборудование (подъезд № 3)</t>
  </si>
  <si>
    <t>лифтовое оборудование (подъезд № 4)</t>
  </si>
  <si>
    <t>лифтовое оборудование (подъезд № 6)</t>
  </si>
  <si>
    <t>лифтовое оборудование (подъезд № 7)</t>
  </si>
  <si>
    <t>лифтовое оборудование (подъезд № 8)</t>
  </si>
  <si>
    <t>лифтовое оборудование (подъезд № 9)</t>
  </si>
  <si>
    <t xml:space="preserve">г. Северск, ул. Тупиковая, д. 10 </t>
  </si>
  <si>
    <t>коллективный (общедомовой) прибор учета потребления тепловой энергии, необходимый для предоставления теплоснабжения, узел управления и регулирования потребления тепловой энергии</t>
  </si>
  <si>
    <t>установка</t>
  </si>
  <si>
    <t xml:space="preserve">г. Стрежевой, мкр. 1-й, д. 148 </t>
  </si>
  <si>
    <t xml:space="preserve">г. Стрежевой, мкр. 2-й, д. 223 </t>
  </si>
  <si>
    <t xml:space="preserve">г. Стрежевой, ул. Новая, д. 7а </t>
  </si>
  <si>
    <t xml:space="preserve">г. Стрежевой, ул. Новая, д. 8 </t>
  </si>
  <si>
    <t xml:space="preserve">г. Стрежевой, ул. Новая, д. 91 </t>
  </si>
  <si>
    <t xml:space="preserve">г. Томск, ул. Советская, д. 46 </t>
  </si>
  <si>
    <t>коллективный (общедомовой) прибор учета потребления тепловой энергии, необходимый для предоставления теплоснабжения, коллективный (общедомовой) прибор учета потребления горячей воды, необходимый для предоставления горячего водоснабжения, коллективный (общедомовой) прибор учета потребления холодной воды, необходимый для предоставления холодного водоснабжения</t>
  </si>
  <si>
    <t>узел управления и регулирования потребления тепловой энергии</t>
  </si>
  <si>
    <t xml:space="preserve">г. Томск, ул. Профсоюзная, д. 20а </t>
  </si>
  <si>
    <t>проведение государственной историко-культурной экспертизы</t>
  </si>
  <si>
    <t xml:space="preserve">г. Томск, пр-кт Фрунзе, д. 220 </t>
  </si>
  <si>
    <t>узел управления и регулирования потребления тепловой энергии, коллективные (общедомовые) приборы учета потребления горячего, холодного водоснабжения и теплоснабжения, необходимые для предоставления  горячей, холодной воды и тепловой энергии</t>
  </si>
  <si>
    <t xml:space="preserve">г. Томск, ул. Кулагина, д. 31 </t>
  </si>
  <si>
    <t>с. Зырянское, ул. 60 лет СССР, д. 7</t>
  </si>
  <si>
    <t>с. Каргасок, ул. Красноармейская, д.48</t>
  </si>
  <si>
    <t>итого</t>
  </si>
  <si>
    <t>разработка проектной документации, включая проведение проверки достоверности определения сметной стоимости (ремонт)</t>
  </si>
  <si>
    <t>разработка проектной документации, включая проведение проверки достоверности определения сметной стоимости (утепление)</t>
  </si>
  <si>
    <t>с. Каргасок, ул. Красноармейская, д.91</t>
  </si>
  <si>
    <t>утепление</t>
  </si>
  <si>
    <t xml:space="preserve">с. Кожевниково, ул. Калинина, д. 57 </t>
  </si>
  <si>
    <t xml:space="preserve">с. Кривошеино, ул. Чкалова, д. 10 </t>
  </si>
  <si>
    <t xml:space="preserve">с. Нарга, ул. Олега Кошевого, д. 5 </t>
  </si>
  <si>
    <t xml:space="preserve">с. Нарга, ул. Олега Кошевого, д. 6 </t>
  </si>
  <si>
    <t xml:space="preserve">п. Улу-Юл, ул. Советская, д.15 </t>
  </si>
  <si>
    <t>коллективные (общедомовые) приборы учета потребления  тепловой энергии, холодной воды, необходимые для предоставления   теплоснабжения, холодного водоснабжения, узлы управления и регулирования потребления тепловой энергии,  холодной воды</t>
  </si>
  <si>
    <t xml:space="preserve">с. Подгорное, ул. 60 лет ВЛКСМ, д. 7а </t>
  </si>
  <si>
    <t>г. Асино, ул. им. Крупской, д. 17</t>
  </si>
  <si>
    <t>г. Асино, ул. им. В.В. Липатова, д. 36</t>
  </si>
  <si>
    <t xml:space="preserve">г. Асино, ул. им. Ленина, д. 31а  </t>
  </si>
  <si>
    <t xml:space="preserve">г. Северск, пр-кт Коммунистический, д. 74 </t>
  </si>
  <si>
    <t xml:space="preserve">Пр </t>
  </si>
  <si>
    <t xml:space="preserve">К </t>
  </si>
  <si>
    <t xml:space="preserve">внутридомовая инженерная система холодного водоснабжения </t>
  </si>
  <si>
    <t>коллективный (общедомовой) прибор учета потребления тепловой энергии необходимый для предоставления теплоснабжения, прибор учета потребления холодной воды необходимый для предоставления холодного водоснабжения, узел управления и регулирования потребления тепловой энергии, узел управления и регулирования потребления холодной воды</t>
  </si>
  <si>
    <t>с. Каргасок, ул. Октябрьская, д.14</t>
  </si>
  <si>
    <t>с. Каргасок, ул. Красноармейская, д.35</t>
  </si>
  <si>
    <t xml:space="preserve">фасад </t>
  </si>
  <si>
    <t xml:space="preserve">г. Колпашево, ул. Ленина, д. 41/1 </t>
  </si>
  <si>
    <t xml:space="preserve">г. Асино, ул. Рабочая, д. 103  </t>
  </si>
  <si>
    <t xml:space="preserve">г. Северск, ул. Калинина, д. 14 </t>
  </si>
  <si>
    <t xml:space="preserve">СМР </t>
  </si>
  <si>
    <t>СМР, ПСД</t>
  </si>
  <si>
    <t>г. Асино, ул. им. Ленина, д. 90</t>
  </si>
  <si>
    <t>г. Асино, ул. им. Ю. Гагарина, д. 6</t>
  </si>
  <si>
    <t>ХВС, ТС, ВО</t>
  </si>
  <si>
    <t>с. Тогур, мкр Новостройка,  д. 4</t>
  </si>
  <si>
    <t>ЭС, ТС, ХВС, ГВС, ВО, ПУ, УУ</t>
  </si>
  <si>
    <t>г. Северск, ул. Солнечная, д. 7а</t>
  </si>
  <si>
    <t>г. Северск, ул. Солнечная, д. 13</t>
  </si>
  <si>
    <t>ПУ, УУ</t>
  </si>
  <si>
    <t>г. Томск, д. Лоскутово, ул. Ленина, д. 20</t>
  </si>
  <si>
    <t>г. Томск, пер. Ботанический, д. 7</t>
  </si>
  <si>
    <t>г. Томск, пер. Ботанический, д. 10</t>
  </si>
  <si>
    <t>г. Томск, пер. Ботанический, д. 12</t>
  </si>
  <si>
    <t>г. Томск, ул. Белинского, д. 21/1</t>
  </si>
  <si>
    <t>г. Томск, ул. Косарева, д. 8</t>
  </si>
  <si>
    <t>г. Томск, ул. Матросова, д. 6</t>
  </si>
  <si>
    <t>г. Томск, ул. Советская, д. 70</t>
  </si>
  <si>
    <t>г. Томск, ул. Советская, д. 99</t>
  </si>
  <si>
    <t>г. Томск, ул. Студенческая, д. 15/1</t>
  </si>
  <si>
    <t>г. Томск, пер. Карповский, д. 3</t>
  </si>
  <si>
    <t>г. Томск, пр-кт Ленина, д. 128/1</t>
  </si>
  <si>
    <t>г. Томск, пер. Баранчуковский, д. 35</t>
  </si>
  <si>
    <t>г. Томск, ул. Карла Ильмера, д. 21</t>
  </si>
  <si>
    <t>г. Томск, ул. Смирнова, д. 30</t>
  </si>
  <si>
    <t>г. Томск, ул. Смирнова, д. 35</t>
  </si>
  <si>
    <t>г. Томск, тракт Иркутский, д. 39/1</t>
  </si>
  <si>
    <t>г. Томск, тракт Иркутский, д. 116</t>
  </si>
  <si>
    <t>г. Томск, пер. Карский, д. 13</t>
  </si>
  <si>
    <t>г. Томск, п. Светлый, д. 17</t>
  </si>
  <si>
    <t>г. Томск, ул. Беринга, д. 22</t>
  </si>
  <si>
    <t>г. Томск, ул. Водопроводная, д. 11</t>
  </si>
  <si>
    <t>г. Томск, ул. Вокзальная, д. 27</t>
  </si>
  <si>
    <t>г. Томск, ул. Вокзальная, д. 43</t>
  </si>
  <si>
    <t>г. Томск, ул. Ивана Черных, д. 30</t>
  </si>
  <si>
    <t>г. Томск, ул. Ивана Черных, д. 91</t>
  </si>
  <si>
    <t>г. Томск, ул. Ивановского, д. 16</t>
  </si>
  <si>
    <t>г. Томск, ул. Клюева, д. 26</t>
  </si>
  <si>
    <t>г. Томск, ул. Лазарева, д. 5/2</t>
  </si>
  <si>
    <t>г. Томск, ул. Мичурина, д. 2</t>
  </si>
  <si>
    <t>г. Томск, ул. Новосибирская, д. 31</t>
  </si>
  <si>
    <t>г. Томск, ул. Пушкина, д. 9</t>
  </si>
  <si>
    <t>г. Томск, ул. Пушкина, д. 22</t>
  </si>
  <si>
    <t>г. Томск, ул. Сергея Лазо, д. 6</t>
  </si>
  <si>
    <t>г. Томск, ул. Сергея Лазо, д. 19</t>
  </si>
  <si>
    <t>г. Томск, ул. Сергея Лазо, д. 26</t>
  </si>
  <si>
    <t>г. Томск, ул. Елизаровых, д. 48/1</t>
  </si>
  <si>
    <t>г. Томск, ул. Елизаровых, д. 68</t>
  </si>
  <si>
    <t>г. Томск, ул. Елизаровых, д. 76</t>
  </si>
  <si>
    <t>г. Томск, ул. Лебедева, д. 11</t>
  </si>
  <si>
    <t>г. Томск, ул. Лебедева, д. 87</t>
  </si>
  <si>
    <t>г. Томск, ул. Льва Толстого, д. 81</t>
  </si>
  <si>
    <t>г. Томск,  д. Лоскутово, ул. Ленина, д. 20</t>
  </si>
  <si>
    <t>Ф, ГС, ХВС, ГВС, ТС, ПУ, УУ</t>
  </si>
  <si>
    <t>ВО, ХВС, ГВС</t>
  </si>
  <si>
    <t>1989, 1991</t>
  </si>
  <si>
    <t>ТС, ЛО</t>
  </si>
  <si>
    <t>1993, 1997</t>
  </si>
  <si>
    <t>1983, 1984</t>
  </si>
  <si>
    <t>1992, 1995</t>
  </si>
  <si>
    <t>СМР (н)</t>
  </si>
  <si>
    <t>выбирается из списка: ЭС - ремонт внутридомовых инженерных систем электроснабжения; ГС - ремонт внутридомовых инженерных систем газоснабжения; ТС - ремонт внутридомовых инженерных систем теплоснабжения; ВО - ремонт внутридомовых инженерных систем водоотведения; ЛО - ремонт или замена лифтового оборудования, признанного непригодным для эксплуатации, ремонт лифтовых шахт; К - ремонт крыш/переустройство невентилируемой крыши на вентилируемую крышу/устройство выходов на кровлю; ПП - ремонт подвальных помещений, относящихся к общему имуществу в многоквартирных домах; РУФ - утепление и (или) ремонт фасадов; Ф - ремонт фундаментов; ГВС - ремонт внутридомовых инженерных систем горячего водоснабжения; ХВС - ремонт внутридомовых инженерных систем холодного водоснабжения; ПУ, УУ - установка коллективных (общедомовых) приборов учета потребления ресурсов необходимых для предоставления коммунальных услуг, и (или) узлов управления и регулирования потребления этих ресурсов (тепловой энергии, горячей и холодной воды, электрической энергии, газа); НОК - ремонт и усиление несущих и ограждающих ненесущих конструкций, не отнесенные в соответствии с законодательством о градостроительной деятельности к реконструкции объектов капитального строительства; НОКр – замена и (или) восстановление несущих строительных конструкций многоквартирного дома и (или) инженерных сетей многоквартирного дома, отнесенные в соответствии с законодательством о градостроительной деятельности к реконструкции объектов капитального строительства; П – устройство, ремонт пандусов и иные работы по приспособлению общего имущества в многоквартирном доме в целях обеспечения его доступности для инвалидов и других маломобильных групп населения;</t>
  </si>
  <si>
    <t xml:space="preserve">разработка проектной документации, включая проведение проверки достоверности определения сметной стоимости (ремонт) </t>
  </si>
  <si>
    <t>разработка проектной документации, включая проведение проверки достоверности определения сметной стоимости (переустройство)</t>
  </si>
  <si>
    <t>п. Зональная Станция, ул. 40 Лет Победы, д. 5</t>
  </si>
  <si>
    <t xml:space="preserve">г. Асино, ул. АВПУ, д. 27  </t>
  </si>
  <si>
    <t>Вид элемента строительных конструкций, оборудования, инженерных систем &lt;1&gt;</t>
  </si>
  <si>
    <t>Вид работы (услуги) по капитальному ремонту &lt;2&gt;</t>
  </si>
  <si>
    <t>ЭС, ТС, ХВС, ГВС</t>
  </si>
  <si>
    <t>ТС, ХВС, ВО, ПУ, УУ</t>
  </si>
  <si>
    <t>ХВС, ГВС, ТС, ВО, ПУ, УУ</t>
  </si>
  <si>
    <t>К, ТС, ПУ, УУ</t>
  </si>
  <si>
    <t>ХВС, ГВС, ТС, ПУ, УУ</t>
  </si>
  <si>
    <t>ТС, ХВС, ГВС, ВО, ПУ, УУ</t>
  </si>
  <si>
    <t>Удельная стоимость капитального ремонта 1 кв. м общей площади помещений МКД</t>
  </si>
  <si>
    <t>Предельная стоимость капитального ремонта 1 кв. м общей площади помещений МКД</t>
  </si>
  <si>
    <t>МКД - многоквартирный дом;</t>
  </si>
  <si>
    <t>г. Кедровый, мкр. 1-й, д. 40</t>
  </si>
  <si>
    <t>с. Кривошеино, ул. Октябрьская, д. 16</t>
  </si>
  <si>
    <t>ТС ХВС</t>
  </si>
  <si>
    <t>с. Кривошеино, ул. Октябрьская, д. 29</t>
  </si>
  <si>
    <t xml:space="preserve">разработка проектной документации, включая проведение проверки достоверности определения сметной стоимости </t>
  </si>
  <si>
    <t>с. Парабель, пер. Почтовый, д. 7</t>
  </si>
  <si>
    <t>с. Парабель, ул. Советская, д. 54</t>
  </si>
  <si>
    <t>ХВС</t>
  </si>
  <si>
    <t>г. Томск, тракт Иркутский, д. 33</t>
  </si>
  <si>
    <t>г. Томск, тракт Иркутский, д. 37</t>
  </si>
  <si>
    <t>г. Томск, тракт Иркутский, д. 72а</t>
  </si>
  <si>
    <t>г. Томск, тракт Иркутский, д. 92</t>
  </si>
  <si>
    <t>г. Томск, тракт Иркутский, д. 102</t>
  </si>
  <si>
    <t>г. Томск, тракт Иркутский, д. 118/2</t>
  </si>
  <si>
    <t>г. Томск, тракт Иркутский, д. 120</t>
  </si>
  <si>
    <t>г. Томск, тракт Иркутский, д. 122</t>
  </si>
  <si>
    <t>г. Томск, тракт Иркутский, д. 124</t>
  </si>
  <si>
    <t>г. Томск, тракт Иркутский, д. 126</t>
  </si>
  <si>
    <t>г. Томск, тракт Иркутский, д. 128а</t>
  </si>
  <si>
    <t>г. Стрежевой, 1-й микрорайон, д. 102а</t>
  </si>
  <si>
    <t>г. Стрежевой, 2-й микрорайон, д. 208</t>
  </si>
  <si>
    <t>г. Стрежевой, 2-й микрорайон, д. 209</t>
  </si>
  <si>
    <t>г. Стрежевой, 2-й микрорайон, д. 210</t>
  </si>
  <si>
    <t>г. Стрежевой, 2-й микрорайон, д. 212</t>
  </si>
  <si>
    <t>г. Стрежевой, 2-й микрорайон, д. 217</t>
  </si>
  <si>
    <t>г. Стрежевой, 2-й микрорайон, д. 218</t>
  </si>
  <si>
    <t>г. Стрежевой, 2-й микрорайон, д. 220</t>
  </si>
  <si>
    <t>г. Стрежевой, 2-й микрорайон, д. 224</t>
  </si>
  <si>
    <t>г. Стрежевой, 2-й микрорайон, д. 238</t>
  </si>
  <si>
    <t>г. Стрежевой, 2-й микрорайон, д. 240</t>
  </si>
  <si>
    <t>г. Стрежевой, 3-й микрорайон, д. 302</t>
  </si>
  <si>
    <t>г. Стрежевой, 3-й микрорайон, д. 303</t>
  </si>
  <si>
    <t>г. Стрежевой, 3-й микрорайон, д. 305</t>
  </si>
  <si>
    <t>г. Стрежевой, 3-й микрорайон, д. 312</t>
  </si>
  <si>
    <t>г. Стрежевой, 4-й микрорайон, д. 411</t>
  </si>
  <si>
    <t>г. Стрежевой, 4-й микрорайон, д. 435</t>
  </si>
  <si>
    <t>г. Стрежевой, ул.Новая, д. 88а</t>
  </si>
  <si>
    <t>г. Стрежевой, ул.Новая, д. 90</t>
  </si>
  <si>
    <t>г. Стрежевой, ул.Новая, д. 94</t>
  </si>
  <si>
    <t>г. Стрежевой, 1-й микрорайон, д. 182а</t>
  </si>
  <si>
    <t>г. Стрежевой, 1-й микрорайон, д. 185</t>
  </si>
  <si>
    <t>г. Стрежевой, 3-й микрорайон, д. 306</t>
  </si>
  <si>
    <t>г. Стрежевой, 4-й микрорайон, д. 419</t>
  </si>
  <si>
    <t>г. Северск, пр-т Коммунистический, д. 50</t>
  </si>
  <si>
    <t>г. Северск, пр-кт Коммунистический, д. 143</t>
  </si>
  <si>
    <t>г. Северск, ул. Калинина, д. 18</t>
  </si>
  <si>
    <t>г. Северск, ул. Калинина, д. 86</t>
  </si>
  <si>
    <t>г. Северск, ул. Ленина, д. 92</t>
  </si>
  <si>
    <t>г. Северск, ул. Ленинградская, д. 10</t>
  </si>
  <si>
    <t>г. Северск, ул. Ленинградская, д. 12</t>
  </si>
  <si>
    <t>г. Северск, ул. Победы, д. 18</t>
  </si>
  <si>
    <t>ХВС, ГВС, ВО, ТС</t>
  </si>
  <si>
    <t>1970, 1971</t>
  </si>
  <si>
    <t>г. Северск, ул. Калинина, д. 84</t>
  </si>
  <si>
    <t>г. Северск, ул. Ленинградская, д. 8</t>
  </si>
  <si>
    <t>г. Северск, ул. Солнечная, д. 12</t>
  </si>
  <si>
    <t>г. Северск, ул. Солнечная, д. 14</t>
  </si>
  <si>
    <t>г. Томск, пр-кт Мира, д. 31</t>
  </si>
  <si>
    <t>Краткосрочный план реализации в 2017 - 2019 гг. региональной программы капитального ремонта общего имущества в многоквартирных домах</t>
  </si>
  <si>
    <t>Фонд - государственная корпорация - Фонд содействия реформированию жилищно-коммунального хозяйства.</t>
  </si>
  <si>
    <t>Приложение
к приказу Департамента ЖКХ и государственного 
жилищного надзора Томской области
от 08.06.2018 № 31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</si>
</sst>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р_._-;\-* #,##0.00_р_._-;_-* &quot;-&quot;??_р_._-;_-@_-"/>
    <numFmt numFmtId="165" formatCode="#,##0.00\ _₽"/>
  </numFmts>
  <fonts count="16" x14ac:knownFonts="1">
    <font>
      <sz val="11"/>
      <color theme="1"/>
      <name val="Calibri"/>
      <family val="2"/>
      <charset val="204"/>
      <scheme val="minor"/>
    </font>
    <font>
      <sz val="12"/>
      <name val="Times New Roman"/>
      <family val="1"/>
      <charset val="204"/>
    </font>
    <font>
      <sz val="12"/>
      <color indexed="8"/>
      <name val="Times New Roman"/>
      <family val="1"/>
      <charset val="204"/>
    </font>
    <font>
      <sz val="11"/>
      <color theme="1"/>
      <name val="Calibri"/>
      <family val="2"/>
      <charset val="204"/>
      <scheme val="minor"/>
    </font>
    <font>
      <sz val="11"/>
      <color theme="1"/>
      <name val="Times New Roman"/>
      <family val="1"/>
      <charset val="204"/>
    </font>
    <font>
      <sz val="12"/>
      <color theme="1"/>
      <name val="Times New Roman"/>
      <family val="1"/>
      <charset val="204"/>
    </font>
    <font>
      <sz val="12"/>
      <color rgb="FF000000"/>
      <name val="Times New Roman"/>
      <family val="1"/>
      <charset val="204"/>
    </font>
    <font>
      <sz val="11"/>
      <name val="Times New Roman"/>
      <family val="1"/>
      <charset val="204"/>
    </font>
    <font>
      <sz val="11"/>
      <name val="Calibri"/>
      <family val="2"/>
      <charset val="204"/>
      <scheme val="minor"/>
    </font>
    <font>
      <sz val="13"/>
      <color indexed="8"/>
      <name val="Times New Roman"/>
      <family val="1"/>
      <charset val="204"/>
    </font>
    <font>
      <b/>
      <sz val="9"/>
      <color indexed="81"/>
      <name val="Tahoma"/>
      <family val="2"/>
      <charset val="204"/>
    </font>
    <font>
      <sz val="9"/>
      <color indexed="81"/>
      <name val="Tahoma"/>
      <family val="2"/>
      <charset val="204"/>
    </font>
    <font>
      <sz val="11"/>
      <color indexed="8"/>
      <name val="Times New Roman"/>
      <family val="1"/>
      <charset val="204"/>
    </font>
    <font>
      <sz val="12"/>
      <name val="Calibri"/>
      <family val="2"/>
      <charset val="204"/>
      <scheme val="minor"/>
    </font>
    <font>
      <sz val="13"/>
      <color theme="1"/>
      <name val="Times New Roman"/>
      <family val="1"/>
      <charset val="204"/>
    </font>
    <font>
      <sz val="13"/>
      <name val="Times New Roman"/>
      <family val="1"/>
      <charset val="204"/>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8"/>
      </left>
      <right style="thin">
        <color indexed="8"/>
      </right>
      <top style="thin">
        <color indexed="8"/>
      </top>
      <bottom style="thin">
        <color indexed="8"/>
      </bottom>
      <diagonal/>
    </border>
  </borders>
  <cellStyleXfs count="4">
    <xf numFmtId="0" fontId="0" fillId="0" borderId="0"/>
    <xf numFmtId="0" fontId="3" fillId="0" borderId="0"/>
    <xf numFmtId="164" fontId="3" fillId="0" borderId="0" applyFont="0" applyFill="0" applyBorder="0" applyAlignment="0" applyProtection="0"/>
    <xf numFmtId="164" fontId="3" fillId="0" borderId="0" applyFont="0" applyFill="0" applyBorder="0" applyAlignment="0" applyProtection="0"/>
  </cellStyleXfs>
  <cellXfs count="357">
    <xf numFmtId="0" fontId="0" fillId="0" borderId="0" xfId="0"/>
    <xf numFmtId="4" fontId="1" fillId="0" borderId="0" xfId="0" applyNumberFormat="1" applyFont="1" applyFill="1"/>
    <xf numFmtId="0" fontId="1" fillId="0" borderId="0" xfId="0" applyFont="1" applyFill="1"/>
    <xf numFmtId="4" fontId="1" fillId="0" borderId="0" xfId="0" applyNumberFormat="1" applyFont="1" applyFill="1" applyAlignment="1">
      <alignment wrapText="1"/>
    </xf>
    <xf numFmtId="4" fontId="1" fillId="0" borderId="1" xfId="0" applyNumberFormat="1" applyFont="1" applyFill="1" applyBorder="1" applyAlignment="1">
      <alignment horizontal="center" vertical="top"/>
    </xf>
    <xf numFmtId="3" fontId="1" fillId="0" borderId="1" xfId="0" quotePrefix="1" applyNumberFormat="1" applyFont="1" applyFill="1" applyBorder="1" applyAlignment="1">
      <alignment horizontal="center" vertical="top"/>
    </xf>
    <xf numFmtId="0" fontId="5" fillId="0" borderId="0" xfId="0" applyFont="1" applyFill="1" applyAlignment="1">
      <alignment horizontal="center" vertical="center"/>
    </xf>
    <xf numFmtId="0" fontId="5" fillId="0" borderId="0" xfId="0" applyFont="1" applyFill="1" applyAlignment="1"/>
    <xf numFmtId="165" fontId="13" fillId="0" borderId="0" xfId="0" applyNumberFormat="1" applyFont="1" applyFill="1"/>
    <xf numFmtId="0" fontId="13" fillId="0" borderId="0" xfId="0" applyFont="1" applyFill="1"/>
    <xf numFmtId="0" fontId="1" fillId="0" borderId="0" xfId="0" applyFont="1" applyFill="1" applyBorder="1" applyAlignment="1">
      <alignment vertical="top" wrapText="1"/>
    </xf>
    <xf numFmtId="3" fontId="1" fillId="0" borderId="0" xfId="0" applyNumberFormat="1" applyFont="1" applyFill="1" applyAlignment="1">
      <alignment horizontal="center"/>
    </xf>
    <xf numFmtId="4" fontId="5" fillId="0" borderId="1" xfId="0" applyNumberFormat="1" applyFont="1" applyFill="1" applyBorder="1" applyAlignment="1">
      <alignment horizontal="center" vertical="center" textRotation="90" wrapText="1"/>
    </xf>
    <xf numFmtId="4" fontId="5"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1" fillId="0" borderId="1" xfId="0" applyNumberFormat="1" applyFont="1" applyFill="1" applyBorder="1" applyAlignment="1">
      <alignment horizontal="center" vertical="center"/>
    </xf>
    <xf numFmtId="4" fontId="1" fillId="0" borderId="1" xfId="0" applyNumberFormat="1" applyFont="1" applyFill="1" applyBorder="1" applyAlignment="1">
      <alignment horizontal="center" vertical="center"/>
    </xf>
    <xf numFmtId="3" fontId="1" fillId="0" borderId="1" xfId="0" applyNumberFormat="1" applyFont="1" applyFill="1" applyBorder="1" applyAlignment="1">
      <alignment horizontal="center" vertical="center"/>
    </xf>
    <xf numFmtId="1" fontId="1" fillId="0" borderId="1" xfId="0" applyNumberFormat="1" applyFont="1" applyFill="1" applyBorder="1" applyAlignment="1">
      <alignment horizontal="center" vertical="top"/>
    </xf>
    <xf numFmtId="3" fontId="1" fillId="0" borderId="1" xfId="0" applyNumberFormat="1" applyFont="1" applyFill="1" applyBorder="1" applyAlignment="1">
      <alignment horizontal="center" vertical="top"/>
    </xf>
    <xf numFmtId="0" fontId="1"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1" fillId="0" borderId="1" xfId="0" applyFont="1" applyFill="1" applyBorder="1" applyAlignment="1">
      <alignment horizontal="left" wrapText="1"/>
    </xf>
    <xf numFmtId="0" fontId="1" fillId="0" borderId="1" xfId="0" applyFont="1" applyFill="1" applyBorder="1" applyAlignment="1">
      <alignment horizontal="center"/>
    </xf>
    <xf numFmtId="0" fontId="1" fillId="0" borderId="1" xfId="0" applyFont="1" applyFill="1" applyBorder="1" applyAlignment="1">
      <alignment horizontal="center" wrapText="1"/>
    </xf>
    <xf numFmtId="0" fontId="1" fillId="0" borderId="1" xfId="0" applyFont="1" applyFill="1" applyBorder="1" applyAlignment="1">
      <alignment horizontal="center" vertical="top" wrapText="1"/>
    </xf>
    <xf numFmtId="4" fontId="1" fillId="0" borderId="1" xfId="0" quotePrefix="1" applyNumberFormat="1" applyFont="1" applyFill="1" applyBorder="1" applyAlignment="1">
      <alignment horizontal="center" vertical="top"/>
    </xf>
    <xf numFmtId="0" fontId="1"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 fillId="0" borderId="4" xfId="0" applyFont="1" applyFill="1" applyBorder="1" applyAlignment="1">
      <alignment horizontal="left" vertical="center" wrapText="1"/>
    </xf>
    <xf numFmtId="0" fontId="1" fillId="0" borderId="4" xfId="0" applyFont="1" applyFill="1" applyBorder="1" applyAlignment="1">
      <alignment horizontal="center" vertical="center" wrapText="1"/>
    </xf>
    <xf numFmtId="4" fontId="1" fillId="0" borderId="4" xfId="0" applyNumberFormat="1" applyFont="1" applyFill="1" applyBorder="1" applyAlignment="1">
      <alignment horizontal="center" vertical="top" wrapText="1"/>
    </xf>
    <xf numFmtId="3" fontId="1" fillId="0" borderId="4" xfId="0" applyNumberFormat="1" applyFont="1" applyFill="1" applyBorder="1" applyAlignment="1">
      <alignment horizontal="center" vertical="top" wrapText="1"/>
    </xf>
    <xf numFmtId="4" fontId="1" fillId="0" borderId="2" xfId="0" applyNumberFormat="1" applyFont="1" applyFill="1" applyBorder="1" applyAlignment="1">
      <alignment horizontal="center" vertical="top"/>
    </xf>
    <xf numFmtId="0" fontId="1" fillId="0" borderId="1" xfId="0" applyFont="1" applyFill="1" applyBorder="1" applyAlignment="1">
      <alignment horizontal="left" vertical="center" wrapText="1"/>
    </xf>
    <xf numFmtId="4" fontId="1" fillId="0" borderId="1" xfId="0" applyNumberFormat="1" applyFont="1" applyFill="1" applyBorder="1" applyAlignment="1">
      <alignment horizontal="center" vertical="top" wrapText="1"/>
    </xf>
    <xf numFmtId="3" fontId="1" fillId="0" borderId="1" xfId="0" applyNumberFormat="1" applyFont="1" applyFill="1" applyBorder="1" applyAlignment="1">
      <alignment horizontal="center" vertical="top" wrapText="1"/>
    </xf>
    <xf numFmtId="4" fontId="1" fillId="0" borderId="1" xfId="0" applyNumberFormat="1" applyFont="1" applyFill="1" applyBorder="1" applyAlignment="1">
      <alignment horizontal="center"/>
    </xf>
    <xf numFmtId="3" fontId="1" fillId="0" borderId="1" xfId="0" applyNumberFormat="1" applyFont="1" applyFill="1" applyBorder="1" applyAlignment="1">
      <alignment horizontal="center"/>
    </xf>
    <xf numFmtId="4" fontId="5" fillId="0" borderId="1" xfId="0" applyNumberFormat="1" applyFont="1" applyFill="1" applyBorder="1" applyAlignment="1">
      <alignment horizontal="center"/>
    </xf>
    <xf numFmtId="3" fontId="5" fillId="0" borderId="1" xfId="0" applyNumberFormat="1" applyFont="1" applyFill="1" applyBorder="1" applyAlignment="1">
      <alignment horizontal="center"/>
    </xf>
    <xf numFmtId="4" fontId="1" fillId="0" borderId="1" xfId="0" applyNumberFormat="1" applyFont="1" applyFill="1" applyBorder="1" applyAlignment="1">
      <alignment horizontal="center" vertical="center" wrapText="1"/>
    </xf>
    <xf numFmtId="4" fontId="1" fillId="0" borderId="1" xfId="0" quotePrefix="1" applyNumberFormat="1" applyFont="1" applyFill="1" applyBorder="1" applyAlignment="1">
      <alignment horizontal="center" vertical="center"/>
    </xf>
    <xf numFmtId="3" fontId="1" fillId="0" borderId="1" xfId="0" quotePrefix="1" applyNumberFormat="1"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vertical="center"/>
    </xf>
    <xf numFmtId="0" fontId="1" fillId="0" borderId="1" xfId="0" applyFont="1" applyFill="1" applyBorder="1" applyAlignment="1" applyProtection="1">
      <alignment horizontal="center" vertical="top" wrapText="1"/>
      <protection locked="0"/>
    </xf>
    <xf numFmtId="0" fontId="2" fillId="0" borderId="1" xfId="0" applyFont="1" applyFill="1" applyBorder="1" applyAlignment="1">
      <alignment horizontal="center" vertical="center" wrapText="1"/>
    </xf>
    <xf numFmtId="0" fontId="1" fillId="0" borderId="1" xfId="0" applyFont="1" applyFill="1" applyBorder="1" applyAlignment="1" applyProtection="1">
      <alignment horizontal="left" vertical="top" wrapText="1"/>
      <protection locked="0"/>
    </xf>
    <xf numFmtId="0" fontId="1" fillId="0" borderId="1" xfId="0" applyFont="1" applyFill="1" applyBorder="1" applyAlignment="1" applyProtection="1">
      <alignment horizontal="center" vertical="top"/>
      <protection locked="0"/>
    </xf>
    <xf numFmtId="4" fontId="1" fillId="0" borderId="1" xfId="0" applyNumberFormat="1" applyFont="1" applyFill="1" applyBorder="1" applyAlignment="1" applyProtection="1">
      <alignment horizontal="center" vertical="top"/>
      <protection locked="0"/>
    </xf>
    <xf numFmtId="3" fontId="1" fillId="0" borderId="1" xfId="3" applyNumberFormat="1" applyFont="1" applyFill="1" applyBorder="1" applyAlignment="1">
      <alignment horizontal="center" vertical="top"/>
    </xf>
    <xf numFmtId="4" fontId="1" fillId="0" borderId="1" xfId="3"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0" fontId="1"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3" fontId="1" fillId="0" borderId="1" xfId="0" applyNumberFormat="1" applyFont="1" applyFill="1" applyBorder="1" applyAlignment="1" applyProtection="1">
      <alignment horizontal="center" vertical="top"/>
      <protection locked="0"/>
    </xf>
    <xf numFmtId="49" fontId="1" fillId="0" borderId="1" xfId="0" quotePrefix="1" applyNumberFormat="1" applyFont="1" applyFill="1" applyBorder="1" applyAlignment="1">
      <alignment horizontal="center" vertical="top"/>
    </xf>
    <xf numFmtId="0" fontId="5" fillId="0" borderId="1" xfId="0" applyFont="1" applyFill="1" applyBorder="1" applyAlignment="1">
      <alignment horizontal="center"/>
    </xf>
    <xf numFmtId="3" fontId="5" fillId="0" borderId="1" xfId="0" applyNumberFormat="1" applyFont="1" applyFill="1" applyBorder="1" applyAlignment="1">
      <alignment horizontal="center" vertical="center"/>
    </xf>
    <xf numFmtId="0" fontId="1" fillId="0" borderId="1" xfId="0" applyFont="1" applyFill="1" applyBorder="1" applyAlignment="1">
      <alignment horizontal="center" vertical="top"/>
    </xf>
    <xf numFmtId="0" fontId="1" fillId="0" borderId="1" xfId="0" applyFont="1" applyFill="1" applyBorder="1" applyAlignment="1">
      <alignment horizontal="left" vertical="top" wrapText="1"/>
    </xf>
    <xf numFmtId="49" fontId="1" fillId="0" borderId="1" xfId="0" applyNumberFormat="1" applyFont="1" applyFill="1" applyBorder="1" applyAlignment="1">
      <alignment horizontal="center" vertical="top" wrapText="1"/>
    </xf>
    <xf numFmtId="3" fontId="1" fillId="0" borderId="1" xfId="0" quotePrefix="1" applyNumberFormat="1" applyFont="1" applyFill="1" applyBorder="1" applyAlignment="1">
      <alignment horizontal="center" vertical="top" wrapText="1"/>
    </xf>
    <xf numFmtId="0" fontId="1" fillId="0" borderId="0" xfId="0" applyFont="1" applyFill="1" applyAlignment="1">
      <alignment wrapText="1"/>
    </xf>
    <xf numFmtId="0" fontId="1" fillId="0" borderId="1" xfId="0" applyFont="1" applyFill="1" applyBorder="1" applyAlignment="1" applyProtection="1">
      <alignment horizontal="center" vertical="center"/>
      <protection locked="0"/>
    </xf>
    <xf numFmtId="0" fontId="1" fillId="0" borderId="1" xfId="1" applyFont="1" applyFill="1" applyBorder="1" applyAlignment="1" applyProtection="1">
      <alignment vertical="top" wrapText="1"/>
      <protection locked="0"/>
    </xf>
    <xf numFmtId="3" fontId="1" fillId="0" borderId="1" xfId="0" applyNumberFormat="1" applyFont="1" applyFill="1" applyBorder="1" applyAlignment="1" applyProtection="1">
      <alignment horizontal="center" vertical="top" wrapText="1"/>
      <protection locked="0"/>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left" vertical="center" wrapText="1"/>
      <protection locked="0"/>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2" fontId="5" fillId="0" borderId="1" xfId="0" applyNumberFormat="1" applyFont="1" applyFill="1" applyBorder="1" applyAlignment="1">
      <alignment horizontal="center" vertical="center" wrapText="1"/>
    </xf>
    <xf numFmtId="3" fontId="5" fillId="0" borderId="1" xfId="0" applyNumberFormat="1" applyFont="1" applyFill="1" applyBorder="1" applyAlignment="1">
      <alignment horizontal="center" vertical="center" wrapText="1"/>
    </xf>
    <xf numFmtId="3" fontId="1" fillId="0" borderId="14" xfId="0" applyNumberFormat="1" applyFont="1" applyFill="1" applyBorder="1" applyAlignment="1" applyProtection="1">
      <alignment horizontal="center" vertical="top" wrapText="1"/>
      <protection locked="0"/>
    </xf>
    <xf numFmtId="3" fontId="1" fillId="0" borderId="14" xfId="0" applyNumberFormat="1" applyFont="1" applyFill="1" applyBorder="1" applyAlignment="1" applyProtection="1">
      <alignment horizontal="center" vertical="top"/>
      <protection locked="0"/>
    </xf>
    <xf numFmtId="49" fontId="1" fillId="0" borderId="1" xfId="0" applyNumberFormat="1" applyFont="1" applyFill="1" applyBorder="1" applyAlignment="1" applyProtection="1">
      <alignment horizontal="center" vertical="top"/>
      <protection locked="0"/>
    </xf>
    <xf numFmtId="0" fontId="5" fillId="0" borderId="6" xfId="0" applyFont="1" applyFill="1" applyBorder="1" applyAlignment="1">
      <alignment horizontal="center" vertical="center" wrapText="1"/>
    </xf>
    <xf numFmtId="0" fontId="2" fillId="0" borderId="6" xfId="0" applyFont="1" applyFill="1" applyBorder="1" applyAlignment="1">
      <alignment horizontal="left" vertical="center" wrapText="1"/>
    </xf>
    <xf numFmtId="0" fontId="1" fillId="0" borderId="6" xfId="0" applyFont="1" applyFill="1" applyBorder="1" applyAlignment="1" applyProtection="1">
      <alignment horizontal="center" vertical="center" wrapText="1"/>
      <protection locked="0"/>
    </xf>
    <xf numFmtId="0" fontId="1" fillId="0" borderId="6" xfId="0" applyFont="1" applyFill="1" applyBorder="1" applyAlignment="1" applyProtection="1">
      <alignment horizontal="left" vertical="center" wrapText="1"/>
      <protection locked="0"/>
    </xf>
    <xf numFmtId="0" fontId="5" fillId="0" borderId="3" xfId="0" applyFont="1" applyFill="1" applyBorder="1" applyAlignment="1">
      <alignment horizontal="center" vertical="center" wrapText="1"/>
    </xf>
    <xf numFmtId="49" fontId="1" fillId="0" borderId="1" xfId="0" applyNumberFormat="1" applyFont="1" applyFill="1" applyBorder="1" applyAlignment="1">
      <alignment horizontal="center"/>
    </xf>
    <xf numFmtId="0" fontId="5" fillId="0" borderId="1" xfId="0" applyFont="1" applyFill="1" applyBorder="1"/>
    <xf numFmtId="0" fontId="5" fillId="0" borderId="1" xfId="0" applyFont="1" applyFill="1" applyBorder="1" applyAlignment="1">
      <alignment wrapText="1"/>
    </xf>
    <xf numFmtId="4" fontId="1" fillId="0" borderId="1" xfId="0" applyNumberFormat="1" applyFont="1" applyFill="1" applyBorder="1" applyAlignment="1" applyProtection="1">
      <alignment horizontal="center" vertical="top" wrapText="1"/>
      <protection locked="0"/>
    </xf>
    <xf numFmtId="4" fontId="1" fillId="0" borderId="1" xfId="3" applyNumberFormat="1" applyFont="1" applyFill="1" applyBorder="1" applyAlignment="1">
      <alignment horizontal="center" vertical="top" wrapText="1"/>
    </xf>
    <xf numFmtId="49" fontId="1" fillId="0" borderId="1" xfId="0" applyNumberFormat="1" applyFont="1" applyFill="1" applyBorder="1" applyAlignment="1">
      <alignment horizontal="center" wrapText="1"/>
    </xf>
    <xf numFmtId="1" fontId="5" fillId="0" borderId="3" xfId="0" applyNumberFormat="1"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1" fontId="1" fillId="0" borderId="1" xfId="0" applyNumberFormat="1" applyFont="1" applyFill="1" applyBorder="1" applyAlignment="1">
      <alignment horizontal="left" vertical="center"/>
    </xf>
    <xf numFmtId="0" fontId="1" fillId="0" borderId="3" xfId="0" applyFont="1" applyFill="1" applyBorder="1" applyAlignment="1">
      <alignment horizontal="left" wrapText="1"/>
    </xf>
    <xf numFmtId="0" fontId="1" fillId="0" borderId="5" xfId="0" applyFont="1" applyFill="1" applyBorder="1" applyAlignment="1" applyProtection="1">
      <alignment horizontal="left" vertical="center" wrapText="1"/>
      <protection locked="0"/>
    </xf>
    <xf numFmtId="0" fontId="1" fillId="0" borderId="4" xfId="0" applyFont="1" applyFill="1" applyBorder="1" applyAlignment="1">
      <alignment horizontal="center" vertical="center"/>
    </xf>
    <xf numFmtId="4" fontId="1" fillId="0" borderId="4" xfId="0" applyNumberFormat="1" applyFont="1" applyFill="1" applyBorder="1" applyAlignment="1">
      <alignment horizontal="center" vertical="top"/>
    </xf>
    <xf numFmtId="4" fontId="1" fillId="0" borderId="1" xfId="0" quotePrefix="1" applyNumberFormat="1" applyFont="1" applyFill="1" applyBorder="1" applyAlignment="1">
      <alignment horizontal="center" vertical="top" wrapText="1"/>
    </xf>
    <xf numFmtId="0" fontId="1" fillId="0" borderId="0" xfId="0" applyFont="1" applyFill="1" applyAlignment="1">
      <alignment vertical="top"/>
    </xf>
    <xf numFmtId="0" fontId="1" fillId="0" borderId="0" xfId="0" applyFont="1" applyFill="1" applyAlignment="1">
      <alignment vertical="top" wrapText="1"/>
    </xf>
    <xf numFmtId="4" fontId="5" fillId="0" borderId="1" xfId="0" applyNumberFormat="1" applyFont="1" applyFill="1" applyBorder="1" applyAlignment="1">
      <alignment horizontal="center" vertical="top" wrapText="1"/>
    </xf>
    <xf numFmtId="3" fontId="1" fillId="0" borderId="1" xfId="3" applyNumberFormat="1" applyFont="1" applyFill="1" applyBorder="1" applyAlignment="1">
      <alignment horizontal="center" vertical="top" wrapText="1"/>
    </xf>
    <xf numFmtId="49" fontId="1" fillId="0" borderId="1" xfId="0" quotePrefix="1" applyNumberFormat="1" applyFont="1" applyFill="1" applyBorder="1" applyAlignment="1">
      <alignment horizontal="center" vertical="top" wrapText="1"/>
    </xf>
    <xf numFmtId="0" fontId="1" fillId="0" borderId="6" xfId="0" applyFont="1" applyFill="1" applyBorder="1" applyAlignment="1">
      <alignment horizontal="center" vertical="center"/>
    </xf>
    <xf numFmtId="0" fontId="1" fillId="0" borderId="6" xfId="0" applyFont="1" applyFill="1" applyBorder="1" applyAlignment="1">
      <alignment horizontal="left" vertical="top" wrapText="1"/>
    </xf>
    <xf numFmtId="1" fontId="5" fillId="0" borderId="1" xfId="0" applyNumberFormat="1" applyFont="1" applyFill="1" applyBorder="1" applyAlignment="1">
      <alignment horizontal="center" wrapText="1"/>
    </xf>
    <xf numFmtId="3" fontId="5" fillId="0" borderId="1" xfId="0" applyNumberFormat="1" applyFont="1" applyFill="1" applyBorder="1" applyAlignment="1">
      <alignment horizontal="center" vertical="top"/>
    </xf>
    <xf numFmtId="0" fontId="1" fillId="0" borderId="6" xfId="0" applyFont="1" applyFill="1" applyBorder="1" applyAlignment="1">
      <alignment horizontal="center" vertical="center" wrapText="1"/>
    </xf>
    <xf numFmtId="1" fontId="5" fillId="0" borderId="1" xfId="0" applyNumberFormat="1" applyFont="1" applyFill="1" applyBorder="1" applyAlignment="1">
      <alignment horizontal="center" vertical="top" wrapText="1"/>
    </xf>
    <xf numFmtId="0" fontId="1" fillId="0" borderId="2" xfId="0" applyFont="1" applyFill="1" applyBorder="1" applyAlignment="1" applyProtection="1">
      <alignment horizontal="center" vertical="center"/>
      <protection locked="0"/>
    </xf>
    <xf numFmtId="0" fontId="1" fillId="0" borderId="2" xfId="0" applyFont="1" applyFill="1" applyBorder="1" applyAlignment="1" applyProtection="1">
      <alignment horizontal="left" vertical="top" wrapText="1"/>
      <protection locked="0"/>
    </xf>
    <xf numFmtId="0" fontId="1" fillId="0" borderId="6" xfId="0" applyFont="1" applyFill="1" applyBorder="1" applyAlignment="1" applyProtection="1">
      <alignment horizontal="center" vertical="top" wrapText="1"/>
      <protection locked="0"/>
    </xf>
    <xf numFmtId="0" fontId="1" fillId="0" borderId="6" xfId="1" applyFont="1" applyFill="1" applyBorder="1" applyAlignment="1" applyProtection="1">
      <alignment horizontal="center" vertical="top"/>
      <protection locked="0"/>
    </xf>
    <xf numFmtId="0" fontId="5" fillId="0" borderId="8"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49" fontId="1" fillId="0" borderId="1" xfId="0" applyNumberFormat="1" applyFont="1" applyFill="1" applyBorder="1" applyAlignment="1" applyProtection="1">
      <alignment horizontal="left" vertical="top" wrapText="1"/>
      <protection locked="0"/>
    </xf>
    <xf numFmtId="2" fontId="1" fillId="0" borderId="1" xfId="0" applyNumberFormat="1" applyFont="1" applyFill="1" applyBorder="1" applyAlignment="1">
      <alignment horizontal="center" vertical="center"/>
    </xf>
    <xf numFmtId="0" fontId="1" fillId="0" borderId="4" xfId="0" applyFont="1" applyFill="1" applyBorder="1" applyAlignment="1" applyProtection="1">
      <alignment horizontal="center" vertical="center" wrapText="1"/>
      <protection locked="0"/>
    </xf>
    <xf numFmtId="0" fontId="1" fillId="0" borderId="13"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left" vertical="center" wrapText="1"/>
      <protection locked="0"/>
    </xf>
    <xf numFmtId="0" fontId="1" fillId="0" borderId="6" xfId="0" applyFont="1" applyFill="1" applyBorder="1" applyAlignment="1" applyProtection="1">
      <alignment horizontal="center" vertical="top"/>
      <protection locked="0"/>
    </xf>
    <xf numFmtId="4" fontId="1" fillId="0" borderId="2" xfId="0" applyNumberFormat="1" applyFont="1" applyFill="1" applyBorder="1" applyAlignment="1" applyProtection="1">
      <alignment horizontal="center" vertical="top"/>
      <protection locked="0"/>
    </xf>
    <xf numFmtId="1" fontId="1" fillId="0" borderId="0" xfId="0" applyNumberFormat="1" applyFont="1" applyFill="1" applyAlignment="1">
      <alignment horizontal="center" vertical="center"/>
    </xf>
    <xf numFmtId="1" fontId="1" fillId="0" borderId="0" xfId="0" applyNumberFormat="1" applyFont="1" applyFill="1" applyAlignment="1">
      <alignment horizontal="center"/>
    </xf>
    <xf numFmtId="4" fontId="1" fillId="0" borderId="0" xfId="0" applyNumberFormat="1" applyFont="1" applyFill="1" applyAlignment="1">
      <alignment horizontal="center"/>
    </xf>
    <xf numFmtId="0" fontId="5" fillId="0" borderId="0" xfId="0" applyFont="1" applyFill="1"/>
    <xf numFmtId="0" fontId="2" fillId="0" borderId="0" xfId="0" applyFont="1" applyFill="1" applyAlignment="1">
      <alignment horizontal="center"/>
    </xf>
    <xf numFmtId="0" fontId="2" fillId="0" borderId="0" xfId="0" applyFont="1" applyFill="1"/>
    <xf numFmtId="0" fontId="2" fillId="0" borderId="0" xfId="0" applyFont="1" applyFill="1" applyAlignment="1"/>
    <xf numFmtId="1" fontId="2" fillId="0" borderId="0" xfId="0" applyNumberFormat="1" applyFont="1" applyFill="1" applyAlignment="1">
      <alignment horizontal="center"/>
    </xf>
    <xf numFmtId="0" fontId="2" fillId="0" borderId="0" xfId="0" applyFont="1" applyFill="1" applyAlignment="1">
      <alignment horizontal="center" vertical="top"/>
    </xf>
    <xf numFmtId="0" fontId="5" fillId="0" borderId="0" xfId="0" applyFont="1" applyFill="1" applyAlignment="1">
      <alignment horizontal="center"/>
    </xf>
    <xf numFmtId="0" fontId="5" fillId="0" borderId="0" xfId="0" applyFont="1" applyFill="1" applyAlignment="1">
      <alignment vertical="center"/>
    </xf>
    <xf numFmtId="0" fontId="2" fillId="0" borderId="1" xfId="0" applyFont="1" applyFill="1" applyBorder="1" applyAlignment="1">
      <alignment horizontal="center" vertical="top" wrapText="1"/>
    </xf>
    <xf numFmtId="0" fontId="2" fillId="0" borderId="4" xfId="0" applyFont="1" applyFill="1" applyBorder="1" applyAlignment="1">
      <alignment horizontal="left"/>
    </xf>
    <xf numFmtId="0" fontId="2" fillId="0" borderId="5" xfId="0" applyFont="1" applyFill="1" applyBorder="1" applyAlignment="1">
      <alignment horizontal="left"/>
    </xf>
    <xf numFmtId="0" fontId="5" fillId="0" borderId="6" xfId="0" applyFont="1" applyFill="1" applyBorder="1" applyAlignment="1"/>
    <xf numFmtId="1" fontId="2" fillId="0" borderId="1" xfId="0" applyNumberFormat="1" applyFont="1" applyFill="1" applyBorder="1" applyAlignment="1">
      <alignment horizontal="center" wrapText="1"/>
    </xf>
    <xf numFmtId="0" fontId="2" fillId="0" borderId="1" xfId="0" applyFont="1" applyFill="1" applyBorder="1" applyAlignment="1">
      <alignment vertical="top" wrapText="1"/>
    </xf>
    <xf numFmtId="4" fontId="2" fillId="0" borderId="1" xfId="0" applyNumberFormat="1" applyFont="1" applyFill="1" applyBorder="1" applyAlignment="1">
      <alignment horizontal="center" vertical="top" wrapText="1"/>
    </xf>
    <xf numFmtId="0" fontId="1" fillId="0" borderId="4" xfId="0" applyFont="1" applyFill="1" applyBorder="1" applyAlignment="1" applyProtection="1">
      <alignment vertical="center"/>
      <protection locked="0"/>
    </xf>
    <xf numFmtId="0" fontId="1" fillId="0" borderId="5" xfId="0" applyFont="1" applyFill="1" applyBorder="1" applyAlignment="1" applyProtection="1">
      <alignment vertical="center"/>
      <protection locked="0"/>
    </xf>
    <xf numFmtId="0" fontId="1" fillId="0" borderId="6" xfId="0" applyFont="1" applyFill="1" applyBorder="1" applyAlignment="1" applyProtection="1">
      <alignment vertical="center"/>
      <protection locked="0"/>
    </xf>
    <xf numFmtId="0" fontId="2" fillId="0" borderId="3" xfId="0" applyFont="1" applyFill="1" applyBorder="1" applyAlignment="1">
      <alignment horizontal="center" vertical="center" wrapText="1"/>
    </xf>
    <xf numFmtId="0" fontId="1" fillId="0" borderId="4" xfId="0" applyFont="1" applyFill="1" applyBorder="1" applyAlignment="1" applyProtection="1">
      <alignment horizontal="left" vertical="center"/>
      <protection locked="0"/>
    </xf>
    <xf numFmtId="0" fontId="1" fillId="0" borderId="5" xfId="0" applyFont="1" applyFill="1" applyBorder="1" applyAlignment="1" applyProtection="1">
      <alignment vertical="center" wrapText="1"/>
      <protection locked="0"/>
    </xf>
    <xf numFmtId="0" fontId="1" fillId="0" borderId="6" xfId="0" applyFont="1" applyFill="1" applyBorder="1" applyAlignment="1" applyProtection="1">
      <alignment vertical="center" wrapText="1"/>
      <protection locked="0"/>
    </xf>
    <xf numFmtId="0" fontId="4" fillId="0" borderId="0" xfId="0" applyFont="1" applyFill="1"/>
    <xf numFmtId="0" fontId="2" fillId="0" borderId="1"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 xfId="0" applyFont="1" applyFill="1" applyBorder="1" applyAlignment="1">
      <alignment vertical="center"/>
    </xf>
    <xf numFmtId="4" fontId="1" fillId="0" borderId="1" xfId="0" applyNumberFormat="1" applyFont="1" applyFill="1" applyBorder="1" applyAlignment="1">
      <alignment horizontal="center" wrapText="1"/>
    </xf>
    <xf numFmtId="0" fontId="1" fillId="0" borderId="1" xfId="0" applyNumberFormat="1" applyFont="1" applyFill="1" applyBorder="1" applyAlignment="1">
      <alignment horizontal="center" wrapText="1"/>
    </xf>
    <xf numFmtId="0" fontId="1" fillId="0" borderId="1" xfId="0" applyFont="1" applyFill="1" applyBorder="1" applyAlignment="1">
      <alignment vertical="top" wrapText="1"/>
    </xf>
    <xf numFmtId="0" fontId="7" fillId="0" borderId="0" xfId="0" applyFont="1" applyFill="1"/>
    <xf numFmtId="0" fontId="1" fillId="0" borderId="1" xfId="0" applyFont="1" applyFill="1" applyBorder="1" applyAlignment="1">
      <alignment horizontal="center" vertical="center" wrapText="1"/>
    </xf>
    <xf numFmtId="4" fontId="1" fillId="0" borderId="1"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3" xfId="0" applyFont="1" applyFill="1" applyBorder="1" applyAlignment="1">
      <alignment vertical="top" wrapText="1"/>
    </xf>
    <xf numFmtId="4" fontId="1" fillId="0" borderId="3" xfId="0" applyNumberFormat="1" applyFont="1" applyFill="1" applyBorder="1" applyAlignment="1">
      <alignment horizontal="center" vertical="top" wrapText="1"/>
    </xf>
    <xf numFmtId="0" fontId="1" fillId="0" borderId="3" xfId="0" applyFont="1" applyFill="1" applyBorder="1" applyAlignment="1">
      <alignment horizontal="left" vertical="top" wrapText="1"/>
    </xf>
    <xf numFmtId="0" fontId="1" fillId="0" borderId="3" xfId="0" applyFont="1" applyFill="1" applyBorder="1" applyAlignment="1">
      <alignment vertical="center" wrapText="1"/>
    </xf>
    <xf numFmtId="0" fontId="2" fillId="0" borderId="4" xfId="0" applyFont="1" applyFill="1" applyBorder="1" applyAlignment="1">
      <alignment horizontal="left" vertical="center"/>
    </xf>
    <xf numFmtId="0" fontId="2" fillId="0" borderId="5" xfId="0" applyFont="1" applyFill="1" applyBorder="1" applyAlignment="1">
      <alignment vertical="center"/>
    </xf>
    <xf numFmtId="0" fontId="2" fillId="0" borderId="6" xfId="0" applyFont="1" applyFill="1" applyBorder="1" applyAlignment="1">
      <alignment vertical="center"/>
    </xf>
    <xf numFmtId="4" fontId="2" fillId="0" borderId="1" xfId="0" applyNumberFormat="1" applyFont="1" applyFill="1" applyBorder="1" applyAlignment="1">
      <alignment vertical="top" wrapText="1"/>
    </xf>
    <xf numFmtId="0" fontId="2" fillId="0" borderId="1" xfId="0" applyFont="1" applyFill="1" applyBorder="1" applyAlignment="1">
      <alignment vertical="center" wrapText="1"/>
    </xf>
    <xf numFmtId="4" fontId="2" fillId="0" borderId="1" xfId="0" applyNumberFormat="1" applyFont="1" applyFill="1" applyBorder="1" applyAlignment="1">
      <alignment horizontal="center" vertical="center" wrapText="1"/>
    </xf>
    <xf numFmtId="0" fontId="2" fillId="0" borderId="3" xfId="0" applyFont="1" applyFill="1" applyBorder="1" applyAlignment="1">
      <alignment vertical="center" wrapText="1"/>
    </xf>
    <xf numFmtId="0" fontId="2" fillId="0" borderId="1" xfId="0" applyFont="1" applyFill="1" applyBorder="1" applyAlignment="1">
      <alignment horizontal="left" vertical="center"/>
    </xf>
    <xf numFmtId="0" fontId="2" fillId="0" borderId="1" xfId="0" applyFont="1" applyFill="1" applyBorder="1" applyAlignment="1">
      <alignment vertical="center"/>
    </xf>
    <xf numFmtId="0" fontId="2" fillId="0" borderId="1" xfId="0" applyFont="1" applyFill="1" applyBorder="1" applyAlignment="1">
      <alignment vertical="top"/>
    </xf>
    <xf numFmtId="0" fontId="2" fillId="0" borderId="6" xfId="0" applyFont="1" applyFill="1" applyBorder="1" applyAlignment="1">
      <alignment vertical="top" wrapText="1"/>
    </xf>
    <xf numFmtId="3"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3" fontId="2" fillId="0" borderId="1" xfId="0" applyNumberFormat="1" applyFont="1" applyFill="1" applyBorder="1" applyAlignment="1">
      <alignment horizontal="center" wrapText="1"/>
    </xf>
    <xf numFmtId="0" fontId="2" fillId="0" borderId="2" xfId="0" applyFont="1" applyFill="1" applyBorder="1" applyAlignment="1">
      <alignment vertical="top" wrapText="1"/>
    </xf>
    <xf numFmtId="4" fontId="2" fillId="0" borderId="2" xfId="0" applyNumberFormat="1" applyFont="1" applyFill="1" applyBorder="1" applyAlignment="1">
      <alignment horizontal="center" vertical="top" wrapText="1"/>
    </xf>
    <xf numFmtId="0" fontId="2" fillId="0" borderId="7" xfId="0" applyFont="1" applyFill="1" applyBorder="1" applyAlignment="1">
      <alignment horizontal="center" vertical="center" wrapText="1"/>
    </xf>
    <xf numFmtId="0" fontId="2" fillId="0" borderId="3" xfId="0" applyFont="1" applyFill="1" applyBorder="1" applyAlignment="1">
      <alignment vertical="top" wrapText="1"/>
    </xf>
    <xf numFmtId="4" fontId="2" fillId="0" borderId="3" xfId="0" applyNumberFormat="1" applyFont="1" applyFill="1" applyBorder="1" applyAlignment="1">
      <alignment horizontal="center" vertical="top" wrapText="1"/>
    </xf>
    <xf numFmtId="0" fontId="4" fillId="0" borderId="0" xfId="0" applyFont="1" applyFill="1" applyBorder="1"/>
    <xf numFmtId="4" fontId="2" fillId="0" borderId="1" xfId="0" applyNumberFormat="1" applyFont="1" applyFill="1" applyBorder="1" applyAlignment="1">
      <alignment horizontal="center" wrapText="1"/>
    </xf>
    <xf numFmtId="0" fontId="2" fillId="0" borderId="1" xfId="0" applyFont="1" applyFill="1" applyBorder="1" applyAlignment="1">
      <alignment wrapText="1"/>
    </xf>
    <xf numFmtId="0" fontId="2" fillId="0" borderId="3" xfId="0" applyFont="1" applyFill="1" applyBorder="1" applyAlignment="1">
      <alignment horizontal="left" vertical="top" wrapText="1"/>
    </xf>
    <xf numFmtId="0" fontId="1" fillId="0" borderId="1" xfId="0" applyFont="1" applyFill="1" applyBorder="1" applyAlignment="1">
      <alignment horizontal="center" vertical="top" wrapText="1"/>
    </xf>
    <xf numFmtId="0" fontId="1" fillId="0" borderId="1" xfId="0" applyNumberFormat="1" applyFont="1" applyFill="1" applyBorder="1" applyAlignment="1">
      <alignment horizontal="center" vertical="center" wrapText="1"/>
    </xf>
    <xf numFmtId="0" fontId="1" fillId="0" borderId="1" xfId="0" applyFont="1" applyFill="1" applyBorder="1" applyAlignment="1">
      <alignment wrapText="1"/>
    </xf>
    <xf numFmtId="0" fontId="8" fillId="0" borderId="0" xfId="0" applyFont="1" applyFill="1"/>
    <xf numFmtId="4" fontId="1" fillId="0" borderId="3" xfId="0" applyNumberFormat="1" applyFont="1" applyFill="1" applyBorder="1" applyAlignment="1">
      <alignment horizontal="center" wrapText="1"/>
    </xf>
    <xf numFmtId="0" fontId="2" fillId="0" borderId="6" xfId="0" applyFont="1" applyFill="1" applyBorder="1" applyAlignment="1">
      <alignment horizontal="left" vertical="center"/>
    </xf>
    <xf numFmtId="0" fontId="2" fillId="0" borderId="1" xfId="0" applyFont="1" applyFill="1" applyBorder="1" applyAlignment="1">
      <alignment horizontal="left" vertical="top" wrapText="1"/>
    </xf>
    <xf numFmtId="4" fontId="1" fillId="0" borderId="1" xfId="0" applyNumberFormat="1" applyFont="1" applyFill="1" applyBorder="1" applyAlignment="1">
      <alignment horizontal="left" vertical="top" wrapText="1"/>
    </xf>
    <xf numFmtId="1" fontId="2" fillId="0" borderId="1" xfId="0" applyNumberFormat="1" applyFont="1" applyFill="1" applyBorder="1" applyAlignment="1">
      <alignment horizontal="center" vertical="center" wrapText="1"/>
    </xf>
    <xf numFmtId="4" fontId="12" fillId="0" borderId="1" xfId="0" applyNumberFormat="1" applyFont="1" applyFill="1" applyBorder="1" applyAlignment="1">
      <alignment horizontal="center" wrapText="1"/>
    </xf>
    <xf numFmtId="1" fontId="1" fillId="0" borderId="1" xfId="0" applyNumberFormat="1" applyFont="1" applyFill="1" applyBorder="1" applyAlignment="1">
      <alignment horizontal="center" vertical="center" wrapText="1"/>
    </xf>
    <xf numFmtId="0" fontId="5" fillId="0" borderId="0" xfId="0" applyFont="1" applyFill="1" applyAlignment="1">
      <alignment vertical="top"/>
    </xf>
    <xf numFmtId="0" fontId="2" fillId="0" borderId="3" xfId="0" applyFont="1" applyFill="1" applyBorder="1" applyAlignment="1">
      <alignment horizontal="center" vertical="top" wrapText="1"/>
    </xf>
    <xf numFmtId="4" fontId="2" fillId="0" borderId="3" xfId="0" applyNumberFormat="1" applyFont="1" applyFill="1" applyBorder="1" applyAlignment="1">
      <alignment horizontal="center" vertical="center" wrapText="1"/>
    </xf>
    <xf numFmtId="3" fontId="2" fillId="0" borderId="1" xfId="0" applyNumberFormat="1" applyFont="1" applyFill="1" applyBorder="1" applyAlignment="1">
      <alignment vertical="top" wrapText="1"/>
    </xf>
    <xf numFmtId="4" fontId="2" fillId="0" borderId="2" xfId="0" applyNumberFormat="1" applyFont="1" applyFill="1" applyBorder="1" applyAlignment="1">
      <alignment horizontal="center" wrapText="1"/>
    </xf>
    <xf numFmtId="3" fontId="2" fillId="0" borderId="3" xfId="0" applyNumberFormat="1" applyFont="1" applyFill="1" applyBorder="1" applyAlignment="1">
      <alignment horizontal="center" vertical="center" wrapText="1"/>
    </xf>
    <xf numFmtId="4" fontId="2" fillId="0" borderId="7" xfId="0" applyNumberFormat="1" applyFont="1" applyFill="1" applyBorder="1" applyAlignment="1">
      <alignment horizontal="center" vertical="center" wrapText="1"/>
    </xf>
    <xf numFmtId="3" fontId="2" fillId="0" borderId="7" xfId="0" applyNumberFormat="1" applyFont="1" applyFill="1" applyBorder="1" applyAlignment="1">
      <alignment horizontal="center" vertical="center" wrapText="1"/>
    </xf>
    <xf numFmtId="1" fontId="2" fillId="0" borderId="2" xfId="0" applyNumberFormat="1" applyFont="1" applyFill="1" applyBorder="1" applyAlignment="1">
      <alignment horizontal="center" wrapText="1"/>
    </xf>
    <xf numFmtId="4" fontId="2" fillId="0" borderId="2" xfId="0" applyNumberFormat="1" applyFont="1" applyFill="1" applyBorder="1" applyAlignment="1">
      <alignment horizontal="center" vertical="center" wrapText="1"/>
    </xf>
    <xf numFmtId="4" fontId="2" fillId="0" borderId="2" xfId="0" applyNumberFormat="1" applyFont="1" applyFill="1" applyBorder="1" applyAlignment="1">
      <alignment vertical="top" wrapText="1"/>
    </xf>
    <xf numFmtId="0" fontId="1" fillId="0" borderId="7" xfId="0" applyFont="1" applyFill="1" applyBorder="1" applyAlignment="1">
      <alignment horizontal="center" vertical="center" wrapText="1"/>
    </xf>
    <xf numFmtId="4" fontId="2" fillId="0" borderId="1" xfId="0" applyNumberFormat="1" applyFont="1" applyFill="1" applyBorder="1" applyAlignment="1">
      <alignment horizontal="left" vertical="top" wrapText="1"/>
    </xf>
    <xf numFmtId="4" fontId="5" fillId="0" borderId="1" xfId="0" applyNumberFormat="1" applyFont="1" applyFill="1" applyBorder="1" applyAlignment="1">
      <alignment horizontal="center" wrapText="1"/>
    </xf>
    <xf numFmtId="0" fontId="2" fillId="0" borderId="2" xfId="0" applyFont="1" applyFill="1" applyBorder="1" applyAlignment="1">
      <alignment horizontal="left" vertical="center"/>
    </xf>
    <xf numFmtId="0" fontId="2" fillId="0" borderId="2" xfId="0" applyFont="1" applyFill="1" applyBorder="1" applyAlignment="1">
      <alignment vertical="top"/>
    </xf>
    <xf numFmtId="0" fontId="1" fillId="0" borderId="2" xfId="0" applyFont="1" applyFill="1" applyBorder="1" applyAlignment="1" applyProtection="1">
      <alignment horizontal="center" vertical="center" wrapText="1"/>
      <protection locked="0"/>
    </xf>
    <xf numFmtId="0" fontId="1" fillId="0" borderId="2" xfId="0" applyFont="1" applyFill="1" applyBorder="1" applyAlignment="1" applyProtection="1">
      <alignment vertical="center" wrapText="1"/>
      <protection locked="0"/>
    </xf>
    <xf numFmtId="0" fontId="2" fillId="0" borderId="4" xfId="0" applyFont="1" applyFill="1" applyBorder="1" applyAlignment="1">
      <alignment vertical="center"/>
    </xf>
    <xf numFmtId="0" fontId="2" fillId="0" borderId="5" xfId="0" applyFont="1" applyFill="1" applyBorder="1" applyAlignment="1">
      <alignment vertical="center" wrapText="1"/>
    </xf>
    <xf numFmtId="0" fontId="2" fillId="0" borderId="6" xfId="0" applyFont="1" applyFill="1" applyBorder="1" applyAlignment="1">
      <alignment vertical="center" wrapText="1"/>
    </xf>
    <xf numFmtId="0" fontId="2" fillId="0" borderId="2" xfId="0" applyFont="1" applyFill="1" applyBorder="1" applyAlignment="1">
      <alignment horizontal="center" vertical="center" wrapText="1"/>
    </xf>
    <xf numFmtId="0" fontId="5" fillId="0" borderId="0" xfId="0" applyFont="1" applyFill="1" applyAlignment="1">
      <alignment horizontal="center" wrapText="1"/>
    </xf>
    <xf numFmtId="0" fontId="5" fillId="0" borderId="0" xfId="0" applyFont="1" applyFill="1" applyAlignment="1">
      <alignment horizontal="left" wrapText="1"/>
    </xf>
    <xf numFmtId="0" fontId="5" fillId="0" borderId="0" xfId="0" applyFont="1" applyFill="1" applyAlignment="1">
      <alignment wrapText="1"/>
    </xf>
    <xf numFmtId="1" fontId="5" fillId="0" borderId="0" xfId="0" applyNumberFormat="1" applyFont="1" applyFill="1" applyAlignment="1">
      <alignment horizontal="left" wrapText="1"/>
    </xf>
    <xf numFmtId="0" fontId="5" fillId="0" borderId="0" xfId="0" applyFont="1" applyFill="1" applyAlignment="1">
      <alignment horizontal="left" vertical="top" wrapText="1"/>
    </xf>
    <xf numFmtId="0" fontId="5" fillId="0" borderId="0" xfId="0" applyFont="1" applyFill="1" applyAlignment="1">
      <alignment horizontal="center" vertical="top"/>
    </xf>
    <xf numFmtId="0" fontId="5" fillId="0" borderId="0" xfId="0" applyFont="1" applyFill="1" applyBorder="1" applyAlignment="1">
      <alignment horizontal="center" vertical="top"/>
    </xf>
    <xf numFmtId="0" fontId="5" fillId="0" borderId="0" xfId="0" applyFont="1" applyFill="1" applyBorder="1"/>
    <xf numFmtId="0" fontId="5" fillId="0" borderId="0" xfId="0" applyFont="1" applyFill="1" applyAlignment="1">
      <alignment horizontal="left"/>
    </xf>
    <xf numFmtId="1" fontId="5" fillId="0" borderId="0" xfId="0" applyNumberFormat="1" applyFont="1" applyFill="1"/>
    <xf numFmtId="4" fontId="1" fillId="0" borderId="1" xfId="0" applyNumberFormat="1" applyFont="1" applyFill="1" applyBorder="1" applyAlignment="1">
      <alignment horizontal="left" vertical="center"/>
    </xf>
    <xf numFmtId="4" fontId="1" fillId="0" borderId="1" xfId="0" applyNumberFormat="1" applyFont="1" applyFill="1" applyBorder="1" applyAlignment="1" applyProtection="1">
      <alignment horizontal="left" vertical="top" wrapText="1"/>
      <protection locked="0"/>
    </xf>
    <xf numFmtId="4" fontId="1" fillId="0" borderId="1" xfId="0" applyNumberFormat="1" applyFont="1" applyFill="1" applyBorder="1" applyAlignment="1">
      <alignment vertical="top" wrapText="1"/>
    </xf>
    <xf numFmtId="4" fontId="1" fillId="0" borderId="1" xfId="0" applyNumberFormat="1" applyFont="1" applyFill="1" applyBorder="1" applyAlignment="1">
      <alignment vertical="center" wrapText="1"/>
    </xf>
    <xf numFmtId="1" fontId="1" fillId="0" borderId="1" xfId="0" applyNumberFormat="1" applyFont="1" applyFill="1" applyBorder="1" applyAlignment="1">
      <alignment horizontal="left" vertical="center"/>
    </xf>
    <xf numFmtId="4" fontId="1" fillId="0" borderId="1" xfId="0" applyNumberFormat="1" applyFont="1" applyFill="1" applyBorder="1" applyAlignment="1" applyProtection="1">
      <alignment vertical="top" wrapText="1"/>
      <protection locked="0"/>
    </xf>
    <xf numFmtId="4" fontId="1" fillId="0" borderId="4" xfId="0" applyNumberFormat="1" applyFont="1" applyFill="1" applyBorder="1" applyAlignment="1">
      <alignment vertical="top" wrapText="1"/>
    </xf>
    <xf numFmtId="4" fontId="1" fillId="0" borderId="5" xfId="0" applyNumberFormat="1" applyFont="1" applyFill="1" applyBorder="1" applyAlignment="1">
      <alignment vertical="top" wrapText="1"/>
    </xf>
    <xf numFmtId="4" fontId="1" fillId="0" borderId="6" xfId="0" applyNumberFormat="1" applyFont="1" applyFill="1" applyBorder="1" applyAlignment="1">
      <alignment vertical="top" wrapText="1"/>
    </xf>
    <xf numFmtId="0" fontId="1" fillId="0" borderId="1" xfId="0" applyFont="1" applyFill="1" applyBorder="1" applyAlignment="1">
      <alignment vertical="top" wrapText="1"/>
    </xf>
    <xf numFmtId="3" fontId="1" fillId="0" borderId="1" xfId="0" applyNumberFormat="1" applyFont="1" applyFill="1" applyBorder="1" applyAlignment="1" applyProtection="1">
      <alignment horizontal="left" vertical="top" wrapText="1"/>
      <protection locked="0"/>
    </xf>
    <xf numFmtId="0" fontId="1" fillId="0" borderId="4" xfId="0" applyFont="1" applyFill="1" applyBorder="1" applyAlignment="1">
      <alignment vertical="top" wrapText="1"/>
    </xf>
    <xf numFmtId="0" fontId="1" fillId="0" borderId="5" xfId="0" applyFont="1" applyFill="1" applyBorder="1" applyAlignment="1">
      <alignment vertical="top" wrapText="1"/>
    </xf>
    <xf numFmtId="0" fontId="1" fillId="0" borderId="6" xfId="0" applyFont="1" applyFill="1" applyBorder="1" applyAlignment="1">
      <alignment vertical="top" wrapText="1"/>
    </xf>
    <xf numFmtId="3" fontId="5" fillId="0" borderId="1" xfId="0" applyNumberFormat="1" applyFont="1" applyFill="1" applyBorder="1" applyAlignment="1">
      <alignment horizontal="center" vertical="center" textRotation="90" wrapText="1"/>
    </xf>
    <xf numFmtId="4" fontId="5" fillId="0" borderId="1" xfId="0" applyNumberFormat="1" applyFont="1" applyFill="1" applyBorder="1" applyAlignment="1">
      <alignment horizontal="center" vertical="center" wrapText="1"/>
    </xf>
    <xf numFmtId="4" fontId="5" fillId="0" borderId="1" xfId="0" applyNumberFormat="1" applyFont="1" applyFill="1" applyBorder="1" applyAlignment="1">
      <alignment horizontal="center" vertical="center" textRotation="90" wrapText="1"/>
    </xf>
    <xf numFmtId="4" fontId="15" fillId="0" borderId="0" xfId="0" applyNumberFormat="1" applyFont="1" applyFill="1" applyBorder="1" applyAlignment="1">
      <alignment horizontal="center" vertical="top" wrapText="1"/>
    </xf>
    <xf numFmtId="4" fontId="15" fillId="0" borderId="0" xfId="0" applyNumberFormat="1" applyFont="1" applyFill="1" applyBorder="1" applyAlignment="1">
      <alignment horizontal="center" vertical="top"/>
    </xf>
    <xf numFmtId="0" fontId="1" fillId="0" borderId="1" xfId="0" applyFont="1" applyFill="1" applyBorder="1" applyAlignment="1" applyProtection="1">
      <alignment horizontal="left" vertical="center" wrapText="1"/>
      <protection locked="0"/>
    </xf>
    <xf numFmtId="1" fontId="5" fillId="0" borderId="1" xfId="0" applyNumberFormat="1" applyFont="1" applyFill="1" applyBorder="1" applyAlignment="1">
      <alignment horizontal="center" vertical="center" textRotation="90" wrapText="1"/>
    </xf>
    <xf numFmtId="1" fontId="6" fillId="0" borderId="1" xfId="0" applyNumberFormat="1" applyFont="1" applyFill="1" applyBorder="1" applyAlignment="1">
      <alignment horizontal="center" vertical="center" textRotation="90" wrapText="1"/>
    </xf>
    <xf numFmtId="4" fontId="5" fillId="0" borderId="3" xfId="0" applyNumberFormat="1" applyFont="1" applyFill="1" applyBorder="1" applyAlignment="1">
      <alignment horizontal="center" vertical="center" textRotation="90" wrapText="1"/>
    </xf>
    <xf numFmtId="4" fontId="5" fillId="0" borderId="7" xfId="0" applyNumberFormat="1" applyFont="1" applyFill="1" applyBorder="1" applyAlignment="1">
      <alignment horizontal="center" vertical="center" textRotation="90" wrapText="1"/>
    </xf>
    <xf numFmtId="4" fontId="5" fillId="0" borderId="2" xfId="0" applyNumberFormat="1" applyFont="1" applyFill="1" applyBorder="1" applyAlignment="1">
      <alignment horizontal="center" vertical="center" textRotation="90" wrapText="1"/>
    </xf>
    <xf numFmtId="0" fontId="14" fillId="0" borderId="0" xfId="0" applyFont="1" applyFill="1" applyAlignment="1">
      <alignment horizontal="left" vertical="top" wrapText="1"/>
    </xf>
    <xf numFmtId="0" fontId="15" fillId="0" borderId="0" xfId="0" applyFont="1" applyFill="1" applyBorder="1" applyAlignment="1">
      <alignment horizontal="center" vertical="top" wrapText="1"/>
    </xf>
    <xf numFmtId="1" fontId="5" fillId="0" borderId="1" xfId="0" applyNumberFormat="1" applyFont="1" applyFill="1" applyBorder="1" applyAlignment="1">
      <alignment horizontal="center" vertical="center" wrapText="1"/>
    </xf>
    <xf numFmtId="0" fontId="6" fillId="0" borderId="0" xfId="0" applyFont="1" applyFill="1" applyBorder="1" applyAlignment="1">
      <alignment horizontal="left" vertical="top" wrapText="1"/>
    </xf>
    <xf numFmtId="4" fontId="1" fillId="0" borderId="3" xfId="0" applyNumberFormat="1" applyFont="1" applyFill="1" applyBorder="1" applyAlignment="1">
      <alignment horizontal="center" vertical="center" wrapText="1"/>
    </xf>
    <xf numFmtId="4" fontId="1" fillId="0" borderId="7" xfId="0" applyNumberFormat="1" applyFont="1" applyFill="1" applyBorder="1" applyAlignment="1">
      <alignment horizontal="center" vertical="center" wrapText="1"/>
    </xf>
    <xf numFmtId="4" fontId="1" fillId="0" borderId="2"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vertical="center" wrapText="1"/>
    </xf>
    <xf numFmtId="0" fontId="1" fillId="0" borderId="7" xfId="0" applyFont="1" applyFill="1" applyBorder="1" applyAlignment="1">
      <alignment vertical="center" wrapText="1"/>
    </xf>
    <xf numFmtId="0" fontId="1" fillId="0" borderId="2" xfId="0" applyFont="1" applyFill="1" applyBorder="1" applyAlignment="1">
      <alignmen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1" fontId="2" fillId="0" borderId="3" xfId="0" applyNumberFormat="1" applyFont="1" applyFill="1" applyBorder="1" applyAlignment="1">
      <alignment horizontal="center" vertical="center" wrapText="1"/>
    </xf>
    <xf numFmtId="1" fontId="2" fillId="0" borderId="7" xfId="0" applyNumberFormat="1"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 xfId="0" applyFont="1" applyFill="1" applyBorder="1" applyAlignment="1">
      <alignment horizontal="center" vertical="center" wrapText="1"/>
    </xf>
    <xf numFmtId="4" fontId="2" fillId="0" borderId="3" xfId="0" applyNumberFormat="1" applyFont="1" applyFill="1" applyBorder="1" applyAlignment="1">
      <alignment horizontal="center" vertical="center" wrapText="1"/>
    </xf>
    <xf numFmtId="4" fontId="2" fillId="0" borderId="7"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7" xfId="0" applyFont="1" applyFill="1" applyBorder="1" applyAlignment="1">
      <alignment vertical="center" wrapText="1"/>
    </xf>
    <xf numFmtId="0" fontId="1" fillId="0" borderId="3" xfId="0" applyNumberFormat="1" applyFont="1" applyFill="1" applyBorder="1" applyAlignment="1">
      <alignment horizontal="center" vertical="center" wrapText="1"/>
    </xf>
    <xf numFmtId="0" fontId="1" fillId="0" borderId="7" xfId="0" applyNumberFormat="1" applyFont="1" applyFill="1" applyBorder="1" applyAlignment="1">
      <alignment horizontal="center" vertical="center" wrapText="1"/>
    </xf>
    <xf numFmtId="3" fontId="2" fillId="0" borderId="3" xfId="0" applyNumberFormat="1" applyFont="1" applyFill="1" applyBorder="1" applyAlignment="1">
      <alignment horizontal="center" vertical="center" wrapText="1"/>
    </xf>
    <xf numFmtId="3" fontId="2" fillId="0" borderId="7" xfId="0" applyNumberFormat="1" applyFont="1" applyFill="1" applyBorder="1" applyAlignment="1">
      <alignment horizontal="center" vertical="center" wrapText="1"/>
    </xf>
    <xf numFmtId="3" fontId="2" fillId="0" borderId="2" xfId="0" applyNumberFormat="1" applyFont="1" applyFill="1" applyBorder="1" applyAlignment="1">
      <alignment horizontal="center" vertical="center" wrapText="1"/>
    </xf>
    <xf numFmtId="0" fontId="2" fillId="0" borderId="2" xfId="0" applyFont="1" applyFill="1" applyBorder="1" applyAlignment="1">
      <alignment vertical="center" wrapText="1"/>
    </xf>
    <xf numFmtId="0" fontId="2" fillId="0" borderId="1" xfId="0" applyFont="1" applyFill="1" applyBorder="1" applyAlignment="1">
      <alignment vertical="center" wrapText="1"/>
    </xf>
    <xf numFmtId="4" fontId="2" fillId="0" borderId="1" xfId="0" applyNumberFormat="1" applyFont="1" applyFill="1" applyBorder="1" applyAlignment="1">
      <alignment horizontal="center" vertical="center" wrapText="1"/>
    </xf>
    <xf numFmtId="1" fontId="5" fillId="0" borderId="3" xfId="0" applyNumberFormat="1" applyFont="1" applyFill="1" applyBorder="1" applyAlignment="1">
      <alignment horizontal="center" vertical="center" wrapText="1"/>
    </xf>
    <xf numFmtId="1" fontId="5" fillId="0" borderId="7" xfId="0" applyNumberFormat="1" applyFont="1" applyFill="1" applyBorder="1" applyAlignment="1">
      <alignment horizontal="center" vertical="center" wrapText="1"/>
    </xf>
    <xf numFmtId="1" fontId="5" fillId="0" borderId="2"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49" fontId="5" fillId="0" borderId="7"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4"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3" xfId="0" applyNumberFormat="1" applyFont="1" applyFill="1" applyBorder="1" applyAlignment="1">
      <alignment vertical="center" wrapText="1"/>
    </xf>
    <xf numFmtId="0" fontId="1" fillId="0" borderId="7" xfId="0" applyNumberFormat="1" applyFont="1" applyFill="1" applyBorder="1" applyAlignment="1">
      <alignment vertical="center" wrapText="1"/>
    </xf>
    <xf numFmtId="0" fontId="1" fillId="0" borderId="2" xfId="0" applyNumberFormat="1" applyFont="1" applyFill="1" applyBorder="1" applyAlignment="1">
      <alignment vertical="center" wrapText="1"/>
    </xf>
    <xf numFmtId="3" fontId="1" fillId="0" borderId="3" xfId="0" applyNumberFormat="1" applyFont="1" applyFill="1" applyBorder="1" applyAlignment="1">
      <alignment horizontal="center" vertical="center" wrapText="1"/>
    </xf>
    <xf numFmtId="3" fontId="1" fillId="0" borderId="7" xfId="0" applyNumberFormat="1" applyFont="1" applyFill="1" applyBorder="1" applyAlignment="1">
      <alignment horizontal="center" vertical="center" wrapText="1"/>
    </xf>
    <xf numFmtId="3" fontId="1" fillId="0" borderId="2" xfId="0" applyNumberFormat="1" applyFont="1" applyFill="1" applyBorder="1" applyAlignment="1">
      <alignment horizontal="center" vertical="center" wrapText="1"/>
    </xf>
    <xf numFmtId="0" fontId="2" fillId="0" borderId="1" xfId="0" applyFont="1" applyFill="1" applyBorder="1" applyAlignment="1">
      <alignment horizontal="right" vertical="center" wrapText="1"/>
    </xf>
    <xf numFmtId="3" fontId="2" fillId="0" borderId="1" xfId="0" applyNumberFormat="1" applyFont="1" applyFill="1" applyBorder="1" applyAlignment="1">
      <alignment horizontal="center" vertical="center" wrapText="1"/>
    </xf>
    <xf numFmtId="0" fontId="1" fillId="0" borderId="3" xfId="0" applyFont="1" applyFill="1" applyBorder="1" applyAlignment="1" applyProtection="1">
      <alignment horizontal="center" vertical="center" wrapText="1"/>
      <protection locked="0"/>
    </xf>
    <xf numFmtId="0" fontId="1" fillId="0" borderId="7"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vertical="center" wrapText="1"/>
      <protection locked="0"/>
    </xf>
    <xf numFmtId="0" fontId="1" fillId="0" borderId="7" xfId="0" applyFont="1" applyFill="1" applyBorder="1" applyAlignment="1" applyProtection="1">
      <alignment vertical="center" wrapText="1"/>
      <protection locked="0"/>
    </xf>
    <xf numFmtId="0" fontId="1" fillId="0" borderId="2" xfId="0" applyFont="1" applyFill="1" applyBorder="1" applyAlignment="1" applyProtection="1">
      <alignment vertical="center" wrapText="1"/>
      <protection locked="0"/>
    </xf>
    <xf numFmtId="0" fontId="2" fillId="0" borderId="3" xfId="0" applyFont="1" applyFill="1" applyBorder="1" applyAlignment="1">
      <alignment horizontal="center" vertical="top" wrapText="1"/>
    </xf>
    <xf numFmtId="0" fontId="2" fillId="0" borderId="2" xfId="0" applyFont="1" applyFill="1" applyBorder="1" applyAlignment="1">
      <alignment horizontal="center" vertical="top" wrapText="1"/>
    </xf>
    <xf numFmtId="0" fontId="5" fillId="0" borderId="7"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vertical="center" wrapText="1"/>
    </xf>
    <xf numFmtId="0" fontId="5" fillId="0" borderId="7" xfId="0" applyFont="1" applyFill="1" applyBorder="1" applyAlignment="1">
      <alignment vertical="center" wrapText="1"/>
    </xf>
    <xf numFmtId="1" fontId="1" fillId="0" borderId="1" xfId="0" applyNumberFormat="1" applyFont="1" applyFill="1" applyBorder="1" applyAlignment="1">
      <alignment horizontal="center" vertical="center" wrapText="1"/>
    </xf>
    <xf numFmtId="0" fontId="5" fillId="0" borderId="3" xfId="0" applyFont="1" applyFill="1" applyBorder="1" applyAlignment="1" applyProtection="1">
      <alignment vertical="center" wrapText="1"/>
      <protection locked="0"/>
    </xf>
    <xf numFmtId="0" fontId="5" fillId="0" borderId="7" xfId="0" applyFont="1" applyFill="1" applyBorder="1" applyAlignment="1" applyProtection="1">
      <alignment vertical="center" wrapText="1"/>
      <protection locked="0"/>
    </xf>
    <xf numFmtId="0" fontId="2" fillId="0" borderId="3" xfId="0" applyFont="1" applyFill="1" applyBorder="1" applyAlignment="1">
      <alignment horizontal="right" vertical="center" wrapText="1"/>
    </xf>
    <xf numFmtId="0" fontId="2" fillId="0" borderId="7" xfId="0" applyFont="1" applyFill="1" applyBorder="1" applyAlignment="1">
      <alignment horizontal="right" vertical="center" wrapText="1"/>
    </xf>
    <xf numFmtId="4" fontId="2" fillId="0" borderId="10" xfId="0" applyNumberFormat="1" applyFont="1" applyFill="1" applyBorder="1" applyAlignment="1">
      <alignment horizontal="center" vertical="center" wrapText="1"/>
    </xf>
    <xf numFmtId="3" fontId="2" fillId="0" borderId="10"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pplyProtection="1">
      <alignment vertical="center" wrapText="1"/>
      <protection locked="0"/>
    </xf>
    <xf numFmtId="0" fontId="5" fillId="0" borderId="2"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1" fontId="5" fillId="0" borderId="8" xfId="0" applyNumberFormat="1" applyFont="1" applyFill="1" applyBorder="1" applyAlignment="1" applyProtection="1">
      <alignment horizontal="center" vertical="center" wrapText="1"/>
      <protection locked="0"/>
    </xf>
    <xf numFmtId="0" fontId="5" fillId="0" borderId="10" xfId="0" applyFont="1" applyFill="1" applyBorder="1" applyAlignment="1" applyProtection="1">
      <alignment horizontal="center" vertical="center" wrapText="1"/>
      <protection locked="0"/>
    </xf>
    <xf numFmtId="0" fontId="5" fillId="0" borderId="8" xfId="0" applyFont="1" applyFill="1" applyBorder="1" applyAlignment="1" applyProtection="1">
      <alignment horizontal="center" vertical="center" wrapText="1"/>
      <protection locked="0"/>
    </xf>
    <xf numFmtId="0" fontId="5" fillId="0" borderId="2" xfId="0" applyFont="1" applyFill="1" applyBorder="1" applyAlignment="1" applyProtection="1">
      <alignment vertical="center" wrapText="1"/>
      <protection locked="0"/>
    </xf>
    <xf numFmtId="0" fontId="1" fillId="0" borderId="9" xfId="0" applyFont="1" applyFill="1" applyBorder="1" applyAlignment="1" applyProtection="1">
      <alignment vertical="center" wrapText="1"/>
      <protection locked="0"/>
    </xf>
    <xf numFmtId="0" fontId="1" fillId="0" borderId="11" xfId="0" applyFont="1" applyFill="1" applyBorder="1" applyAlignment="1" applyProtection="1">
      <alignment vertical="center" wrapText="1"/>
      <protection locked="0"/>
    </xf>
    <xf numFmtId="0" fontId="5" fillId="0" borderId="3" xfId="0" applyFont="1" applyFill="1" applyBorder="1" applyAlignment="1">
      <alignment horizontal="center" vertical="center"/>
    </xf>
    <xf numFmtId="0" fontId="5" fillId="0" borderId="2" xfId="0" applyFont="1" applyFill="1" applyBorder="1" applyAlignment="1">
      <alignment horizontal="center" vertical="center"/>
    </xf>
    <xf numFmtId="0" fontId="1" fillId="0" borderId="1" xfId="0" applyFont="1" applyFill="1" applyBorder="1" applyAlignment="1" applyProtection="1">
      <alignment horizontal="center" vertical="center" wrapText="1"/>
      <protection locked="0"/>
    </xf>
    <xf numFmtId="0" fontId="1" fillId="0" borderId="12" xfId="0" applyFont="1" applyFill="1" applyBorder="1" applyAlignment="1" applyProtection="1">
      <alignment vertical="center" wrapText="1"/>
      <protection locked="0"/>
    </xf>
    <xf numFmtId="0" fontId="2" fillId="0" borderId="9" xfId="0" applyFont="1" applyFill="1" applyBorder="1" applyAlignment="1">
      <alignment vertical="center" wrapText="1"/>
    </xf>
    <xf numFmtId="0" fontId="2" fillId="0" borderId="11" xfId="0" applyFont="1" applyFill="1" applyBorder="1" applyAlignment="1">
      <alignment vertical="center" wrapText="1"/>
    </xf>
    <xf numFmtId="0" fontId="2" fillId="0" borderId="12" xfId="0" applyFont="1" applyFill="1" applyBorder="1" applyAlignment="1">
      <alignment vertical="center" wrapText="1"/>
    </xf>
    <xf numFmtId="0" fontId="2" fillId="0" borderId="2" xfId="0" applyFont="1" applyFill="1" applyBorder="1" applyAlignment="1">
      <alignment horizontal="right" vertical="center" wrapText="1"/>
    </xf>
    <xf numFmtId="0" fontId="1" fillId="0" borderId="1" xfId="0" applyFont="1" applyFill="1" applyBorder="1" applyAlignment="1" applyProtection="1">
      <alignment vertical="center" wrapText="1"/>
      <protection locked="0"/>
    </xf>
    <xf numFmtId="3" fontId="1" fillId="0" borderId="1" xfId="0" applyNumberFormat="1" applyFont="1" applyFill="1" applyBorder="1" applyAlignment="1">
      <alignment horizontal="center" vertical="center" wrapText="1"/>
    </xf>
    <xf numFmtId="0" fontId="5" fillId="0" borderId="7" xfId="0" applyFont="1" applyFill="1" applyBorder="1" applyAlignment="1">
      <alignment horizontal="center" vertical="center"/>
    </xf>
    <xf numFmtId="0" fontId="2" fillId="0" borderId="3" xfId="0" applyFont="1" applyFill="1" applyBorder="1" applyAlignment="1">
      <alignment horizontal="center" wrapText="1"/>
    </xf>
    <xf numFmtId="0" fontId="2" fillId="0" borderId="2" xfId="0" applyFont="1" applyFill="1" applyBorder="1" applyAlignment="1">
      <alignment horizontal="center" wrapText="1"/>
    </xf>
    <xf numFmtId="4" fontId="2" fillId="0" borderId="3" xfId="0" applyNumberFormat="1" applyFont="1" applyFill="1" applyBorder="1" applyAlignment="1">
      <alignment vertical="center" wrapText="1"/>
    </xf>
    <xf numFmtId="4" fontId="2" fillId="0" borderId="7" xfId="0" applyNumberFormat="1" applyFont="1" applyFill="1" applyBorder="1" applyAlignment="1">
      <alignment vertical="center" wrapText="1"/>
    </xf>
    <xf numFmtId="4" fontId="2" fillId="0" borderId="2" xfId="0" applyNumberFormat="1" applyFont="1" applyFill="1" applyBorder="1" applyAlignment="1">
      <alignment vertical="center" wrapText="1"/>
    </xf>
    <xf numFmtId="1" fontId="1" fillId="0" borderId="3" xfId="0" applyNumberFormat="1" applyFont="1" applyFill="1" applyBorder="1" applyAlignment="1">
      <alignment horizontal="center" vertical="center" wrapText="1"/>
    </xf>
    <xf numFmtId="1" fontId="1" fillId="0" borderId="7" xfId="0" applyNumberFormat="1" applyFont="1" applyFill="1" applyBorder="1" applyAlignment="1">
      <alignment horizontal="center" vertical="center" wrapText="1"/>
    </xf>
    <xf numFmtId="1" fontId="1" fillId="0" borderId="2" xfId="0" applyNumberFormat="1" applyFont="1" applyFill="1" applyBorder="1" applyAlignment="1">
      <alignment horizontal="center" vertical="center" wrapText="1"/>
    </xf>
    <xf numFmtId="0" fontId="2" fillId="0" borderId="7" xfId="0" applyFont="1" applyFill="1" applyBorder="1" applyAlignment="1">
      <alignment horizontal="center" vertical="top" wrapText="1"/>
    </xf>
    <xf numFmtId="0" fontId="2" fillId="0" borderId="7" xfId="0" applyFont="1" applyFill="1" applyBorder="1" applyAlignment="1">
      <alignment horizontal="center" wrapText="1"/>
    </xf>
    <xf numFmtId="0" fontId="9" fillId="0" borderId="0" xfId="0" applyFont="1" applyFill="1" applyAlignment="1">
      <alignment horizontal="center" wrapText="1"/>
    </xf>
  </cellXfs>
  <cellStyles count="4">
    <cellStyle name="Обычный" xfId="0" builtinId="0"/>
    <cellStyle name="Обычный 2" xfId="1"/>
    <cellStyle name="Финансовый" xfId="3" builtinId="3"/>
    <cellStyle name="Финансовый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05-04%20&#1050;&#1088;&#1072;&#1090;&#1082;&#1086;&#1089;&#1088;&#1086;&#1095;&#1085;&#1099;&#1077;%20&#1087;&#1083;&#1072;&#1085;&#1099;\2%20&#1082;&#1086;&#1088;&#1088;&#1077;&#1082;&#1090;&#1080;&#1088;&#1086;&#1074;&#1082;&#1072;%20&#1050;&#1055;%202017-2019\&#1057;&#1077;&#1074;&#1077;&#1088;&#1089;&#1082;\&#1047;&#1040;&#1058;&#1054;%20&#1057;&#1077;&#1074;&#1077;&#1088;&#1089;&#1082;%201%20&#1082;&#1086;&#1088;&#1088;&#1077;&#1082;&#1090;&#1080;&#1088;&#1086;&#1074;&#1082;&#1072;%20(&#1085;&#1086;&#1074;&#1099;&#1077;%20&#1087;&#1088;&#1077;&#1076;&#1077;&#1083;&#1100;&#1085;&#1099;&#1077;,%20&#1088;&#1077;&#1096;&#1077;&#1085;&#1080;&#1077;%20&#1056;&#1050;)%20&#1082;%20&#1091;&#1090;&#1074;&#1077;&#1088;&#1078;&#1076;&#1077;&#1085;&#1080;&#11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форма 1"/>
      <sheetName val="Форма 2"/>
    </sheetNames>
    <sheetDataSet>
      <sheetData sheetId="0">
        <row r="117">
          <cell r="J117">
            <v>2066707.89</v>
          </cell>
        </row>
      </sheetData>
      <sheetData sheetId="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48"/>
  <sheetViews>
    <sheetView tabSelected="1" view="pageBreakPreview" zoomScale="70" zoomScaleNormal="75" zoomScaleSheetLayoutView="70" workbookViewId="0">
      <pane xSplit="4" ySplit="8" topLeftCell="E9" activePane="bottomRight" state="frozen"/>
      <selection pane="topRight" activeCell="E1" sqref="E1"/>
      <selection pane="bottomLeft" activeCell="A9" sqref="A9"/>
      <selection pane="bottomRight" activeCell="A4" sqref="A4:A7"/>
    </sheetView>
  </sheetViews>
  <sheetFormatPr defaultColWidth="9.1796875" defaultRowHeight="15.5" x14ac:dyDescent="0.35"/>
  <cols>
    <col min="1" max="1" width="9.453125" style="120" customWidth="1"/>
    <col min="2" max="2" width="9.54296875" style="120" customWidth="1"/>
    <col min="3" max="3" width="48" style="1" customWidth="1"/>
    <col min="4" max="4" width="7.81640625" style="121" customWidth="1"/>
    <col min="5" max="5" width="16.7265625" style="122" customWidth="1"/>
    <col min="6" max="6" width="16.1796875" style="122" customWidth="1"/>
    <col min="7" max="7" width="12.81640625" style="122" customWidth="1"/>
    <col min="8" max="8" width="13.453125" style="122" customWidth="1"/>
    <col min="9" max="9" width="12.54296875" style="121" customWidth="1"/>
    <col min="10" max="10" width="17.54296875" style="122" customWidth="1"/>
    <col min="11" max="13" width="12.81640625" style="122" customWidth="1"/>
    <col min="14" max="14" width="17.54296875" style="122" customWidth="1"/>
    <col min="15" max="15" width="18.54296875" style="122" customWidth="1"/>
    <col min="16" max="16" width="13.7265625" style="122" customWidth="1"/>
    <col min="17" max="17" width="10.81640625" style="122" customWidth="1"/>
    <col min="18" max="18" width="11.1796875" style="122" customWidth="1"/>
    <col min="19" max="19" width="9.81640625" style="11" customWidth="1"/>
    <col min="20" max="20" width="14" style="1" bestFit="1" customWidth="1"/>
    <col min="21" max="67" width="12.81640625" style="1" bestFit="1" customWidth="1"/>
    <col min="68" max="68" width="3.54296875" style="1" customWidth="1"/>
    <col min="69" max="69" width="14.26953125" style="1" customWidth="1"/>
    <col min="70" max="86" width="9.26953125" style="1" customWidth="1"/>
    <col min="87" max="181" width="12.81640625" style="1" bestFit="1" customWidth="1"/>
    <col min="182" max="182" width="13.453125" style="1" bestFit="1" customWidth="1"/>
    <col min="183" max="16384" width="9.1796875" style="1"/>
  </cols>
  <sheetData>
    <row r="1" spans="1:26" s="9" customFormat="1" ht="95.25" customHeight="1" x14ac:dyDescent="0.35">
      <c r="A1" s="6"/>
      <c r="B1" s="6"/>
      <c r="C1" s="7"/>
      <c r="D1" s="7"/>
      <c r="E1" s="7"/>
      <c r="F1" s="7"/>
      <c r="G1" s="7"/>
      <c r="H1" s="7"/>
      <c r="I1" s="7"/>
      <c r="J1" s="7"/>
      <c r="K1" s="7"/>
      <c r="L1" s="7"/>
      <c r="M1" s="7"/>
      <c r="N1" s="7"/>
      <c r="O1" s="252" t="s">
        <v>835</v>
      </c>
      <c r="P1" s="252"/>
      <c r="Q1" s="252"/>
      <c r="R1" s="252"/>
      <c r="S1" s="252"/>
      <c r="T1" s="8"/>
      <c r="U1" s="8"/>
    </row>
    <row r="2" spans="1:26" s="9" customFormat="1" ht="25.5" customHeight="1" x14ac:dyDescent="0.35">
      <c r="A2" s="253" t="s">
        <v>833</v>
      </c>
      <c r="B2" s="253"/>
      <c r="C2" s="253"/>
      <c r="D2" s="253"/>
      <c r="E2" s="253"/>
      <c r="F2" s="253"/>
      <c r="G2" s="253"/>
      <c r="H2" s="253"/>
      <c r="I2" s="253"/>
      <c r="J2" s="253"/>
      <c r="K2" s="253"/>
      <c r="L2" s="253"/>
      <c r="M2" s="253"/>
      <c r="N2" s="253"/>
      <c r="O2" s="253"/>
      <c r="P2" s="253"/>
      <c r="Q2" s="253"/>
      <c r="R2" s="253"/>
      <c r="S2" s="253"/>
      <c r="T2" s="10"/>
      <c r="U2" s="10"/>
      <c r="V2" s="10"/>
      <c r="W2" s="10"/>
      <c r="Y2" s="8"/>
      <c r="Z2" s="8"/>
    </row>
    <row r="3" spans="1:26" ht="35.25" customHeight="1" x14ac:dyDescent="0.35">
      <c r="A3" s="244" t="s">
        <v>31</v>
      </c>
      <c r="B3" s="244"/>
      <c r="C3" s="244"/>
      <c r="D3" s="244"/>
      <c r="E3" s="245"/>
      <c r="F3" s="245"/>
      <c r="G3" s="244"/>
      <c r="H3" s="244"/>
      <c r="I3" s="244"/>
      <c r="J3" s="244"/>
      <c r="K3" s="244"/>
      <c r="L3" s="244"/>
      <c r="M3" s="244"/>
      <c r="N3" s="244"/>
      <c r="O3" s="244"/>
      <c r="P3" s="244"/>
      <c r="Q3" s="244"/>
      <c r="R3" s="244"/>
    </row>
    <row r="4" spans="1:26" x14ac:dyDescent="0.35">
      <c r="A4" s="254" t="s">
        <v>0</v>
      </c>
      <c r="B4" s="248" t="s">
        <v>32</v>
      </c>
      <c r="C4" s="242" t="s">
        <v>1</v>
      </c>
      <c r="D4" s="243" t="s">
        <v>58</v>
      </c>
      <c r="E4" s="249" t="s">
        <v>764</v>
      </c>
      <c r="F4" s="243" t="s">
        <v>765</v>
      </c>
      <c r="G4" s="243" t="s">
        <v>3</v>
      </c>
      <c r="H4" s="243" t="s">
        <v>59</v>
      </c>
      <c r="I4" s="247" t="s">
        <v>18</v>
      </c>
      <c r="J4" s="242" t="s">
        <v>4</v>
      </c>
      <c r="K4" s="242"/>
      <c r="L4" s="242"/>
      <c r="M4" s="242"/>
      <c r="N4" s="242"/>
      <c r="O4" s="242"/>
      <c r="P4" s="243" t="s">
        <v>772</v>
      </c>
      <c r="Q4" s="243" t="s">
        <v>773</v>
      </c>
      <c r="R4" s="243" t="s">
        <v>5</v>
      </c>
      <c r="S4" s="241" t="s">
        <v>60</v>
      </c>
    </row>
    <row r="5" spans="1:26" ht="15.75" customHeight="1" x14ac:dyDescent="0.35">
      <c r="A5" s="254"/>
      <c r="B5" s="248"/>
      <c r="C5" s="242"/>
      <c r="D5" s="243"/>
      <c r="E5" s="250"/>
      <c r="F5" s="243"/>
      <c r="G5" s="243"/>
      <c r="H5" s="243"/>
      <c r="I5" s="247"/>
      <c r="J5" s="243" t="s">
        <v>14</v>
      </c>
      <c r="K5" s="242" t="s">
        <v>15</v>
      </c>
      <c r="L5" s="242"/>
      <c r="M5" s="242"/>
      <c r="N5" s="242"/>
      <c r="O5" s="242"/>
      <c r="P5" s="243"/>
      <c r="Q5" s="243"/>
      <c r="R5" s="243"/>
      <c r="S5" s="241"/>
    </row>
    <row r="6" spans="1:26" ht="183.75" customHeight="1" x14ac:dyDescent="0.35">
      <c r="A6" s="254"/>
      <c r="B6" s="248"/>
      <c r="C6" s="242"/>
      <c r="D6" s="243"/>
      <c r="E6" s="250"/>
      <c r="F6" s="243"/>
      <c r="G6" s="243"/>
      <c r="H6" s="243"/>
      <c r="I6" s="247"/>
      <c r="J6" s="243"/>
      <c r="K6" s="12" t="s">
        <v>6</v>
      </c>
      <c r="L6" s="12" t="s">
        <v>7</v>
      </c>
      <c r="M6" s="12" t="s">
        <v>8</v>
      </c>
      <c r="N6" s="12" t="s">
        <v>26</v>
      </c>
      <c r="O6" s="12" t="s">
        <v>27</v>
      </c>
      <c r="P6" s="243"/>
      <c r="Q6" s="243"/>
      <c r="R6" s="243"/>
      <c r="S6" s="241"/>
    </row>
    <row r="7" spans="1:26" x14ac:dyDescent="0.35">
      <c r="A7" s="254"/>
      <c r="B7" s="248"/>
      <c r="C7" s="242"/>
      <c r="D7" s="243"/>
      <c r="E7" s="251"/>
      <c r="F7" s="243"/>
      <c r="G7" s="13" t="s">
        <v>9</v>
      </c>
      <c r="H7" s="13" t="s">
        <v>9</v>
      </c>
      <c r="I7" s="14" t="s">
        <v>10</v>
      </c>
      <c r="J7" s="13" t="s">
        <v>11</v>
      </c>
      <c r="K7" s="13" t="s">
        <v>11</v>
      </c>
      <c r="L7" s="13" t="s">
        <v>11</v>
      </c>
      <c r="M7" s="13" t="s">
        <v>11</v>
      </c>
      <c r="N7" s="13" t="s">
        <v>11</v>
      </c>
      <c r="O7" s="13" t="s">
        <v>11</v>
      </c>
      <c r="P7" s="13" t="s">
        <v>12</v>
      </c>
      <c r="Q7" s="13" t="s">
        <v>12</v>
      </c>
      <c r="R7" s="243"/>
      <c r="S7" s="241"/>
    </row>
    <row r="8" spans="1:26" x14ac:dyDescent="0.35">
      <c r="A8" s="15">
        <v>1</v>
      </c>
      <c r="B8" s="15">
        <v>2</v>
      </c>
      <c r="C8" s="15">
        <v>3</v>
      </c>
      <c r="D8" s="15">
        <v>4</v>
      </c>
      <c r="E8" s="15">
        <v>5</v>
      </c>
      <c r="F8" s="15">
        <v>6</v>
      </c>
      <c r="G8" s="15">
        <v>7</v>
      </c>
      <c r="H8" s="15">
        <v>8</v>
      </c>
      <c r="I8" s="15">
        <v>9</v>
      </c>
      <c r="J8" s="15">
        <v>10</v>
      </c>
      <c r="K8" s="15">
        <v>11</v>
      </c>
      <c r="L8" s="15">
        <v>12</v>
      </c>
      <c r="M8" s="15">
        <v>13</v>
      </c>
      <c r="N8" s="15">
        <v>14</v>
      </c>
      <c r="O8" s="15">
        <v>15</v>
      </c>
      <c r="P8" s="15">
        <v>16</v>
      </c>
      <c r="Q8" s="15">
        <v>17</v>
      </c>
      <c r="R8" s="15">
        <v>18</v>
      </c>
      <c r="S8" s="15">
        <v>19</v>
      </c>
    </row>
    <row r="9" spans="1:26" ht="15.75" customHeight="1" x14ac:dyDescent="0.35">
      <c r="A9" s="15" t="s">
        <v>28</v>
      </c>
      <c r="B9" s="15"/>
      <c r="C9" s="16"/>
      <c r="D9" s="15"/>
      <c r="E9" s="16"/>
      <c r="F9" s="16"/>
      <c r="G9" s="16"/>
      <c r="H9" s="16"/>
      <c r="I9" s="15"/>
      <c r="J9" s="16"/>
      <c r="K9" s="16"/>
      <c r="L9" s="16"/>
      <c r="M9" s="16"/>
      <c r="N9" s="16"/>
      <c r="O9" s="16"/>
      <c r="P9" s="16"/>
      <c r="Q9" s="16"/>
      <c r="R9" s="16"/>
      <c r="S9" s="17"/>
    </row>
    <row r="10" spans="1:26" ht="15.75" customHeight="1" x14ac:dyDescent="0.35">
      <c r="A10" s="229" t="s">
        <v>51</v>
      </c>
      <c r="B10" s="229"/>
      <c r="C10" s="229"/>
      <c r="D10" s="18" t="s">
        <v>13</v>
      </c>
      <c r="E10" s="4" t="s">
        <v>13</v>
      </c>
      <c r="F10" s="4" t="s">
        <v>13</v>
      </c>
      <c r="G10" s="4">
        <f t="shared" ref="G10:O10" si="0">G11+G14+G28+G32+G35+G85+G102+G263+G265+G269+G272+G291+G294+G297+G300+G303+G314+G316</f>
        <v>1021195.38</v>
      </c>
      <c r="H10" s="4">
        <f t="shared" si="0"/>
        <v>860470.56</v>
      </c>
      <c r="I10" s="19">
        <f t="shared" si="0"/>
        <v>37479</v>
      </c>
      <c r="J10" s="4">
        <f t="shared" si="0"/>
        <v>893868402.92999995</v>
      </c>
      <c r="K10" s="4">
        <f t="shared" si="0"/>
        <v>0</v>
      </c>
      <c r="L10" s="4">
        <f t="shared" si="0"/>
        <v>0</v>
      </c>
      <c r="M10" s="4">
        <f t="shared" si="0"/>
        <v>0</v>
      </c>
      <c r="N10" s="4">
        <f t="shared" si="0"/>
        <v>862777258.37</v>
      </c>
      <c r="O10" s="4">
        <f t="shared" si="0"/>
        <v>31091144.559999999</v>
      </c>
      <c r="P10" s="4" t="s">
        <v>13</v>
      </c>
      <c r="Q10" s="4" t="s">
        <v>13</v>
      </c>
      <c r="R10" s="4" t="s">
        <v>13</v>
      </c>
      <c r="S10" s="19" t="s">
        <v>13</v>
      </c>
    </row>
    <row r="11" spans="1:26" ht="15.75" customHeight="1" x14ac:dyDescent="0.35">
      <c r="A11" s="229" t="s">
        <v>16</v>
      </c>
      <c r="B11" s="229"/>
      <c r="C11" s="229"/>
      <c r="D11" s="18" t="s">
        <v>13</v>
      </c>
      <c r="E11" s="4" t="s">
        <v>13</v>
      </c>
      <c r="F11" s="4" t="s">
        <v>13</v>
      </c>
      <c r="G11" s="4">
        <f>G12+G13</f>
        <v>1124.5</v>
      </c>
      <c r="H11" s="4">
        <f t="shared" ref="H11:O11" si="1">H12+H13</f>
        <v>1011.4</v>
      </c>
      <c r="I11" s="19">
        <f t="shared" si="1"/>
        <v>51</v>
      </c>
      <c r="J11" s="4">
        <f t="shared" si="1"/>
        <v>1910632</v>
      </c>
      <c r="K11" s="4">
        <f t="shared" si="1"/>
        <v>0</v>
      </c>
      <c r="L11" s="4">
        <f t="shared" si="1"/>
        <v>0</v>
      </c>
      <c r="M11" s="4">
        <f t="shared" si="1"/>
        <v>0</v>
      </c>
      <c r="N11" s="4">
        <f t="shared" si="1"/>
        <v>1831397.95</v>
      </c>
      <c r="O11" s="4">
        <f t="shared" si="1"/>
        <v>79234.05</v>
      </c>
      <c r="P11" s="4" t="s">
        <v>13</v>
      </c>
      <c r="Q11" s="4" t="s">
        <v>13</v>
      </c>
      <c r="R11" s="4" t="s">
        <v>13</v>
      </c>
      <c r="S11" s="19" t="s">
        <v>13</v>
      </c>
    </row>
    <row r="12" spans="1:26" ht="15.75" customHeight="1" x14ac:dyDescent="0.35">
      <c r="A12" s="20">
        <v>1</v>
      </c>
      <c r="B12" s="21">
        <v>4743</v>
      </c>
      <c r="C12" s="22" t="s">
        <v>151</v>
      </c>
      <c r="D12" s="23">
        <v>1973</v>
      </c>
      <c r="E12" s="24" t="s">
        <v>74</v>
      </c>
      <c r="F12" s="25" t="s">
        <v>152</v>
      </c>
      <c r="G12" s="4">
        <v>540.4</v>
      </c>
      <c r="H12" s="4">
        <v>498</v>
      </c>
      <c r="I12" s="19">
        <v>30</v>
      </c>
      <c r="J12" s="4">
        <f>'Форма 2'!I7</f>
        <v>88146</v>
      </c>
      <c r="K12" s="4">
        <v>0</v>
      </c>
      <c r="L12" s="4">
        <v>0</v>
      </c>
      <c r="M12" s="4">
        <v>0</v>
      </c>
      <c r="N12" s="4">
        <f>J12-K12-L12-M12-O12</f>
        <v>83500.63</v>
      </c>
      <c r="O12" s="4">
        <v>4645.37</v>
      </c>
      <c r="P12" s="4">
        <f>J12/H12</f>
        <v>177</v>
      </c>
      <c r="Q12" s="4">
        <f>'Форма 2'!K7</f>
        <v>177</v>
      </c>
      <c r="R12" s="26" t="s">
        <v>153</v>
      </c>
      <c r="S12" s="5">
        <v>1</v>
      </c>
    </row>
    <row r="13" spans="1:26" ht="15.75" customHeight="1" x14ac:dyDescent="0.35">
      <c r="A13" s="20">
        <f>A12+1</f>
        <v>2</v>
      </c>
      <c r="B13" s="21">
        <v>4745</v>
      </c>
      <c r="C13" s="22" t="s">
        <v>154</v>
      </c>
      <c r="D13" s="23">
        <v>1973</v>
      </c>
      <c r="E13" s="24" t="s">
        <v>74</v>
      </c>
      <c r="F13" s="25" t="s">
        <v>155</v>
      </c>
      <c r="G13" s="4">
        <v>584.1</v>
      </c>
      <c r="H13" s="4">
        <v>513.4</v>
      </c>
      <c r="I13" s="19">
        <v>21</v>
      </c>
      <c r="J13" s="4">
        <f>'Форма 2'!I9</f>
        <v>1822486</v>
      </c>
      <c r="K13" s="4">
        <v>0</v>
      </c>
      <c r="L13" s="4">
        <v>0</v>
      </c>
      <c r="M13" s="4">
        <v>0</v>
      </c>
      <c r="N13" s="4">
        <f>J13-K13-L13-M13-O13</f>
        <v>1747897.32</v>
      </c>
      <c r="O13" s="4">
        <v>74588.679999999993</v>
      </c>
      <c r="P13" s="4">
        <f>J13/H13</f>
        <v>3549.84</v>
      </c>
      <c r="Q13" s="4">
        <f>'Форма 2'!K9</f>
        <v>7539</v>
      </c>
      <c r="R13" s="26" t="s">
        <v>153</v>
      </c>
      <c r="S13" s="5">
        <v>1</v>
      </c>
    </row>
    <row r="14" spans="1:26" ht="15.75" customHeight="1" x14ac:dyDescent="0.35">
      <c r="A14" s="230" t="s">
        <v>33</v>
      </c>
      <c r="B14" s="230"/>
      <c r="C14" s="230"/>
      <c r="D14" s="18" t="s">
        <v>13</v>
      </c>
      <c r="E14" s="4" t="s">
        <v>13</v>
      </c>
      <c r="F14" s="4" t="s">
        <v>13</v>
      </c>
      <c r="G14" s="4">
        <f>SUM(G15:G27)</f>
        <v>23771.43</v>
      </c>
      <c r="H14" s="4">
        <f t="shared" ref="H14:O14" si="2">SUM(H15:H27)</f>
        <v>17526.62</v>
      </c>
      <c r="I14" s="19">
        <f t="shared" si="2"/>
        <v>732</v>
      </c>
      <c r="J14" s="4">
        <f t="shared" si="2"/>
        <v>25094106.350000001</v>
      </c>
      <c r="K14" s="4">
        <f t="shared" si="2"/>
        <v>0</v>
      </c>
      <c r="L14" s="4">
        <f t="shared" si="2"/>
        <v>0</v>
      </c>
      <c r="M14" s="4">
        <f t="shared" si="2"/>
        <v>0</v>
      </c>
      <c r="N14" s="4">
        <f t="shared" si="2"/>
        <v>24279313.399999999</v>
      </c>
      <c r="O14" s="4">
        <f t="shared" si="2"/>
        <v>814792.95</v>
      </c>
      <c r="P14" s="4" t="s">
        <v>13</v>
      </c>
      <c r="Q14" s="4" t="s">
        <v>13</v>
      </c>
      <c r="R14" s="4" t="s">
        <v>13</v>
      </c>
      <c r="S14" s="19" t="s">
        <v>13</v>
      </c>
    </row>
    <row r="15" spans="1:26" s="2" customFormat="1" ht="15.75" customHeight="1" x14ac:dyDescent="0.35">
      <c r="A15" s="27">
        <v>1</v>
      </c>
      <c r="B15" s="28">
        <v>4395</v>
      </c>
      <c r="C15" s="29" t="s">
        <v>156</v>
      </c>
      <c r="D15" s="30">
        <v>1984</v>
      </c>
      <c r="E15" s="24" t="s">
        <v>74</v>
      </c>
      <c r="F15" s="24" t="s">
        <v>152</v>
      </c>
      <c r="G15" s="31">
        <v>1353.3</v>
      </c>
      <c r="H15" s="31">
        <v>846</v>
      </c>
      <c r="I15" s="32">
        <v>19</v>
      </c>
      <c r="J15" s="33">
        <f>'Форма 2'!I13</f>
        <v>85404.68</v>
      </c>
      <c r="K15" s="4">
        <v>0</v>
      </c>
      <c r="L15" s="4">
        <v>0</v>
      </c>
      <c r="M15" s="4">
        <v>0</v>
      </c>
      <c r="N15" s="4">
        <f>J15-K15-L15-M15-O15</f>
        <v>79190.23</v>
      </c>
      <c r="O15" s="4">
        <v>6214.45</v>
      </c>
      <c r="P15" s="33">
        <f t="shared" ref="P15:P27" si="3">J15/H15</f>
        <v>100.95</v>
      </c>
      <c r="Q15" s="4">
        <f>'Форма 2'!K14</f>
        <v>178</v>
      </c>
      <c r="R15" s="26" t="s">
        <v>153</v>
      </c>
      <c r="S15" s="5">
        <v>1</v>
      </c>
      <c r="T15" s="1"/>
    </row>
    <row r="16" spans="1:26" s="2" customFormat="1" ht="15.75" customHeight="1" x14ac:dyDescent="0.35">
      <c r="A16" s="27">
        <f>A15+1</f>
        <v>2</v>
      </c>
      <c r="B16" s="28">
        <v>4504</v>
      </c>
      <c r="C16" s="29" t="s">
        <v>157</v>
      </c>
      <c r="D16" s="30">
        <v>1962</v>
      </c>
      <c r="E16" s="24" t="s">
        <v>74</v>
      </c>
      <c r="F16" s="24" t="s">
        <v>155</v>
      </c>
      <c r="G16" s="31">
        <v>1413.1</v>
      </c>
      <c r="H16" s="31">
        <v>988.9</v>
      </c>
      <c r="I16" s="32">
        <v>33</v>
      </c>
      <c r="J16" s="33">
        <f>'Форма 2'!I15</f>
        <v>5224890.63</v>
      </c>
      <c r="K16" s="4">
        <v>0</v>
      </c>
      <c r="L16" s="4">
        <v>0</v>
      </c>
      <c r="M16" s="4">
        <v>0</v>
      </c>
      <c r="N16" s="4">
        <f t="shared" ref="N16:N27" si="4">J16-K16-L16-M16-O16</f>
        <v>5072239.8099999996</v>
      </c>
      <c r="O16" s="4">
        <v>152650.82</v>
      </c>
      <c r="P16" s="33">
        <f t="shared" si="3"/>
        <v>5283.54</v>
      </c>
      <c r="Q16" s="4">
        <f>'Форма 2'!K15</f>
        <v>7066</v>
      </c>
      <c r="R16" s="26" t="s">
        <v>153</v>
      </c>
      <c r="S16" s="5">
        <v>1</v>
      </c>
      <c r="T16" s="1"/>
    </row>
    <row r="17" spans="1:20" s="2" customFormat="1" ht="15.75" customHeight="1" x14ac:dyDescent="0.35">
      <c r="A17" s="27">
        <f t="shared" ref="A17:A27" si="5">A16+1</f>
        <v>3</v>
      </c>
      <c r="B17" s="28">
        <v>4559</v>
      </c>
      <c r="C17" s="29" t="s">
        <v>158</v>
      </c>
      <c r="D17" s="30">
        <v>1972</v>
      </c>
      <c r="E17" s="24" t="s">
        <v>74</v>
      </c>
      <c r="F17" s="24" t="s">
        <v>155</v>
      </c>
      <c r="G17" s="31">
        <v>973</v>
      </c>
      <c r="H17" s="31">
        <v>887.4</v>
      </c>
      <c r="I17" s="32">
        <v>36</v>
      </c>
      <c r="J17" s="33">
        <f>'Форма 2'!I18</f>
        <v>3994513.54</v>
      </c>
      <c r="K17" s="4">
        <v>0</v>
      </c>
      <c r="L17" s="4">
        <v>0</v>
      </c>
      <c r="M17" s="4">
        <v>0</v>
      </c>
      <c r="N17" s="4">
        <f t="shared" si="4"/>
        <v>3862092.68</v>
      </c>
      <c r="O17" s="4">
        <v>132420.85999999999</v>
      </c>
      <c r="P17" s="33">
        <f t="shared" si="3"/>
        <v>4501.37</v>
      </c>
      <c r="Q17" s="4">
        <f>'Форма 2'!K18</f>
        <v>7066</v>
      </c>
      <c r="R17" s="26" t="s">
        <v>153</v>
      </c>
      <c r="S17" s="5">
        <v>1</v>
      </c>
      <c r="T17" s="1"/>
    </row>
    <row r="18" spans="1:20" s="2" customFormat="1" ht="15.75" customHeight="1" x14ac:dyDescent="0.35">
      <c r="A18" s="27">
        <f t="shared" si="5"/>
        <v>4</v>
      </c>
      <c r="B18" s="28">
        <v>4560</v>
      </c>
      <c r="C18" s="29" t="s">
        <v>159</v>
      </c>
      <c r="D18" s="30">
        <v>1981</v>
      </c>
      <c r="E18" s="24" t="s">
        <v>74</v>
      </c>
      <c r="F18" s="24" t="s">
        <v>160</v>
      </c>
      <c r="G18" s="31">
        <v>2287.61</v>
      </c>
      <c r="H18" s="31">
        <v>1535.88</v>
      </c>
      <c r="I18" s="32">
        <v>32</v>
      </c>
      <c r="J18" s="33">
        <f>'Форма 2'!I21</f>
        <v>2306895.33</v>
      </c>
      <c r="K18" s="4">
        <v>0</v>
      </c>
      <c r="L18" s="4">
        <v>0</v>
      </c>
      <c r="M18" s="4">
        <v>0</v>
      </c>
      <c r="N18" s="4">
        <f t="shared" si="4"/>
        <v>2235702.94</v>
      </c>
      <c r="O18" s="4">
        <v>71192.39</v>
      </c>
      <c r="P18" s="33">
        <f t="shared" si="3"/>
        <v>1502</v>
      </c>
      <c r="Q18" s="4">
        <f>'Форма 2'!K21</f>
        <v>4793</v>
      </c>
      <c r="R18" s="26" t="s">
        <v>161</v>
      </c>
      <c r="S18" s="5">
        <v>1</v>
      </c>
      <c r="T18" s="1"/>
    </row>
    <row r="19" spans="1:20" s="2" customFormat="1" ht="15.75" customHeight="1" x14ac:dyDescent="0.35">
      <c r="A19" s="27">
        <f t="shared" si="5"/>
        <v>5</v>
      </c>
      <c r="B19" s="28">
        <v>4405</v>
      </c>
      <c r="C19" s="29" t="s">
        <v>162</v>
      </c>
      <c r="D19" s="30">
        <v>1988</v>
      </c>
      <c r="E19" s="24" t="s">
        <v>74</v>
      </c>
      <c r="F19" s="24" t="s">
        <v>152</v>
      </c>
      <c r="G19" s="31">
        <v>2594.37</v>
      </c>
      <c r="H19" s="31">
        <v>1765.93</v>
      </c>
      <c r="I19" s="32">
        <v>47</v>
      </c>
      <c r="J19" s="33">
        <f>'Форма 2'!I24</f>
        <v>155158.57</v>
      </c>
      <c r="K19" s="4">
        <v>0</v>
      </c>
      <c r="L19" s="4">
        <v>0</v>
      </c>
      <c r="M19" s="4">
        <v>0</v>
      </c>
      <c r="N19" s="4">
        <f t="shared" si="4"/>
        <v>144379.65</v>
      </c>
      <c r="O19" s="4">
        <v>10778.92</v>
      </c>
      <c r="P19" s="33">
        <f t="shared" si="3"/>
        <v>87.86</v>
      </c>
      <c r="Q19" s="4">
        <f>'Форма 2'!K24</f>
        <v>164</v>
      </c>
      <c r="R19" s="26" t="s">
        <v>153</v>
      </c>
      <c r="S19" s="5">
        <v>1</v>
      </c>
      <c r="T19" s="1"/>
    </row>
    <row r="20" spans="1:20" s="2" customFormat="1" ht="15.75" customHeight="1" x14ac:dyDescent="0.35">
      <c r="A20" s="27">
        <f t="shared" si="5"/>
        <v>6</v>
      </c>
      <c r="B20" s="28">
        <v>4569</v>
      </c>
      <c r="C20" s="29" t="s">
        <v>163</v>
      </c>
      <c r="D20" s="30">
        <v>1981</v>
      </c>
      <c r="E20" s="24" t="s">
        <v>74</v>
      </c>
      <c r="F20" s="24" t="s">
        <v>152</v>
      </c>
      <c r="G20" s="31">
        <v>5453.35</v>
      </c>
      <c r="H20" s="31">
        <v>4033.01</v>
      </c>
      <c r="I20" s="32">
        <v>169</v>
      </c>
      <c r="J20" s="33">
        <f>'Форма 2'!I26</f>
        <v>259929.11</v>
      </c>
      <c r="K20" s="4">
        <v>0</v>
      </c>
      <c r="L20" s="4">
        <v>0</v>
      </c>
      <c r="M20" s="4">
        <v>0</v>
      </c>
      <c r="N20" s="4">
        <f t="shared" si="4"/>
        <v>238118.41</v>
      </c>
      <c r="O20" s="4">
        <v>21810.7</v>
      </c>
      <c r="P20" s="33">
        <f t="shared" si="3"/>
        <v>64.45</v>
      </c>
      <c r="Q20" s="4">
        <f>'Форма 2'!K26</f>
        <v>164</v>
      </c>
      <c r="R20" s="26" t="s">
        <v>153</v>
      </c>
      <c r="S20" s="5">
        <v>1</v>
      </c>
      <c r="T20" s="1"/>
    </row>
    <row r="21" spans="1:20" s="2" customFormat="1" ht="15.75" customHeight="1" x14ac:dyDescent="0.35">
      <c r="A21" s="27">
        <f t="shared" si="5"/>
        <v>7</v>
      </c>
      <c r="B21" s="28">
        <v>4590</v>
      </c>
      <c r="C21" s="29" t="s">
        <v>164</v>
      </c>
      <c r="D21" s="30">
        <v>1983</v>
      </c>
      <c r="E21" s="24" t="s">
        <v>74</v>
      </c>
      <c r="F21" s="24" t="s">
        <v>155</v>
      </c>
      <c r="G21" s="31">
        <v>506.7</v>
      </c>
      <c r="H21" s="31">
        <v>429.9</v>
      </c>
      <c r="I21" s="32">
        <v>11</v>
      </c>
      <c r="J21" s="33">
        <f>'Форма 2'!I28</f>
        <v>2389740.4900000002</v>
      </c>
      <c r="K21" s="4">
        <v>0</v>
      </c>
      <c r="L21" s="4">
        <v>0</v>
      </c>
      <c r="M21" s="4">
        <v>0</v>
      </c>
      <c r="N21" s="4">
        <f t="shared" si="4"/>
        <v>2319921.64</v>
      </c>
      <c r="O21" s="4">
        <v>69818.850000000006</v>
      </c>
      <c r="P21" s="33">
        <f t="shared" si="3"/>
        <v>5558.83</v>
      </c>
      <c r="Q21" s="4">
        <f>'Форма 2'!K28</f>
        <v>7066</v>
      </c>
      <c r="R21" s="26" t="s">
        <v>153</v>
      </c>
      <c r="S21" s="5">
        <v>1</v>
      </c>
      <c r="T21" s="1"/>
    </row>
    <row r="22" spans="1:20" s="2" customFormat="1" ht="15.75" customHeight="1" x14ac:dyDescent="0.35">
      <c r="A22" s="27">
        <f t="shared" si="5"/>
        <v>8</v>
      </c>
      <c r="B22" s="28">
        <v>4433</v>
      </c>
      <c r="C22" s="29" t="s">
        <v>165</v>
      </c>
      <c r="D22" s="30">
        <v>1981</v>
      </c>
      <c r="E22" s="24" t="s">
        <v>74</v>
      </c>
      <c r="F22" s="24" t="s">
        <v>155</v>
      </c>
      <c r="G22" s="31">
        <v>544.70000000000005</v>
      </c>
      <c r="H22" s="31">
        <v>493.5</v>
      </c>
      <c r="I22" s="32">
        <v>12</v>
      </c>
      <c r="J22" s="33">
        <f>'Форма 2'!I31</f>
        <v>2209136.2000000002</v>
      </c>
      <c r="K22" s="4">
        <v>0</v>
      </c>
      <c r="L22" s="4">
        <v>0</v>
      </c>
      <c r="M22" s="4">
        <v>0</v>
      </c>
      <c r="N22" s="4">
        <f t="shared" si="4"/>
        <v>2135681.2999999998</v>
      </c>
      <c r="O22" s="4">
        <v>73454.899999999994</v>
      </c>
      <c r="P22" s="33">
        <f t="shared" si="3"/>
        <v>4476.47</v>
      </c>
      <c r="Q22" s="4">
        <f>'Форма 2'!K31</f>
        <v>7066</v>
      </c>
      <c r="R22" s="26" t="s">
        <v>153</v>
      </c>
      <c r="S22" s="5">
        <v>1</v>
      </c>
      <c r="T22" s="1"/>
    </row>
    <row r="23" spans="1:20" s="2" customFormat="1" ht="15.75" customHeight="1" x14ac:dyDescent="0.35">
      <c r="A23" s="27">
        <f t="shared" si="5"/>
        <v>9</v>
      </c>
      <c r="B23" s="28">
        <v>4588</v>
      </c>
      <c r="C23" s="34" t="s">
        <v>166</v>
      </c>
      <c r="D23" s="27">
        <v>1986</v>
      </c>
      <c r="E23" s="24" t="s">
        <v>74</v>
      </c>
      <c r="F23" s="24" t="s">
        <v>155</v>
      </c>
      <c r="G23" s="35">
        <v>596.83000000000004</v>
      </c>
      <c r="H23" s="35">
        <v>517.29999999999995</v>
      </c>
      <c r="I23" s="36">
        <v>18</v>
      </c>
      <c r="J23" s="4">
        <f>'Форма 2'!I34</f>
        <v>2453590.9300000002</v>
      </c>
      <c r="K23" s="4">
        <v>0</v>
      </c>
      <c r="L23" s="4">
        <v>0</v>
      </c>
      <c r="M23" s="4">
        <v>0</v>
      </c>
      <c r="N23" s="4">
        <f t="shared" si="4"/>
        <v>2372007.79</v>
      </c>
      <c r="O23" s="4">
        <v>81583.14</v>
      </c>
      <c r="P23" s="4">
        <f t="shared" si="3"/>
        <v>4743.07</v>
      </c>
      <c r="Q23" s="4">
        <f>'Форма 2'!K34</f>
        <v>7066</v>
      </c>
      <c r="R23" s="26" t="s">
        <v>153</v>
      </c>
      <c r="S23" s="5">
        <v>1</v>
      </c>
      <c r="T23" s="1"/>
    </row>
    <row r="24" spans="1:20" s="2" customFormat="1" ht="15.75" customHeight="1" x14ac:dyDescent="0.35">
      <c r="A24" s="27">
        <f t="shared" si="5"/>
        <v>10</v>
      </c>
      <c r="B24" s="28">
        <v>4589</v>
      </c>
      <c r="C24" s="34" t="s">
        <v>167</v>
      </c>
      <c r="D24" s="27">
        <v>1990</v>
      </c>
      <c r="E24" s="24" t="s">
        <v>74</v>
      </c>
      <c r="F24" s="24" t="s">
        <v>152</v>
      </c>
      <c r="G24" s="35">
        <v>5250.48</v>
      </c>
      <c r="H24" s="35">
        <v>4046.4</v>
      </c>
      <c r="I24" s="36">
        <v>115</v>
      </c>
      <c r="J24" s="4">
        <f>'Форма 2'!I37</f>
        <v>270106.13</v>
      </c>
      <c r="K24" s="4">
        <v>0</v>
      </c>
      <c r="L24" s="4">
        <v>0</v>
      </c>
      <c r="M24" s="4">
        <v>0</v>
      </c>
      <c r="N24" s="4">
        <f t="shared" si="4"/>
        <v>248223.01</v>
      </c>
      <c r="O24" s="4">
        <v>21883.119999999999</v>
      </c>
      <c r="P24" s="4">
        <f t="shared" si="3"/>
        <v>66.75</v>
      </c>
      <c r="Q24" s="4">
        <f>'Форма 2'!K37</f>
        <v>164</v>
      </c>
      <c r="R24" s="26" t="s">
        <v>153</v>
      </c>
      <c r="S24" s="5">
        <v>1</v>
      </c>
      <c r="T24" s="1"/>
    </row>
    <row r="25" spans="1:20" s="2" customFormat="1" ht="15.75" customHeight="1" x14ac:dyDescent="0.35">
      <c r="A25" s="27">
        <f t="shared" si="5"/>
        <v>11</v>
      </c>
      <c r="B25" s="28">
        <v>4540</v>
      </c>
      <c r="C25" s="29" t="s">
        <v>168</v>
      </c>
      <c r="D25" s="27">
        <v>1977</v>
      </c>
      <c r="E25" s="24" t="s">
        <v>74</v>
      </c>
      <c r="F25" s="24" t="s">
        <v>160</v>
      </c>
      <c r="G25" s="35">
        <v>976.94</v>
      </c>
      <c r="H25" s="35">
        <v>892.04</v>
      </c>
      <c r="I25" s="36">
        <v>193</v>
      </c>
      <c r="J25" s="33">
        <f>'Форма 2'!I39</f>
        <v>1942612.46</v>
      </c>
      <c r="K25" s="4">
        <v>0</v>
      </c>
      <c r="L25" s="4">
        <v>0</v>
      </c>
      <c r="M25" s="4">
        <v>0</v>
      </c>
      <c r="N25" s="4">
        <f t="shared" si="4"/>
        <v>1882854.38</v>
      </c>
      <c r="O25" s="4">
        <v>59758.080000000002</v>
      </c>
      <c r="P25" s="33">
        <f t="shared" si="3"/>
        <v>2177.7199999999998</v>
      </c>
      <c r="Q25" s="4">
        <f>'Форма 2'!K39</f>
        <v>7082</v>
      </c>
      <c r="R25" s="26" t="s">
        <v>161</v>
      </c>
      <c r="S25" s="5">
        <v>1</v>
      </c>
      <c r="T25" s="1"/>
    </row>
    <row r="26" spans="1:20" s="2" customFormat="1" ht="15.75" customHeight="1" x14ac:dyDescent="0.35">
      <c r="A26" s="27">
        <f t="shared" si="5"/>
        <v>12</v>
      </c>
      <c r="B26" s="28">
        <v>4625</v>
      </c>
      <c r="C26" s="29" t="s">
        <v>169</v>
      </c>
      <c r="D26" s="27">
        <v>1968</v>
      </c>
      <c r="E26" s="24" t="s">
        <v>74</v>
      </c>
      <c r="F26" s="24" t="s">
        <v>155</v>
      </c>
      <c r="G26" s="35">
        <v>417.38</v>
      </c>
      <c r="H26" s="35">
        <v>368.98</v>
      </c>
      <c r="I26" s="36">
        <v>12</v>
      </c>
      <c r="J26" s="33">
        <f>'Форма 2'!I42</f>
        <v>2215557.98</v>
      </c>
      <c r="K26" s="4">
        <v>0</v>
      </c>
      <c r="L26" s="4">
        <v>0</v>
      </c>
      <c r="M26" s="4">
        <v>0</v>
      </c>
      <c r="N26" s="4">
        <f t="shared" si="4"/>
        <v>2150656.7599999998</v>
      </c>
      <c r="O26" s="4">
        <v>64901.22</v>
      </c>
      <c r="P26" s="33">
        <f t="shared" si="3"/>
        <v>6004.55</v>
      </c>
      <c r="Q26" s="4">
        <f>'Форма 2'!K42</f>
        <v>7066</v>
      </c>
      <c r="R26" s="26" t="s">
        <v>153</v>
      </c>
      <c r="S26" s="5">
        <v>1</v>
      </c>
      <c r="T26" s="1"/>
    </row>
    <row r="27" spans="1:20" s="2" customFormat="1" ht="15.75" customHeight="1" x14ac:dyDescent="0.35">
      <c r="A27" s="27">
        <f t="shared" si="5"/>
        <v>13</v>
      </c>
      <c r="B27" s="28">
        <v>4641</v>
      </c>
      <c r="C27" s="34" t="s">
        <v>170</v>
      </c>
      <c r="D27" s="27">
        <v>1973</v>
      </c>
      <c r="E27" s="24" t="s">
        <v>74</v>
      </c>
      <c r="F27" s="24" t="s">
        <v>160</v>
      </c>
      <c r="G27" s="35">
        <v>1403.67</v>
      </c>
      <c r="H27" s="35">
        <v>721.38</v>
      </c>
      <c r="I27" s="36">
        <v>35</v>
      </c>
      <c r="J27" s="4">
        <f>'Форма 2'!I45</f>
        <v>1586570.3</v>
      </c>
      <c r="K27" s="4">
        <v>0</v>
      </c>
      <c r="L27" s="4">
        <v>0</v>
      </c>
      <c r="M27" s="4">
        <v>0</v>
      </c>
      <c r="N27" s="4">
        <f t="shared" si="4"/>
        <v>1538244.8</v>
      </c>
      <c r="O27" s="4">
        <v>48325.5</v>
      </c>
      <c r="P27" s="4">
        <f t="shared" si="3"/>
        <v>2199.35</v>
      </c>
      <c r="Q27" s="4">
        <f>'Форма 2'!K45</f>
        <v>7082</v>
      </c>
      <c r="R27" s="26" t="s">
        <v>161</v>
      </c>
      <c r="S27" s="5">
        <v>1</v>
      </c>
      <c r="T27" s="1"/>
    </row>
    <row r="28" spans="1:20" ht="15.75" customHeight="1" x14ac:dyDescent="0.35">
      <c r="A28" s="227" t="s">
        <v>35</v>
      </c>
      <c r="B28" s="227"/>
      <c r="C28" s="227"/>
      <c r="D28" s="18" t="s">
        <v>13</v>
      </c>
      <c r="E28" s="4" t="s">
        <v>13</v>
      </c>
      <c r="F28" s="4" t="s">
        <v>13</v>
      </c>
      <c r="G28" s="37">
        <f>SUM(G29:G31)</f>
        <v>2016.4</v>
      </c>
      <c r="H28" s="37">
        <f t="shared" ref="H28:O28" si="6">SUM(H29:H31)</f>
        <v>1873</v>
      </c>
      <c r="I28" s="38">
        <f t="shared" si="6"/>
        <v>128</v>
      </c>
      <c r="J28" s="37">
        <f t="shared" si="6"/>
        <v>4205719.07</v>
      </c>
      <c r="K28" s="37">
        <f t="shared" si="6"/>
        <v>0</v>
      </c>
      <c r="L28" s="37">
        <f t="shared" si="6"/>
        <v>0</v>
      </c>
      <c r="M28" s="37">
        <f t="shared" si="6"/>
        <v>0</v>
      </c>
      <c r="N28" s="37">
        <f t="shared" si="6"/>
        <v>4109838.17</v>
      </c>
      <c r="O28" s="37">
        <f t="shared" si="6"/>
        <v>95880.9</v>
      </c>
      <c r="P28" s="4" t="s">
        <v>13</v>
      </c>
      <c r="Q28" s="4" t="s">
        <v>13</v>
      </c>
      <c r="R28" s="4" t="s">
        <v>13</v>
      </c>
      <c r="S28" s="19" t="s">
        <v>13</v>
      </c>
    </row>
    <row r="29" spans="1:20" ht="15.75" customHeight="1" x14ac:dyDescent="0.35">
      <c r="A29" s="20">
        <v>1</v>
      </c>
      <c r="B29" s="20">
        <v>6680</v>
      </c>
      <c r="C29" s="22" t="s">
        <v>171</v>
      </c>
      <c r="D29" s="23">
        <v>1966</v>
      </c>
      <c r="E29" s="24" t="s">
        <v>74</v>
      </c>
      <c r="F29" s="25" t="s">
        <v>152</v>
      </c>
      <c r="G29" s="4">
        <v>357.9</v>
      </c>
      <c r="H29" s="4">
        <v>329.1</v>
      </c>
      <c r="I29" s="19">
        <v>37</v>
      </c>
      <c r="J29" s="4">
        <f>'Форма 2'!I49</f>
        <v>58250.7</v>
      </c>
      <c r="K29" s="4">
        <v>0</v>
      </c>
      <c r="L29" s="4">
        <v>0</v>
      </c>
      <c r="M29" s="4">
        <v>0</v>
      </c>
      <c r="N29" s="4">
        <f>J29-K29-L29-M29-O29</f>
        <v>56412.72</v>
      </c>
      <c r="O29" s="4">
        <v>1837.98</v>
      </c>
      <c r="P29" s="4">
        <f>J29/H29</f>
        <v>177</v>
      </c>
      <c r="Q29" s="4">
        <f>'Форма 2'!K49</f>
        <v>177</v>
      </c>
      <c r="R29" s="26" t="s">
        <v>153</v>
      </c>
      <c r="S29" s="5">
        <v>1</v>
      </c>
    </row>
    <row r="30" spans="1:20" ht="15.75" customHeight="1" x14ac:dyDescent="0.35">
      <c r="A30" s="20">
        <f>A29+1</f>
        <v>2</v>
      </c>
      <c r="B30" s="20">
        <v>6692</v>
      </c>
      <c r="C30" s="22" t="s">
        <v>172</v>
      </c>
      <c r="D30" s="23">
        <v>1967</v>
      </c>
      <c r="E30" s="24" t="s">
        <v>74</v>
      </c>
      <c r="F30" s="25" t="s">
        <v>152</v>
      </c>
      <c r="G30" s="4">
        <v>356.6</v>
      </c>
      <c r="H30" s="4">
        <v>329.6</v>
      </c>
      <c r="I30" s="19">
        <v>44</v>
      </c>
      <c r="J30" s="4">
        <f>'Форма 2'!I51</f>
        <v>58339.199999999997</v>
      </c>
      <c r="K30" s="4">
        <v>0</v>
      </c>
      <c r="L30" s="4">
        <v>0</v>
      </c>
      <c r="M30" s="4">
        <v>0</v>
      </c>
      <c r="N30" s="4">
        <f>J30-K30-L30-M30-O30</f>
        <v>56498.42</v>
      </c>
      <c r="O30" s="4">
        <v>1840.78</v>
      </c>
      <c r="P30" s="4">
        <f>J30/H30</f>
        <v>177</v>
      </c>
      <c r="Q30" s="4">
        <f>'Форма 2'!K51</f>
        <v>177</v>
      </c>
      <c r="R30" s="26" t="s">
        <v>153</v>
      </c>
      <c r="S30" s="5">
        <v>1</v>
      </c>
    </row>
    <row r="31" spans="1:20" ht="15.75" customHeight="1" x14ac:dyDescent="0.35">
      <c r="A31" s="20">
        <f>A30+1</f>
        <v>3</v>
      </c>
      <c r="B31" s="20">
        <v>6704</v>
      </c>
      <c r="C31" s="22" t="s">
        <v>173</v>
      </c>
      <c r="D31" s="23">
        <v>1996</v>
      </c>
      <c r="E31" s="24" t="s">
        <v>74</v>
      </c>
      <c r="F31" s="25" t="s">
        <v>155</v>
      </c>
      <c r="G31" s="4">
        <v>1301.9000000000001</v>
      </c>
      <c r="H31" s="4">
        <v>1214.3</v>
      </c>
      <c r="I31" s="19">
        <v>47</v>
      </c>
      <c r="J31" s="4">
        <f>'Форма 2'!I53</f>
        <v>4089129.17</v>
      </c>
      <c r="K31" s="4">
        <v>0</v>
      </c>
      <c r="L31" s="4">
        <v>0</v>
      </c>
      <c r="M31" s="4">
        <v>0</v>
      </c>
      <c r="N31" s="4">
        <f>J31-K31-L31-M31-O31</f>
        <v>3996927.03</v>
      </c>
      <c r="O31" s="4">
        <v>92202.14</v>
      </c>
      <c r="P31" s="4">
        <f>J31/H31</f>
        <v>3367.48</v>
      </c>
      <c r="Q31" s="4">
        <f>'Форма 2'!K53</f>
        <v>5354</v>
      </c>
      <c r="R31" s="26" t="s">
        <v>153</v>
      </c>
      <c r="S31" s="5">
        <v>1</v>
      </c>
    </row>
    <row r="32" spans="1:20" ht="15.75" customHeight="1" x14ac:dyDescent="0.35">
      <c r="A32" s="227" t="s">
        <v>38</v>
      </c>
      <c r="B32" s="227"/>
      <c r="C32" s="227"/>
      <c r="D32" s="18" t="s">
        <v>13</v>
      </c>
      <c r="E32" s="4" t="s">
        <v>13</v>
      </c>
      <c r="F32" s="4" t="s">
        <v>13</v>
      </c>
      <c r="G32" s="39">
        <f>SUM(G33:G34)</f>
        <v>1079.0999999999999</v>
      </c>
      <c r="H32" s="39">
        <f t="shared" ref="H32:O32" si="7">SUM(H33:H34)</f>
        <v>958.8</v>
      </c>
      <c r="I32" s="40">
        <f t="shared" si="7"/>
        <v>47</v>
      </c>
      <c r="J32" s="39">
        <f t="shared" si="7"/>
        <v>3338631.39</v>
      </c>
      <c r="K32" s="39">
        <f t="shared" si="7"/>
        <v>0</v>
      </c>
      <c r="L32" s="39">
        <f t="shared" si="7"/>
        <v>0</v>
      </c>
      <c r="M32" s="39">
        <f t="shared" si="7"/>
        <v>0</v>
      </c>
      <c r="N32" s="39">
        <f t="shared" si="7"/>
        <v>3204370.99</v>
      </c>
      <c r="O32" s="39">
        <f t="shared" si="7"/>
        <v>134260.4</v>
      </c>
      <c r="P32" s="4" t="s">
        <v>13</v>
      </c>
      <c r="Q32" s="4" t="s">
        <v>13</v>
      </c>
      <c r="R32" s="4" t="s">
        <v>13</v>
      </c>
      <c r="S32" s="19" t="s">
        <v>13</v>
      </c>
    </row>
    <row r="33" spans="1:20" ht="15.75" customHeight="1" x14ac:dyDescent="0.35">
      <c r="A33" s="20">
        <v>1</v>
      </c>
      <c r="B33" s="20">
        <v>5035</v>
      </c>
      <c r="C33" s="22" t="s">
        <v>174</v>
      </c>
      <c r="D33" s="23">
        <v>1986</v>
      </c>
      <c r="E33" s="24" t="s">
        <v>74</v>
      </c>
      <c r="F33" s="24" t="s">
        <v>155</v>
      </c>
      <c r="G33" s="4">
        <v>532</v>
      </c>
      <c r="H33" s="4">
        <v>473.5</v>
      </c>
      <c r="I33" s="19">
        <v>19</v>
      </c>
      <c r="J33" s="4">
        <f>'Форма 2'!I57</f>
        <v>2178133.5</v>
      </c>
      <c r="K33" s="4">
        <v>0</v>
      </c>
      <c r="L33" s="4">
        <v>0</v>
      </c>
      <c r="M33" s="4">
        <v>0</v>
      </c>
      <c r="N33" s="4">
        <f>J33-K33-L33-M33-O33</f>
        <v>2087545.76</v>
      </c>
      <c r="O33" s="4">
        <v>90587.74</v>
      </c>
      <c r="P33" s="4">
        <f>J33/H33</f>
        <v>4600.07</v>
      </c>
      <c r="Q33" s="4">
        <f>'Форма 2'!K57</f>
        <v>7539</v>
      </c>
      <c r="R33" s="26" t="s">
        <v>153</v>
      </c>
      <c r="S33" s="5">
        <v>1</v>
      </c>
    </row>
    <row r="34" spans="1:20" ht="15.75" customHeight="1" x14ac:dyDescent="0.35">
      <c r="A34" s="20">
        <f>A33+1</f>
        <v>2</v>
      </c>
      <c r="B34" s="20">
        <v>5036</v>
      </c>
      <c r="C34" s="22" t="s">
        <v>175</v>
      </c>
      <c r="D34" s="23">
        <v>1986</v>
      </c>
      <c r="E34" s="24" t="s">
        <v>74</v>
      </c>
      <c r="F34" s="24" t="s">
        <v>160</v>
      </c>
      <c r="G34" s="4">
        <v>547.1</v>
      </c>
      <c r="H34" s="4">
        <v>485.3</v>
      </c>
      <c r="I34" s="19">
        <v>28</v>
      </c>
      <c r="J34" s="4">
        <f>'Форма 2'!I60</f>
        <v>1160497.8899999999</v>
      </c>
      <c r="K34" s="4">
        <v>0</v>
      </c>
      <c r="L34" s="4">
        <v>0</v>
      </c>
      <c r="M34" s="4">
        <v>0</v>
      </c>
      <c r="N34" s="4">
        <f>J34-K34-L34-M34-O34</f>
        <v>1116825.23</v>
      </c>
      <c r="O34" s="4">
        <v>43672.66</v>
      </c>
      <c r="P34" s="4">
        <f>J34/H34</f>
        <v>2391.3000000000002</v>
      </c>
      <c r="Q34" s="4">
        <f>'Форма 2'!K60</f>
        <v>7558</v>
      </c>
      <c r="R34" s="26" t="s">
        <v>161</v>
      </c>
      <c r="S34" s="5">
        <v>1</v>
      </c>
    </row>
    <row r="35" spans="1:20" s="2" customFormat="1" ht="15" customHeight="1" x14ac:dyDescent="0.35">
      <c r="A35" s="246" t="s">
        <v>52</v>
      </c>
      <c r="B35" s="246"/>
      <c r="C35" s="246"/>
      <c r="D35" s="18" t="s">
        <v>13</v>
      </c>
      <c r="E35" s="4" t="s">
        <v>13</v>
      </c>
      <c r="F35" s="4" t="s">
        <v>13</v>
      </c>
      <c r="G35" s="4">
        <f>SUM(G36:G84)</f>
        <v>167123.4</v>
      </c>
      <c r="H35" s="4">
        <f t="shared" ref="H35:O35" si="8">SUM(H36:H84)</f>
        <v>125577.43</v>
      </c>
      <c r="I35" s="19">
        <f t="shared" si="8"/>
        <v>5564</v>
      </c>
      <c r="J35" s="4">
        <f t="shared" si="8"/>
        <v>151519126.25</v>
      </c>
      <c r="K35" s="4">
        <f t="shared" si="8"/>
        <v>0</v>
      </c>
      <c r="L35" s="4">
        <f t="shared" si="8"/>
        <v>0</v>
      </c>
      <c r="M35" s="4">
        <f t="shared" si="8"/>
        <v>0</v>
      </c>
      <c r="N35" s="4">
        <f t="shared" si="8"/>
        <v>146654588.66</v>
      </c>
      <c r="O35" s="4">
        <f t="shared" si="8"/>
        <v>4864537.59</v>
      </c>
      <c r="P35" s="4" t="s">
        <v>13</v>
      </c>
      <c r="Q35" s="4" t="s">
        <v>13</v>
      </c>
      <c r="R35" s="4" t="s">
        <v>13</v>
      </c>
      <c r="S35" s="19" t="s">
        <v>13</v>
      </c>
      <c r="T35" s="1"/>
    </row>
    <row r="36" spans="1:20" s="2" customFormat="1" ht="15.75" customHeight="1" x14ac:dyDescent="0.35">
      <c r="A36" s="20">
        <v>1</v>
      </c>
      <c r="B36" s="20">
        <v>5969</v>
      </c>
      <c r="C36" s="34" t="s">
        <v>176</v>
      </c>
      <c r="D36" s="20">
        <v>1956</v>
      </c>
      <c r="E36" s="41" t="s">
        <v>74</v>
      </c>
      <c r="F36" s="27" t="s">
        <v>155</v>
      </c>
      <c r="G36" s="4">
        <v>5856.2</v>
      </c>
      <c r="H36" s="4">
        <v>4710.6000000000004</v>
      </c>
      <c r="I36" s="19">
        <v>122</v>
      </c>
      <c r="J36" s="4">
        <f>'Форма 2'!I64</f>
        <v>9824964.8800000008</v>
      </c>
      <c r="K36" s="4">
        <v>0</v>
      </c>
      <c r="L36" s="4">
        <v>0</v>
      </c>
      <c r="M36" s="4">
        <v>0</v>
      </c>
      <c r="N36" s="4">
        <f>J36-K36-L36-M36-O36</f>
        <v>9505440.1999999993</v>
      </c>
      <c r="O36" s="4">
        <v>319524.68</v>
      </c>
      <c r="P36" s="4">
        <f t="shared" ref="P36:P84" si="9">J36/H36</f>
        <v>2085.71</v>
      </c>
      <c r="Q36" s="4">
        <f>'Форма 2'!K64</f>
        <v>4728</v>
      </c>
      <c r="R36" s="26" t="s">
        <v>153</v>
      </c>
      <c r="S36" s="5">
        <v>1</v>
      </c>
      <c r="T36" s="1"/>
    </row>
    <row r="37" spans="1:20" s="44" customFormat="1" ht="15.75" customHeight="1" x14ac:dyDescent="0.35">
      <c r="A37" s="20">
        <f>A36+1</f>
        <v>2</v>
      </c>
      <c r="B37" s="20">
        <v>5981</v>
      </c>
      <c r="C37" s="34" t="s">
        <v>177</v>
      </c>
      <c r="D37" s="27">
        <v>1956</v>
      </c>
      <c r="E37" s="41" t="s">
        <v>178</v>
      </c>
      <c r="F37" s="27" t="s">
        <v>160</v>
      </c>
      <c r="G37" s="16">
        <v>3949.1</v>
      </c>
      <c r="H37" s="4">
        <v>3619.5</v>
      </c>
      <c r="I37" s="17">
        <v>133</v>
      </c>
      <c r="J37" s="16">
        <f>'Форма 2'!I67</f>
        <v>3560356.34</v>
      </c>
      <c r="K37" s="16">
        <v>0</v>
      </c>
      <c r="L37" s="4">
        <v>0</v>
      </c>
      <c r="M37" s="4">
        <v>0</v>
      </c>
      <c r="N37" s="4">
        <f t="shared" ref="N37:N84" si="10">J37-K37-L37-M37-O37</f>
        <v>3469523.79</v>
      </c>
      <c r="O37" s="4">
        <v>90832.55</v>
      </c>
      <c r="P37" s="16">
        <f t="shared" si="9"/>
        <v>983.66</v>
      </c>
      <c r="Q37" s="16">
        <f>'Форма 2'!K67</f>
        <v>3121</v>
      </c>
      <c r="R37" s="42" t="s">
        <v>161</v>
      </c>
      <c r="S37" s="43">
        <v>1</v>
      </c>
      <c r="T37" s="1"/>
    </row>
    <row r="38" spans="1:20" s="2" customFormat="1" ht="15.75" customHeight="1" x14ac:dyDescent="0.35">
      <c r="A38" s="20">
        <f t="shared" ref="A38:A84" si="11">A37+1</f>
        <v>3</v>
      </c>
      <c r="B38" s="20">
        <v>5996</v>
      </c>
      <c r="C38" s="34" t="s">
        <v>179</v>
      </c>
      <c r="D38" s="20">
        <v>1955</v>
      </c>
      <c r="E38" s="41" t="s">
        <v>74</v>
      </c>
      <c r="F38" s="27" t="s">
        <v>155</v>
      </c>
      <c r="G38" s="4">
        <v>5062.2</v>
      </c>
      <c r="H38" s="4">
        <v>4076.9</v>
      </c>
      <c r="I38" s="19">
        <v>100</v>
      </c>
      <c r="J38" s="4">
        <f>'Форма 2'!I74</f>
        <v>9245950.6999999993</v>
      </c>
      <c r="K38" s="4">
        <v>0</v>
      </c>
      <c r="L38" s="4">
        <v>0</v>
      </c>
      <c r="M38" s="4">
        <v>0</v>
      </c>
      <c r="N38" s="4">
        <f t="shared" si="10"/>
        <v>8954422.3599999994</v>
      </c>
      <c r="O38" s="4">
        <v>291528.34000000003</v>
      </c>
      <c r="P38" s="4">
        <f t="shared" si="9"/>
        <v>2267.89</v>
      </c>
      <c r="Q38" s="4">
        <f>'Форма 2'!K74</f>
        <v>2831</v>
      </c>
      <c r="R38" s="26" t="s">
        <v>153</v>
      </c>
      <c r="S38" s="5">
        <v>1</v>
      </c>
      <c r="T38" s="1"/>
    </row>
    <row r="39" spans="1:20" s="44" customFormat="1" ht="15.75" customHeight="1" x14ac:dyDescent="0.35">
      <c r="A39" s="20">
        <f t="shared" si="11"/>
        <v>4</v>
      </c>
      <c r="B39" s="20">
        <v>6025</v>
      </c>
      <c r="C39" s="34" t="s">
        <v>180</v>
      </c>
      <c r="D39" s="20">
        <v>1963</v>
      </c>
      <c r="E39" s="41" t="s">
        <v>178</v>
      </c>
      <c r="F39" s="27" t="s">
        <v>155</v>
      </c>
      <c r="G39" s="4">
        <v>5322.5</v>
      </c>
      <c r="H39" s="4">
        <v>3396.7</v>
      </c>
      <c r="I39" s="19">
        <v>132</v>
      </c>
      <c r="J39" s="4">
        <f>'Форма 2'!I77</f>
        <v>8550752.3300000001</v>
      </c>
      <c r="K39" s="4">
        <v>0</v>
      </c>
      <c r="L39" s="4">
        <v>0</v>
      </c>
      <c r="M39" s="4">
        <v>0</v>
      </c>
      <c r="N39" s="4">
        <f t="shared" si="10"/>
        <v>8312025.7400000002</v>
      </c>
      <c r="O39" s="4">
        <v>238726.59</v>
      </c>
      <c r="P39" s="4">
        <f t="shared" si="9"/>
        <v>2517.37</v>
      </c>
      <c r="Q39" s="4">
        <f>'Форма 2'!K77</f>
        <v>3055</v>
      </c>
      <c r="R39" s="26" t="s">
        <v>153</v>
      </c>
      <c r="S39" s="5">
        <v>1</v>
      </c>
      <c r="T39" s="1"/>
    </row>
    <row r="40" spans="1:20" s="2" customFormat="1" ht="16.5" customHeight="1" x14ac:dyDescent="0.35">
      <c r="A40" s="20">
        <f>A39+1</f>
        <v>5</v>
      </c>
      <c r="B40" s="20">
        <v>6042</v>
      </c>
      <c r="C40" s="34" t="s">
        <v>181</v>
      </c>
      <c r="D40" s="20">
        <v>1970</v>
      </c>
      <c r="E40" s="27" t="s">
        <v>182</v>
      </c>
      <c r="F40" s="27" t="s">
        <v>183</v>
      </c>
      <c r="G40" s="16">
        <v>3337.48</v>
      </c>
      <c r="H40" s="4">
        <v>2322.8000000000002</v>
      </c>
      <c r="I40" s="17">
        <v>100</v>
      </c>
      <c r="J40" s="16">
        <f>'Форма 2'!I84</f>
        <v>1733403</v>
      </c>
      <c r="K40" s="16">
        <v>0</v>
      </c>
      <c r="L40" s="16">
        <v>0</v>
      </c>
      <c r="M40" s="16">
        <v>0</v>
      </c>
      <c r="N40" s="16">
        <f t="shared" si="10"/>
        <v>1678096.66</v>
      </c>
      <c r="O40" s="16">
        <v>55306.34</v>
      </c>
      <c r="P40" s="16">
        <f t="shared" si="9"/>
        <v>746.26</v>
      </c>
      <c r="Q40" s="16">
        <f>'Форма 2'!K84</f>
        <v>762</v>
      </c>
      <c r="R40" s="42" t="s">
        <v>153</v>
      </c>
      <c r="S40" s="43">
        <v>1</v>
      </c>
      <c r="T40" s="1"/>
    </row>
    <row r="41" spans="1:20" s="45" customFormat="1" ht="17.25" customHeight="1" x14ac:dyDescent="0.35">
      <c r="A41" s="20">
        <f t="shared" si="11"/>
        <v>6</v>
      </c>
      <c r="B41" s="20">
        <v>5833</v>
      </c>
      <c r="C41" s="34" t="s">
        <v>184</v>
      </c>
      <c r="D41" s="20">
        <v>1957</v>
      </c>
      <c r="E41" s="27" t="s">
        <v>74</v>
      </c>
      <c r="F41" s="27" t="s">
        <v>160</v>
      </c>
      <c r="G41" s="4">
        <v>3792</v>
      </c>
      <c r="H41" s="4">
        <v>2041.3</v>
      </c>
      <c r="I41" s="19">
        <v>73</v>
      </c>
      <c r="J41" s="4">
        <f>'Форма 2'!I88</f>
        <v>3035853.05</v>
      </c>
      <c r="K41" s="4">
        <v>0</v>
      </c>
      <c r="L41" s="4">
        <v>0</v>
      </c>
      <c r="M41" s="4">
        <v>0</v>
      </c>
      <c r="N41" s="4">
        <f t="shared" si="10"/>
        <v>2934001.48</v>
      </c>
      <c r="O41" s="4">
        <v>101851.57</v>
      </c>
      <c r="P41" s="16">
        <f t="shared" si="9"/>
        <v>1487.22</v>
      </c>
      <c r="Q41" s="16">
        <f>'Форма 2'!K88</f>
        <v>4793</v>
      </c>
      <c r="R41" s="42" t="s">
        <v>161</v>
      </c>
      <c r="S41" s="5">
        <v>1</v>
      </c>
      <c r="T41" s="1"/>
    </row>
    <row r="42" spans="1:20" s="2" customFormat="1" ht="15.75" customHeight="1" x14ac:dyDescent="0.35">
      <c r="A42" s="20">
        <f t="shared" si="11"/>
        <v>7</v>
      </c>
      <c r="B42" s="20">
        <v>5842</v>
      </c>
      <c r="C42" s="34" t="s">
        <v>185</v>
      </c>
      <c r="D42" s="20">
        <v>1954</v>
      </c>
      <c r="E42" s="27" t="s">
        <v>74</v>
      </c>
      <c r="F42" s="27" t="s">
        <v>160</v>
      </c>
      <c r="G42" s="4">
        <v>1003.2</v>
      </c>
      <c r="H42" s="4">
        <v>911.5</v>
      </c>
      <c r="I42" s="19">
        <v>45</v>
      </c>
      <c r="J42" s="4">
        <f>'Форма 2'!I91</f>
        <v>2000669.61</v>
      </c>
      <c r="K42" s="4">
        <v>0</v>
      </c>
      <c r="L42" s="4">
        <v>0</v>
      </c>
      <c r="M42" s="4">
        <v>0</v>
      </c>
      <c r="N42" s="4">
        <f t="shared" si="10"/>
        <v>1934346.97</v>
      </c>
      <c r="O42" s="4">
        <v>66322.64</v>
      </c>
      <c r="P42" s="4">
        <f t="shared" si="9"/>
        <v>2194.92</v>
      </c>
      <c r="Q42" s="4">
        <f>'Форма 2'!K91</f>
        <v>7096</v>
      </c>
      <c r="R42" s="42" t="s">
        <v>161</v>
      </c>
      <c r="S42" s="5">
        <v>1</v>
      </c>
      <c r="T42" s="1"/>
    </row>
    <row r="43" spans="1:20" s="2" customFormat="1" ht="47.25" customHeight="1" x14ac:dyDescent="0.35">
      <c r="A43" s="20">
        <f t="shared" si="11"/>
        <v>8</v>
      </c>
      <c r="B43" s="20">
        <v>5862</v>
      </c>
      <c r="C43" s="34" t="s">
        <v>186</v>
      </c>
      <c r="D43" s="20">
        <v>1957</v>
      </c>
      <c r="E43" s="41" t="s">
        <v>768</v>
      </c>
      <c r="F43" s="27" t="s">
        <v>152</v>
      </c>
      <c r="G43" s="4">
        <v>4279</v>
      </c>
      <c r="H43" s="4">
        <v>2376.8000000000002</v>
      </c>
      <c r="I43" s="19">
        <v>103</v>
      </c>
      <c r="J43" s="16">
        <f>'Форма 2'!I94</f>
        <v>315143.13</v>
      </c>
      <c r="K43" s="4">
        <v>0</v>
      </c>
      <c r="L43" s="4">
        <v>0</v>
      </c>
      <c r="M43" s="4">
        <v>0</v>
      </c>
      <c r="N43" s="4">
        <f t="shared" si="10"/>
        <v>303115.81</v>
      </c>
      <c r="O43" s="4">
        <v>12027.32</v>
      </c>
      <c r="P43" s="4">
        <f t="shared" si="9"/>
        <v>132.59</v>
      </c>
      <c r="Q43" s="16">
        <f>'Форма 2'!K94</f>
        <v>226</v>
      </c>
      <c r="R43" s="26" t="s">
        <v>153</v>
      </c>
      <c r="S43" s="5">
        <v>1</v>
      </c>
      <c r="T43" s="1"/>
    </row>
    <row r="44" spans="1:20" s="2" customFormat="1" ht="15.75" customHeight="1" x14ac:dyDescent="0.35">
      <c r="A44" s="20">
        <f t="shared" si="11"/>
        <v>9</v>
      </c>
      <c r="B44" s="20">
        <v>5869</v>
      </c>
      <c r="C44" s="34" t="s">
        <v>188</v>
      </c>
      <c r="D44" s="20">
        <v>1957</v>
      </c>
      <c r="E44" s="41" t="s">
        <v>189</v>
      </c>
      <c r="F44" s="27" t="s">
        <v>758</v>
      </c>
      <c r="G44" s="4">
        <v>3421</v>
      </c>
      <c r="H44" s="4">
        <v>2371.4299999999998</v>
      </c>
      <c r="I44" s="19">
        <v>94</v>
      </c>
      <c r="J44" s="16">
        <f>'Форма 2'!I100</f>
        <v>179497.86</v>
      </c>
      <c r="K44" s="4">
        <v>0</v>
      </c>
      <c r="L44" s="4">
        <v>0</v>
      </c>
      <c r="M44" s="4">
        <v>0</v>
      </c>
      <c r="N44" s="4">
        <f>J44-K44-L44-M44-O44</f>
        <v>179497.86</v>
      </c>
      <c r="O44" s="4">
        <v>0</v>
      </c>
      <c r="P44" s="4">
        <f>J44/H44</f>
        <v>75.69</v>
      </c>
      <c r="Q44" s="16">
        <f>'Форма 2'!K100</f>
        <v>409</v>
      </c>
      <c r="R44" s="26" t="s">
        <v>161</v>
      </c>
      <c r="S44" s="5">
        <v>1</v>
      </c>
      <c r="T44" s="1"/>
    </row>
    <row r="45" spans="1:20" s="2" customFormat="1" ht="15.75" customHeight="1" x14ac:dyDescent="0.35">
      <c r="A45" s="20">
        <f t="shared" si="11"/>
        <v>10</v>
      </c>
      <c r="B45" s="20">
        <v>5874</v>
      </c>
      <c r="C45" s="34" t="s">
        <v>190</v>
      </c>
      <c r="D45" s="20">
        <v>1957</v>
      </c>
      <c r="E45" s="27" t="s">
        <v>74</v>
      </c>
      <c r="F45" s="27" t="s">
        <v>160</v>
      </c>
      <c r="G45" s="4">
        <v>5170</v>
      </c>
      <c r="H45" s="4">
        <v>2947.8</v>
      </c>
      <c r="I45" s="19">
        <v>114</v>
      </c>
      <c r="J45" s="16">
        <f>'Форма 2'!I102</f>
        <v>4335978.1399999997</v>
      </c>
      <c r="K45" s="4">
        <v>0</v>
      </c>
      <c r="L45" s="4">
        <v>0</v>
      </c>
      <c r="M45" s="4">
        <v>0</v>
      </c>
      <c r="N45" s="4">
        <f t="shared" si="10"/>
        <v>4290380.78</v>
      </c>
      <c r="O45" s="4">
        <v>45597.36</v>
      </c>
      <c r="P45" s="4">
        <f t="shared" si="9"/>
        <v>1470.92</v>
      </c>
      <c r="Q45" s="16">
        <f>'Форма 2'!K102</f>
        <v>4793</v>
      </c>
      <c r="R45" s="42" t="s">
        <v>161</v>
      </c>
      <c r="S45" s="5">
        <v>1</v>
      </c>
      <c r="T45" s="1"/>
    </row>
    <row r="46" spans="1:20" s="2" customFormat="1" ht="15.75" customHeight="1" x14ac:dyDescent="0.35">
      <c r="A46" s="20">
        <f t="shared" si="11"/>
        <v>11</v>
      </c>
      <c r="B46" s="20">
        <v>5877</v>
      </c>
      <c r="C46" s="34" t="s">
        <v>191</v>
      </c>
      <c r="D46" s="20">
        <v>1955</v>
      </c>
      <c r="E46" s="41" t="s">
        <v>197</v>
      </c>
      <c r="F46" s="27" t="s">
        <v>152</v>
      </c>
      <c r="G46" s="4">
        <v>977.9</v>
      </c>
      <c r="H46" s="4">
        <v>887.8</v>
      </c>
      <c r="I46" s="19">
        <v>46</v>
      </c>
      <c r="J46" s="16">
        <f>'Форма 2'!I105</f>
        <v>33736.400000000001</v>
      </c>
      <c r="K46" s="4">
        <v>0</v>
      </c>
      <c r="L46" s="4">
        <v>0</v>
      </c>
      <c r="M46" s="4">
        <v>0</v>
      </c>
      <c r="N46" s="4">
        <f t="shared" si="10"/>
        <v>0</v>
      </c>
      <c r="O46" s="4">
        <v>33736.400000000001</v>
      </c>
      <c r="P46" s="4">
        <f t="shared" si="9"/>
        <v>38</v>
      </c>
      <c r="Q46" s="16">
        <f>'Форма 2'!K105</f>
        <v>38</v>
      </c>
      <c r="R46" s="26" t="s">
        <v>153</v>
      </c>
      <c r="S46" s="5">
        <v>1</v>
      </c>
      <c r="T46" s="1"/>
    </row>
    <row r="47" spans="1:20" s="2" customFormat="1" ht="15.75" customHeight="1" x14ac:dyDescent="0.35">
      <c r="A47" s="20">
        <f t="shared" si="11"/>
        <v>12</v>
      </c>
      <c r="B47" s="20">
        <v>5881</v>
      </c>
      <c r="C47" s="34" t="s">
        <v>192</v>
      </c>
      <c r="D47" s="20">
        <v>1966</v>
      </c>
      <c r="E47" s="41" t="s">
        <v>178</v>
      </c>
      <c r="F47" s="27" t="s">
        <v>155</v>
      </c>
      <c r="G47" s="4">
        <v>6843.8</v>
      </c>
      <c r="H47" s="4">
        <v>5440.4</v>
      </c>
      <c r="I47" s="19">
        <v>183</v>
      </c>
      <c r="J47" s="16">
        <f>'Форма 2'!I108</f>
        <v>12437220.060000001</v>
      </c>
      <c r="K47" s="4">
        <v>0</v>
      </c>
      <c r="L47" s="4">
        <v>0</v>
      </c>
      <c r="M47" s="4">
        <v>0</v>
      </c>
      <c r="N47" s="4">
        <f t="shared" si="10"/>
        <v>12102945.210000001</v>
      </c>
      <c r="O47" s="4">
        <v>334274.84999999998</v>
      </c>
      <c r="P47" s="4">
        <f t="shared" si="9"/>
        <v>2286.09</v>
      </c>
      <c r="Q47" s="16">
        <f>'Форма 2'!K108</f>
        <v>3055</v>
      </c>
      <c r="R47" s="26" t="s">
        <v>153</v>
      </c>
      <c r="S47" s="5">
        <v>1</v>
      </c>
      <c r="T47" s="1"/>
    </row>
    <row r="48" spans="1:20" s="2" customFormat="1" ht="15.75" customHeight="1" x14ac:dyDescent="0.35">
      <c r="A48" s="20">
        <f t="shared" si="11"/>
        <v>13</v>
      </c>
      <c r="B48" s="20">
        <v>5913</v>
      </c>
      <c r="C48" s="34" t="s">
        <v>193</v>
      </c>
      <c r="D48" s="20">
        <v>1959</v>
      </c>
      <c r="E48" s="27" t="s">
        <v>74</v>
      </c>
      <c r="F48" s="27" t="s">
        <v>160</v>
      </c>
      <c r="G48" s="4">
        <v>1199</v>
      </c>
      <c r="H48" s="4">
        <v>659.4</v>
      </c>
      <c r="I48" s="19">
        <v>30</v>
      </c>
      <c r="J48" s="16">
        <f>'Форма 2'!I115</f>
        <v>1465131.83</v>
      </c>
      <c r="K48" s="4">
        <v>0</v>
      </c>
      <c r="L48" s="4">
        <v>0</v>
      </c>
      <c r="M48" s="4">
        <v>0</v>
      </c>
      <c r="N48" s="4">
        <f t="shared" si="10"/>
        <v>1417420.27</v>
      </c>
      <c r="O48" s="4">
        <v>47711.56</v>
      </c>
      <c r="P48" s="4">
        <f t="shared" si="9"/>
        <v>2221.92</v>
      </c>
      <c r="Q48" s="16">
        <f>'Форма 2'!K115</f>
        <v>7082</v>
      </c>
      <c r="R48" s="42" t="s">
        <v>161</v>
      </c>
      <c r="S48" s="5">
        <v>1</v>
      </c>
      <c r="T48" s="1"/>
    </row>
    <row r="49" spans="1:20" s="2" customFormat="1" ht="15.75" customHeight="1" x14ac:dyDescent="0.35">
      <c r="A49" s="20">
        <f>A48+1</f>
        <v>14</v>
      </c>
      <c r="B49" s="20">
        <v>5941</v>
      </c>
      <c r="C49" s="34" t="s">
        <v>194</v>
      </c>
      <c r="D49" s="20">
        <v>1957</v>
      </c>
      <c r="E49" s="27" t="s">
        <v>74</v>
      </c>
      <c r="F49" s="27" t="s">
        <v>152</v>
      </c>
      <c r="G49" s="4">
        <v>904.8</v>
      </c>
      <c r="H49" s="4">
        <v>527.29999999999995</v>
      </c>
      <c r="I49" s="19">
        <v>22</v>
      </c>
      <c r="J49" s="16">
        <f>'Форма 2'!I118</f>
        <v>81882.490000000005</v>
      </c>
      <c r="K49" s="4">
        <v>0</v>
      </c>
      <c r="L49" s="4">
        <v>0</v>
      </c>
      <c r="M49" s="4">
        <v>0</v>
      </c>
      <c r="N49" s="4">
        <f t="shared" si="10"/>
        <v>43515.040000000001</v>
      </c>
      <c r="O49" s="4">
        <v>38367.449999999997</v>
      </c>
      <c r="P49" s="4">
        <f t="shared" si="9"/>
        <v>155.29</v>
      </c>
      <c r="Q49" s="16">
        <f>'Форма 2'!K118</f>
        <v>178</v>
      </c>
      <c r="R49" s="42" t="s">
        <v>161</v>
      </c>
      <c r="S49" s="5">
        <v>1</v>
      </c>
      <c r="T49" s="1"/>
    </row>
    <row r="50" spans="1:20" s="2" customFormat="1" ht="15.75" customHeight="1" x14ac:dyDescent="0.35">
      <c r="A50" s="20">
        <f t="shared" si="11"/>
        <v>15</v>
      </c>
      <c r="B50" s="20">
        <v>5947</v>
      </c>
      <c r="C50" s="34" t="s">
        <v>195</v>
      </c>
      <c r="D50" s="20">
        <v>1957</v>
      </c>
      <c r="E50" s="27" t="s">
        <v>74</v>
      </c>
      <c r="F50" s="27" t="s">
        <v>160</v>
      </c>
      <c r="G50" s="4">
        <v>1014.2</v>
      </c>
      <c r="H50" s="4">
        <v>501.3</v>
      </c>
      <c r="I50" s="19">
        <v>22</v>
      </c>
      <c r="J50" s="16">
        <f>'Форма 2'!I120</f>
        <v>1129629.42</v>
      </c>
      <c r="K50" s="4">
        <v>0</v>
      </c>
      <c r="L50" s="4">
        <v>0</v>
      </c>
      <c r="M50" s="4">
        <v>0</v>
      </c>
      <c r="N50" s="4">
        <f t="shared" si="10"/>
        <v>1093153.79</v>
      </c>
      <c r="O50" s="4">
        <v>36475.629999999997</v>
      </c>
      <c r="P50" s="4">
        <f t="shared" si="9"/>
        <v>2253.4</v>
      </c>
      <c r="Q50" s="16">
        <f>'Форма 2'!K120</f>
        <v>7096</v>
      </c>
      <c r="R50" s="42" t="s">
        <v>161</v>
      </c>
      <c r="S50" s="5">
        <v>1</v>
      </c>
      <c r="T50" s="1"/>
    </row>
    <row r="51" spans="1:20" s="2" customFormat="1" ht="15.75" customHeight="1" x14ac:dyDescent="0.35">
      <c r="A51" s="20">
        <f>A50+1</f>
        <v>16</v>
      </c>
      <c r="B51" s="20">
        <v>6071</v>
      </c>
      <c r="C51" s="34" t="s">
        <v>196</v>
      </c>
      <c r="D51" s="20">
        <v>1953</v>
      </c>
      <c r="E51" s="27" t="s">
        <v>197</v>
      </c>
      <c r="F51" s="27" t="s">
        <v>160</v>
      </c>
      <c r="G51" s="4">
        <v>1764.35</v>
      </c>
      <c r="H51" s="4">
        <v>615.65</v>
      </c>
      <c r="I51" s="19">
        <v>25</v>
      </c>
      <c r="J51" s="16">
        <f>'Форма 2'!I123</f>
        <v>184818.13</v>
      </c>
      <c r="K51" s="4">
        <v>0</v>
      </c>
      <c r="L51" s="4">
        <v>0</v>
      </c>
      <c r="M51" s="4">
        <v>0</v>
      </c>
      <c r="N51" s="4">
        <f t="shared" si="10"/>
        <v>178891.23</v>
      </c>
      <c r="O51" s="4">
        <v>5926.9</v>
      </c>
      <c r="P51" s="4">
        <f t="shared" si="9"/>
        <v>300.2</v>
      </c>
      <c r="Q51" s="16">
        <f>'Форма 2'!K123</f>
        <v>912</v>
      </c>
      <c r="R51" s="42" t="s">
        <v>161</v>
      </c>
      <c r="S51" s="5">
        <v>1</v>
      </c>
      <c r="T51" s="1"/>
    </row>
    <row r="52" spans="1:20" s="2" customFormat="1" ht="17.25" customHeight="1" x14ac:dyDescent="0.35">
      <c r="A52" s="20">
        <f t="shared" si="11"/>
        <v>17</v>
      </c>
      <c r="B52" s="20">
        <v>6072</v>
      </c>
      <c r="C52" s="34" t="s">
        <v>198</v>
      </c>
      <c r="D52" s="20">
        <v>1953</v>
      </c>
      <c r="E52" s="27" t="s">
        <v>74</v>
      </c>
      <c r="F52" s="27" t="s">
        <v>160</v>
      </c>
      <c r="G52" s="4">
        <v>1251.5999999999999</v>
      </c>
      <c r="H52" s="4">
        <v>534.9</v>
      </c>
      <c r="I52" s="19">
        <v>26</v>
      </c>
      <c r="J52" s="16">
        <f>'Форма 2'!I128</f>
        <v>1205343.6599999999</v>
      </c>
      <c r="K52" s="4">
        <v>0</v>
      </c>
      <c r="L52" s="4">
        <v>0</v>
      </c>
      <c r="M52" s="4">
        <v>0</v>
      </c>
      <c r="N52" s="4">
        <f t="shared" si="10"/>
        <v>1166423.22</v>
      </c>
      <c r="O52" s="4">
        <v>38920.44</v>
      </c>
      <c r="P52" s="4">
        <f t="shared" si="9"/>
        <v>2253.4</v>
      </c>
      <c r="Q52" s="16">
        <f>'Форма 2'!K128</f>
        <v>7096</v>
      </c>
      <c r="R52" s="42" t="s">
        <v>161</v>
      </c>
      <c r="S52" s="5">
        <v>1</v>
      </c>
      <c r="T52" s="1"/>
    </row>
    <row r="53" spans="1:20" s="2" customFormat="1" ht="16.5" customHeight="1" x14ac:dyDescent="0.35">
      <c r="A53" s="20">
        <f t="shared" si="11"/>
        <v>18</v>
      </c>
      <c r="B53" s="20">
        <v>6074</v>
      </c>
      <c r="C53" s="34" t="s">
        <v>199</v>
      </c>
      <c r="D53" s="20">
        <v>1953</v>
      </c>
      <c r="E53" s="27" t="s">
        <v>74</v>
      </c>
      <c r="F53" s="27" t="s">
        <v>160</v>
      </c>
      <c r="G53" s="4">
        <v>1695.18</v>
      </c>
      <c r="H53" s="4">
        <v>599.02</v>
      </c>
      <c r="I53" s="19">
        <v>25</v>
      </c>
      <c r="J53" s="16">
        <f>'Форма 2'!I131</f>
        <v>1349831.67</v>
      </c>
      <c r="K53" s="4">
        <v>0</v>
      </c>
      <c r="L53" s="4">
        <v>0</v>
      </c>
      <c r="M53" s="4">
        <v>0</v>
      </c>
      <c r="N53" s="4">
        <f t="shared" si="10"/>
        <v>1306245.72</v>
      </c>
      <c r="O53" s="4">
        <v>43585.95</v>
      </c>
      <c r="P53" s="4">
        <f t="shared" si="9"/>
        <v>2253.4</v>
      </c>
      <c r="Q53" s="16">
        <f>'Форма 2'!K131</f>
        <v>7096</v>
      </c>
      <c r="R53" s="42" t="s">
        <v>161</v>
      </c>
      <c r="S53" s="5">
        <v>1</v>
      </c>
      <c r="T53" s="1"/>
    </row>
    <row r="54" spans="1:20" s="2" customFormat="1" ht="17.25" customHeight="1" x14ac:dyDescent="0.35">
      <c r="A54" s="20">
        <f t="shared" si="11"/>
        <v>19</v>
      </c>
      <c r="B54" s="20">
        <v>6076</v>
      </c>
      <c r="C54" s="34" t="s">
        <v>200</v>
      </c>
      <c r="D54" s="20">
        <v>1953</v>
      </c>
      <c r="E54" s="27" t="s">
        <v>74</v>
      </c>
      <c r="F54" s="27" t="s">
        <v>160</v>
      </c>
      <c r="G54" s="4">
        <v>1237.5999999999999</v>
      </c>
      <c r="H54" s="4">
        <v>529.9</v>
      </c>
      <c r="I54" s="19">
        <v>25</v>
      </c>
      <c r="J54" s="16">
        <f>'Форма 2'!I134</f>
        <v>1194076.6599999999</v>
      </c>
      <c r="K54" s="4">
        <v>0</v>
      </c>
      <c r="L54" s="4">
        <v>0</v>
      </c>
      <c r="M54" s="4">
        <v>0</v>
      </c>
      <c r="N54" s="4">
        <f t="shared" si="10"/>
        <v>1155520.03</v>
      </c>
      <c r="O54" s="4">
        <v>38556.629999999997</v>
      </c>
      <c r="P54" s="4">
        <f t="shared" si="9"/>
        <v>2253.4</v>
      </c>
      <c r="Q54" s="16">
        <f>'Форма 2'!K134</f>
        <v>7096</v>
      </c>
      <c r="R54" s="42" t="s">
        <v>161</v>
      </c>
      <c r="S54" s="5">
        <v>1</v>
      </c>
      <c r="T54" s="1"/>
    </row>
    <row r="55" spans="1:20" s="2" customFormat="1" ht="15.75" customHeight="1" x14ac:dyDescent="0.35">
      <c r="A55" s="20">
        <f t="shared" si="11"/>
        <v>20</v>
      </c>
      <c r="B55" s="20">
        <v>6087</v>
      </c>
      <c r="C55" s="34" t="s">
        <v>201</v>
      </c>
      <c r="D55" s="20">
        <v>1964</v>
      </c>
      <c r="E55" s="27" t="s">
        <v>202</v>
      </c>
      <c r="F55" s="27" t="s">
        <v>152</v>
      </c>
      <c r="G55" s="4">
        <v>6557</v>
      </c>
      <c r="H55" s="4">
        <v>2447.1999999999998</v>
      </c>
      <c r="I55" s="19">
        <v>221</v>
      </c>
      <c r="J55" s="16">
        <f>'Форма 2'!I137</f>
        <v>141937.60000000001</v>
      </c>
      <c r="K55" s="4">
        <v>0</v>
      </c>
      <c r="L55" s="4">
        <v>0</v>
      </c>
      <c r="M55" s="4">
        <v>0</v>
      </c>
      <c r="N55" s="4">
        <f t="shared" si="10"/>
        <v>129829.23</v>
      </c>
      <c r="O55" s="4">
        <v>12108.37</v>
      </c>
      <c r="P55" s="4">
        <f t="shared" si="9"/>
        <v>58</v>
      </c>
      <c r="Q55" s="16">
        <f>'Форма 2'!K137</f>
        <v>58</v>
      </c>
      <c r="R55" s="42" t="s">
        <v>153</v>
      </c>
      <c r="S55" s="5">
        <v>1</v>
      </c>
      <c r="T55" s="1"/>
    </row>
    <row r="56" spans="1:20" s="2" customFormat="1" ht="15.75" customHeight="1" x14ac:dyDescent="0.35">
      <c r="A56" s="20">
        <f t="shared" si="11"/>
        <v>21</v>
      </c>
      <c r="B56" s="20">
        <v>6139</v>
      </c>
      <c r="C56" s="34" t="s">
        <v>203</v>
      </c>
      <c r="D56" s="20">
        <v>1954</v>
      </c>
      <c r="E56" s="27" t="s">
        <v>74</v>
      </c>
      <c r="F56" s="27" t="s">
        <v>160</v>
      </c>
      <c r="G56" s="4">
        <v>2337.1</v>
      </c>
      <c r="H56" s="4">
        <v>2152.6</v>
      </c>
      <c r="I56" s="19">
        <v>67</v>
      </c>
      <c r="J56" s="16">
        <f>'Форма 2'!I141</f>
        <v>3189866.53</v>
      </c>
      <c r="K56" s="4">
        <v>0</v>
      </c>
      <c r="L56" s="4">
        <v>0</v>
      </c>
      <c r="M56" s="4">
        <v>0</v>
      </c>
      <c r="N56" s="4">
        <f t="shared" si="10"/>
        <v>3081429.4</v>
      </c>
      <c r="O56" s="4">
        <v>108437.13</v>
      </c>
      <c r="P56" s="4">
        <f t="shared" si="9"/>
        <v>1481.87</v>
      </c>
      <c r="Q56" s="16">
        <f>'Форма 2'!K141</f>
        <v>4793</v>
      </c>
      <c r="R56" s="42" t="s">
        <v>161</v>
      </c>
      <c r="S56" s="5">
        <v>1</v>
      </c>
      <c r="T56" s="1"/>
    </row>
    <row r="57" spans="1:20" s="2" customFormat="1" ht="17.25" customHeight="1" x14ac:dyDescent="0.35">
      <c r="A57" s="20">
        <f t="shared" si="11"/>
        <v>22</v>
      </c>
      <c r="B57" s="20">
        <v>6141</v>
      </c>
      <c r="C57" s="34" t="s">
        <v>204</v>
      </c>
      <c r="D57" s="20">
        <v>1954</v>
      </c>
      <c r="E57" s="27" t="s">
        <v>74</v>
      </c>
      <c r="F57" s="27" t="s">
        <v>155</v>
      </c>
      <c r="G57" s="4">
        <v>2567.3000000000002</v>
      </c>
      <c r="H57" s="4">
        <v>2033.7</v>
      </c>
      <c r="I57" s="19">
        <v>78</v>
      </c>
      <c r="J57" s="16">
        <f>'Форма 2'!I144</f>
        <v>7587549.9699999997</v>
      </c>
      <c r="K57" s="4">
        <v>0</v>
      </c>
      <c r="L57" s="4">
        <v>0</v>
      </c>
      <c r="M57" s="4">
        <v>0</v>
      </c>
      <c r="N57" s="4">
        <f t="shared" si="10"/>
        <v>7349351.1699999999</v>
      </c>
      <c r="O57" s="4">
        <v>238198.8</v>
      </c>
      <c r="P57" s="4">
        <f t="shared" si="9"/>
        <v>3730.91</v>
      </c>
      <c r="Q57" s="16">
        <f>'Форма 2'!K144</f>
        <v>4728</v>
      </c>
      <c r="R57" s="26" t="s">
        <v>153</v>
      </c>
      <c r="S57" s="5">
        <v>1</v>
      </c>
      <c r="T57" s="1"/>
    </row>
    <row r="58" spans="1:20" s="2" customFormat="1" ht="17.25" customHeight="1" x14ac:dyDescent="0.35">
      <c r="A58" s="20">
        <f t="shared" si="11"/>
        <v>23</v>
      </c>
      <c r="B58" s="20">
        <v>6147</v>
      </c>
      <c r="C58" s="34" t="s">
        <v>205</v>
      </c>
      <c r="D58" s="20">
        <v>1954</v>
      </c>
      <c r="E58" s="41" t="s">
        <v>74</v>
      </c>
      <c r="F58" s="27" t="s">
        <v>160</v>
      </c>
      <c r="G58" s="4">
        <v>2576.3000000000002</v>
      </c>
      <c r="H58" s="4">
        <v>2345.3000000000002</v>
      </c>
      <c r="I58" s="19">
        <v>91</v>
      </c>
      <c r="J58" s="16">
        <f>'Форма 2'!I147</f>
        <v>3471742.85</v>
      </c>
      <c r="K58" s="4">
        <v>0</v>
      </c>
      <c r="L58" s="4">
        <v>0</v>
      </c>
      <c r="M58" s="4">
        <v>0</v>
      </c>
      <c r="N58" s="4">
        <f t="shared" si="10"/>
        <v>3353598.47</v>
      </c>
      <c r="O58" s="4">
        <v>118144.38</v>
      </c>
      <c r="P58" s="4">
        <f t="shared" si="9"/>
        <v>1480.3</v>
      </c>
      <c r="Q58" s="16">
        <f>'Форма 2'!K147</f>
        <v>4807</v>
      </c>
      <c r="R58" s="42" t="s">
        <v>161</v>
      </c>
      <c r="S58" s="5">
        <v>1</v>
      </c>
      <c r="T58" s="1"/>
    </row>
    <row r="59" spans="1:20" s="2" customFormat="1" ht="15.75" customHeight="1" x14ac:dyDescent="0.35">
      <c r="A59" s="20">
        <f t="shared" si="11"/>
        <v>24</v>
      </c>
      <c r="B59" s="20">
        <v>6152</v>
      </c>
      <c r="C59" s="34" t="s">
        <v>206</v>
      </c>
      <c r="D59" s="20">
        <v>1957</v>
      </c>
      <c r="E59" s="41" t="s">
        <v>74</v>
      </c>
      <c r="F59" s="27" t="s">
        <v>152</v>
      </c>
      <c r="G59" s="4">
        <v>2850.4</v>
      </c>
      <c r="H59" s="4">
        <v>2611.6</v>
      </c>
      <c r="I59" s="19">
        <v>115</v>
      </c>
      <c r="J59" s="16">
        <f>'Форма 2'!I150</f>
        <v>304691.3</v>
      </c>
      <c r="K59" s="4">
        <v>0</v>
      </c>
      <c r="L59" s="4">
        <v>0</v>
      </c>
      <c r="M59" s="4">
        <v>0</v>
      </c>
      <c r="N59" s="4">
        <f t="shared" si="10"/>
        <v>298654.59999999998</v>
      </c>
      <c r="O59" s="4">
        <v>6036.7</v>
      </c>
      <c r="P59" s="4">
        <f t="shared" si="9"/>
        <v>116.67</v>
      </c>
      <c r="Q59" s="16">
        <f>'Форма 2'!K150</f>
        <v>164</v>
      </c>
      <c r="R59" s="26" t="s">
        <v>153</v>
      </c>
      <c r="S59" s="5">
        <v>1</v>
      </c>
      <c r="T59" s="1"/>
    </row>
    <row r="60" spans="1:20" s="2" customFormat="1" ht="15.75" customHeight="1" x14ac:dyDescent="0.35">
      <c r="A60" s="20">
        <f t="shared" si="11"/>
        <v>25</v>
      </c>
      <c r="B60" s="20">
        <v>6173</v>
      </c>
      <c r="C60" s="34" t="s">
        <v>207</v>
      </c>
      <c r="D60" s="20">
        <v>1972</v>
      </c>
      <c r="E60" s="27" t="s">
        <v>74</v>
      </c>
      <c r="F60" s="27" t="s">
        <v>155</v>
      </c>
      <c r="G60" s="4">
        <v>5780.43</v>
      </c>
      <c r="H60" s="4">
        <v>4411.3599999999997</v>
      </c>
      <c r="I60" s="19">
        <v>235</v>
      </c>
      <c r="J60" s="16">
        <f>'Форма 2'!I152</f>
        <v>9260390.3000000007</v>
      </c>
      <c r="K60" s="4">
        <v>0</v>
      </c>
      <c r="L60" s="4">
        <v>0</v>
      </c>
      <c r="M60" s="4">
        <v>0</v>
      </c>
      <c r="N60" s="4">
        <f t="shared" si="10"/>
        <v>8949230.3699999992</v>
      </c>
      <c r="O60" s="4">
        <v>311159.93</v>
      </c>
      <c r="P60" s="4">
        <f t="shared" si="9"/>
        <v>2099.21</v>
      </c>
      <c r="Q60" s="16">
        <f>'Форма 2'!K152</f>
        <v>2831</v>
      </c>
      <c r="R60" s="26" t="s">
        <v>153</v>
      </c>
      <c r="S60" s="5">
        <v>1</v>
      </c>
      <c r="T60" s="1"/>
    </row>
    <row r="61" spans="1:20" s="2" customFormat="1" ht="15.75" customHeight="1" x14ac:dyDescent="0.35">
      <c r="A61" s="20">
        <f t="shared" si="11"/>
        <v>26</v>
      </c>
      <c r="B61" s="20">
        <v>6177</v>
      </c>
      <c r="C61" s="34" t="s">
        <v>208</v>
      </c>
      <c r="D61" s="20">
        <v>1972</v>
      </c>
      <c r="E61" s="27" t="s">
        <v>74</v>
      </c>
      <c r="F61" s="27" t="s">
        <v>155</v>
      </c>
      <c r="G61" s="4">
        <v>5918.67</v>
      </c>
      <c r="H61" s="4">
        <v>4412.43</v>
      </c>
      <c r="I61" s="19">
        <v>242</v>
      </c>
      <c r="J61" s="16">
        <f>'Форма 2'!I155</f>
        <v>8877422.7300000004</v>
      </c>
      <c r="K61" s="4">
        <v>0</v>
      </c>
      <c r="L61" s="4">
        <v>0</v>
      </c>
      <c r="M61" s="4">
        <v>0</v>
      </c>
      <c r="N61" s="4">
        <f t="shared" si="10"/>
        <v>8598729.7400000002</v>
      </c>
      <c r="O61" s="4">
        <v>278692.99</v>
      </c>
      <c r="P61" s="4">
        <f t="shared" si="9"/>
        <v>2011.91</v>
      </c>
      <c r="Q61" s="16">
        <f>'Форма 2'!K155</f>
        <v>2831</v>
      </c>
      <c r="R61" s="26" t="s">
        <v>153</v>
      </c>
      <c r="S61" s="5">
        <v>1</v>
      </c>
      <c r="T61" s="1"/>
    </row>
    <row r="62" spans="1:20" s="2" customFormat="1" ht="15.75" customHeight="1" x14ac:dyDescent="0.35">
      <c r="A62" s="20">
        <f t="shared" si="11"/>
        <v>27</v>
      </c>
      <c r="B62" s="20">
        <v>6187</v>
      </c>
      <c r="C62" s="34" t="s">
        <v>209</v>
      </c>
      <c r="D62" s="20">
        <v>1989</v>
      </c>
      <c r="E62" s="27" t="s">
        <v>182</v>
      </c>
      <c r="F62" s="27" t="s">
        <v>183</v>
      </c>
      <c r="G62" s="4">
        <v>9113.9</v>
      </c>
      <c r="H62" s="4">
        <v>8136.8</v>
      </c>
      <c r="I62" s="19">
        <v>450</v>
      </c>
      <c r="J62" s="16">
        <f>'Форма 2'!I158</f>
        <v>1587200.3</v>
      </c>
      <c r="K62" s="4">
        <v>0</v>
      </c>
      <c r="L62" s="4">
        <v>0</v>
      </c>
      <c r="M62" s="4">
        <v>0</v>
      </c>
      <c r="N62" s="4">
        <f t="shared" si="10"/>
        <v>1531893.96</v>
      </c>
      <c r="O62" s="4">
        <v>55306.34</v>
      </c>
      <c r="P62" s="4">
        <f t="shared" si="9"/>
        <v>195.06</v>
      </c>
      <c r="Q62" s="16">
        <f>'Форма 2'!K158</f>
        <v>217.53</v>
      </c>
      <c r="R62" s="26" t="s">
        <v>153</v>
      </c>
      <c r="S62" s="5">
        <v>1</v>
      </c>
      <c r="T62" s="1"/>
    </row>
    <row r="63" spans="1:20" s="2" customFormat="1" ht="15.75" customHeight="1" x14ac:dyDescent="0.35">
      <c r="A63" s="20">
        <f t="shared" si="11"/>
        <v>28</v>
      </c>
      <c r="B63" s="20">
        <v>6207</v>
      </c>
      <c r="C63" s="34" t="s">
        <v>210</v>
      </c>
      <c r="D63" s="20">
        <v>1954</v>
      </c>
      <c r="E63" s="41" t="s">
        <v>74</v>
      </c>
      <c r="F63" s="27" t="s">
        <v>152</v>
      </c>
      <c r="G63" s="4">
        <v>2235.6999999999998</v>
      </c>
      <c r="H63" s="4">
        <v>2063.3000000000002</v>
      </c>
      <c r="I63" s="19">
        <v>79</v>
      </c>
      <c r="J63" s="16">
        <f>'Форма 2'!I162</f>
        <v>195621.91</v>
      </c>
      <c r="K63" s="4">
        <v>0</v>
      </c>
      <c r="L63" s="4">
        <v>0</v>
      </c>
      <c r="M63" s="4">
        <v>0</v>
      </c>
      <c r="N63" s="4">
        <f t="shared" si="10"/>
        <v>181185.09</v>
      </c>
      <c r="O63" s="4">
        <v>14436.82</v>
      </c>
      <c r="P63" s="4">
        <f t="shared" si="9"/>
        <v>94.81</v>
      </c>
      <c r="Q63" s="16">
        <f>'Форма 2'!K162</f>
        <v>164</v>
      </c>
      <c r="R63" s="26" t="s">
        <v>153</v>
      </c>
      <c r="S63" s="5">
        <v>1</v>
      </c>
      <c r="T63" s="1"/>
    </row>
    <row r="64" spans="1:20" s="2" customFormat="1" ht="15.75" customHeight="1" x14ac:dyDescent="0.35">
      <c r="A64" s="20">
        <f t="shared" si="11"/>
        <v>29</v>
      </c>
      <c r="B64" s="20">
        <v>6208</v>
      </c>
      <c r="C64" s="34" t="s">
        <v>211</v>
      </c>
      <c r="D64" s="20">
        <v>1954</v>
      </c>
      <c r="E64" s="41" t="s">
        <v>178</v>
      </c>
      <c r="F64" s="27" t="s">
        <v>152</v>
      </c>
      <c r="G64" s="4">
        <v>1693</v>
      </c>
      <c r="H64" s="4">
        <v>1569.5</v>
      </c>
      <c r="I64" s="19">
        <v>53</v>
      </c>
      <c r="J64" s="16">
        <f>'Форма 2'!I164</f>
        <v>243272.5</v>
      </c>
      <c r="K64" s="4">
        <v>0</v>
      </c>
      <c r="L64" s="4">
        <v>0</v>
      </c>
      <c r="M64" s="4">
        <v>0</v>
      </c>
      <c r="N64" s="4">
        <f t="shared" si="10"/>
        <v>241017.33</v>
      </c>
      <c r="O64" s="4">
        <v>2255.17</v>
      </c>
      <c r="P64" s="4">
        <f t="shared" si="9"/>
        <v>155</v>
      </c>
      <c r="Q64" s="16">
        <f>'Форма 2'!K164</f>
        <v>155</v>
      </c>
      <c r="R64" s="26" t="s">
        <v>153</v>
      </c>
      <c r="S64" s="5">
        <v>1</v>
      </c>
      <c r="T64" s="1"/>
    </row>
    <row r="65" spans="1:20" s="2" customFormat="1" ht="15.75" customHeight="1" x14ac:dyDescent="0.35">
      <c r="A65" s="20">
        <f t="shared" si="11"/>
        <v>30</v>
      </c>
      <c r="B65" s="20">
        <v>6234</v>
      </c>
      <c r="C65" s="34" t="s">
        <v>212</v>
      </c>
      <c r="D65" s="20">
        <v>1954</v>
      </c>
      <c r="E65" s="41" t="s">
        <v>178</v>
      </c>
      <c r="F65" s="27" t="s">
        <v>152</v>
      </c>
      <c r="G65" s="4">
        <v>2282.1</v>
      </c>
      <c r="H65" s="4">
        <v>2118.1</v>
      </c>
      <c r="I65" s="19">
        <v>73</v>
      </c>
      <c r="J65" s="16">
        <f>'Форма 2'!I168</f>
        <v>250553.61</v>
      </c>
      <c r="K65" s="4">
        <v>0</v>
      </c>
      <c r="L65" s="4">
        <v>0</v>
      </c>
      <c r="M65" s="4">
        <v>0</v>
      </c>
      <c r="N65" s="4">
        <f t="shared" si="10"/>
        <v>247510.17</v>
      </c>
      <c r="O65" s="4">
        <v>3043.44</v>
      </c>
      <c r="P65" s="4">
        <f t="shared" si="9"/>
        <v>118.29</v>
      </c>
      <c r="Q65" s="16">
        <f>'Форма 2'!K168</f>
        <v>155</v>
      </c>
      <c r="R65" s="26" t="s">
        <v>153</v>
      </c>
      <c r="S65" s="5">
        <v>1</v>
      </c>
      <c r="T65" s="1"/>
    </row>
    <row r="66" spans="1:20" s="2" customFormat="1" ht="15.75" customHeight="1" x14ac:dyDescent="0.35">
      <c r="A66" s="20">
        <f t="shared" si="11"/>
        <v>31</v>
      </c>
      <c r="B66" s="20">
        <v>6244</v>
      </c>
      <c r="C66" s="34" t="s">
        <v>213</v>
      </c>
      <c r="D66" s="20">
        <v>1951</v>
      </c>
      <c r="E66" s="41" t="s">
        <v>178</v>
      </c>
      <c r="F66" s="27" t="s">
        <v>160</v>
      </c>
      <c r="G66" s="4">
        <v>946.7</v>
      </c>
      <c r="H66" s="4">
        <v>520.5</v>
      </c>
      <c r="I66" s="19">
        <v>20</v>
      </c>
      <c r="J66" s="16">
        <f>'Форма 2'!I172</f>
        <v>637352.25</v>
      </c>
      <c r="K66" s="4">
        <v>0</v>
      </c>
      <c r="L66" s="4">
        <v>0</v>
      </c>
      <c r="M66" s="4">
        <v>0</v>
      </c>
      <c r="N66" s="4">
        <f t="shared" si="10"/>
        <v>629301.02</v>
      </c>
      <c r="O66" s="4">
        <v>8051.23</v>
      </c>
      <c r="P66" s="4">
        <f t="shared" si="9"/>
        <v>1224.5</v>
      </c>
      <c r="Q66" s="16">
        <f>'Форма 2'!K172</f>
        <v>3720</v>
      </c>
      <c r="R66" s="42" t="s">
        <v>161</v>
      </c>
      <c r="S66" s="5">
        <v>1</v>
      </c>
      <c r="T66" s="1"/>
    </row>
    <row r="67" spans="1:20" s="2" customFormat="1" ht="17.25" customHeight="1" x14ac:dyDescent="0.35">
      <c r="A67" s="20">
        <f t="shared" si="11"/>
        <v>32</v>
      </c>
      <c r="B67" s="20">
        <v>6296</v>
      </c>
      <c r="C67" s="34" t="s">
        <v>214</v>
      </c>
      <c r="D67" s="20">
        <v>1953</v>
      </c>
      <c r="E67" s="27" t="s">
        <v>74</v>
      </c>
      <c r="F67" s="27" t="s">
        <v>160</v>
      </c>
      <c r="G67" s="4">
        <v>1600.5</v>
      </c>
      <c r="H67" s="4">
        <v>1473.9</v>
      </c>
      <c r="I67" s="19">
        <v>51</v>
      </c>
      <c r="J67" s="16">
        <f>'Форма 2'!I179</f>
        <v>2204492.2999999998</v>
      </c>
      <c r="K67" s="4">
        <v>0</v>
      </c>
      <c r="L67" s="4">
        <v>0</v>
      </c>
      <c r="M67" s="4">
        <v>0</v>
      </c>
      <c r="N67" s="4">
        <f t="shared" si="10"/>
        <v>2130340.37</v>
      </c>
      <c r="O67" s="4">
        <v>74151.929999999993</v>
      </c>
      <c r="P67" s="4">
        <f t="shared" si="9"/>
        <v>1495.69</v>
      </c>
      <c r="Q67" s="16">
        <f>'Форма 2'!K179</f>
        <v>4807</v>
      </c>
      <c r="R67" s="42" t="s">
        <v>161</v>
      </c>
      <c r="S67" s="5">
        <v>1</v>
      </c>
      <c r="T67" s="1"/>
    </row>
    <row r="68" spans="1:20" s="2" customFormat="1" ht="18.75" customHeight="1" x14ac:dyDescent="0.35">
      <c r="A68" s="20">
        <f t="shared" si="11"/>
        <v>33</v>
      </c>
      <c r="B68" s="20">
        <v>6310</v>
      </c>
      <c r="C68" s="34" t="s">
        <v>215</v>
      </c>
      <c r="D68" s="20">
        <v>1988</v>
      </c>
      <c r="E68" s="27" t="s">
        <v>182</v>
      </c>
      <c r="F68" s="27" t="s">
        <v>183</v>
      </c>
      <c r="G68" s="4">
        <v>19675.900000000001</v>
      </c>
      <c r="H68" s="4">
        <v>17228.8</v>
      </c>
      <c r="I68" s="19">
        <v>809</v>
      </c>
      <c r="J68" s="16">
        <f>'Форма 2'!I182</f>
        <v>15600627</v>
      </c>
      <c r="K68" s="4">
        <v>0</v>
      </c>
      <c r="L68" s="4">
        <v>0</v>
      </c>
      <c r="M68" s="4">
        <v>0</v>
      </c>
      <c r="N68" s="4">
        <f t="shared" si="10"/>
        <v>15102869.939999999</v>
      </c>
      <c r="O68" s="4">
        <v>497757.06</v>
      </c>
      <c r="P68" s="4">
        <f t="shared" si="9"/>
        <v>905.5</v>
      </c>
      <c r="Q68" s="16">
        <f>'Форма 2'!K182</f>
        <v>924.6</v>
      </c>
      <c r="R68" s="26" t="s">
        <v>153</v>
      </c>
      <c r="S68" s="5">
        <v>1</v>
      </c>
      <c r="T68" s="1"/>
    </row>
    <row r="69" spans="1:20" s="2" customFormat="1" ht="15.75" customHeight="1" x14ac:dyDescent="0.35">
      <c r="A69" s="20">
        <f t="shared" si="11"/>
        <v>34</v>
      </c>
      <c r="B69" s="20">
        <v>6311</v>
      </c>
      <c r="C69" s="34" t="s">
        <v>216</v>
      </c>
      <c r="D69" s="20">
        <v>1989</v>
      </c>
      <c r="E69" s="27" t="s">
        <v>182</v>
      </c>
      <c r="F69" s="27" t="s">
        <v>183</v>
      </c>
      <c r="G69" s="4">
        <v>2742.2</v>
      </c>
      <c r="H69" s="4">
        <v>2415.9</v>
      </c>
      <c r="I69" s="19">
        <v>115</v>
      </c>
      <c r="J69" s="16">
        <f>'Форма 2'!I210</f>
        <v>1733403</v>
      </c>
      <c r="K69" s="4">
        <v>0</v>
      </c>
      <c r="L69" s="4">
        <v>0</v>
      </c>
      <c r="M69" s="4">
        <v>0</v>
      </c>
      <c r="N69" s="4">
        <f t="shared" si="10"/>
        <v>1678096.66</v>
      </c>
      <c r="O69" s="4">
        <v>55306.34</v>
      </c>
      <c r="P69" s="4">
        <f t="shared" si="9"/>
        <v>717.5</v>
      </c>
      <c r="Q69" s="16">
        <f>'Форма 2'!K210</f>
        <v>732.63</v>
      </c>
      <c r="R69" s="26" t="s">
        <v>153</v>
      </c>
      <c r="S69" s="5">
        <v>1</v>
      </c>
      <c r="T69" s="1"/>
    </row>
    <row r="70" spans="1:20" s="2" customFormat="1" ht="15.75" customHeight="1" x14ac:dyDescent="0.35">
      <c r="A70" s="20">
        <f t="shared" si="11"/>
        <v>35</v>
      </c>
      <c r="B70" s="20">
        <v>6315</v>
      </c>
      <c r="C70" s="34" t="s">
        <v>217</v>
      </c>
      <c r="D70" s="20">
        <v>1989</v>
      </c>
      <c r="E70" s="27" t="s">
        <v>182</v>
      </c>
      <c r="F70" s="27" t="s">
        <v>183</v>
      </c>
      <c r="G70" s="4">
        <v>5594.4</v>
      </c>
      <c r="H70" s="4">
        <v>4642.1000000000004</v>
      </c>
      <c r="I70" s="19">
        <v>195</v>
      </c>
      <c r="J70" s="16">
        <f>'Форма 2'!I214</f>
        <v>1708823</v>
      </c>
      <c r="K70" s="4">
        <v>0</v>
      </c>
      <c r="L70" s="4">
        <v>0</v>
      </c>
      <c r="M70" s="4">
        <v>0</v>
      </c>
      <c r="N70" s="4">
        <f t="shared" si="10"/>
        <v>1653516.66</v>
      </c>
      <c r="O70" s="4">
        <v>55306.34</v>
      </c>
      <c r="P70" s="4">
        <f t="shared" si="9"/>
        <v>368.11</v>
      </c>
      <c r="Q70" s="16">
        <f>'Форма 2'!K214</f>
        <v>375.99</v>
      </c>
      <c r="R70" s="26" t="s">
        <v>153</v>
      </c>
      <c r="S70" s="5">
        <v>1</v>
      </c>
      <c r="T70" s="1"/>
    </row>
    <row r="71" spans="1:20" s="2" customFormat="1" ht="31.5" customHeight="1" x14ac:dyDescent="0.35">
      <c r="A71" s="20">
        <f t="shared" si="11"/>
        <v>36</v>
      </c>
      <c r="B71" s="20">
        <v>6321</v>
      </c>
      <c r="C71" s="34" t="s">
        <v>218</v>
      </c>
      <c r="D71" s="27" t="s">
        <v>219</v>
      </c>
      <c r="E71" s="27" t="s">
        <v>182</v>
      </c>
      <c r="F71" s="27" t="s">
        <v>183</v>
      </c>
      <c r="G71" s="4">
        <v>11835.3</v>
      </c>
      <c r="H71" s="4">
        <v>10603.9</v>
      </c>
      <c r="I71" s="19">
        <v>483</v>
      </c>
      <c r="J71" s="16">
        <f>'Форма 2'!I218</f>
        <v>10400418</v>
      </c>
      <c r="K71" s="4">
        <v>0</v>
      </c>
      <c r="L71" s="4">
        <v>0</v>
      </c>
      <c r="M71" s="4">
        <v>0</v>
      </c>
      <c r="N71" s="4">
        <f t="shared" si="10"/>
        <v>10068579.960000001</v>
      </c>
      <c r="O71" s="4">
        <v>331838.03999999998</v>
      </c>
      <c r="P71" s="4">
        <f t="shared" si="9"/>
        <v>980.81</v>
      </c>
      <c r="Q71" s="16">
        <f>'Форма 2'!K218</f>
        <v>1001.5</v>
      </c>
      <c r="R71" s="26" t="s">
        <v>153</v>
      </c>
      <c r="S71" s="5">
        <v>1</v>
      </c>
      <c r="T71" s="1"/>
    </row>
    <row r="72" spans="1:20" s="2" customFormat="1" ht="15.75" customHeight="1" x14ac:dyDescent="0.35">
      <c r="A72" s="20">
        <f t="shared" si="11"/>
        <v>37</v>
      </c>
      <c r="B72" s="20">
        <v>6343</v>
      </c>
      <c r="C72" s="34" t="s">
        <v>220</v>
      </c>
      <c r="D72" s="20">
        <v>1951</v>
      </c>
      <c r="E72" s="27" t="s">
        <v>74</v>
      </c>
      <c r="F72" s="27" t="s">
        <v>152</v>
      </c>
      <c r="G72" s="4">
        <v>964.5</v>
      </c>
      <c r="H72" s="4">
        <v>877.1</v>
      </c>
      <c r="I72" s="19">
        <v>30</v>
      </c>
      <c r="J72" s="16">
        <f>'Форма 2'!I237</f>
        <v>107835.6</v>
      </c>
      <c r="K72" s="4">
        <v>0</v>
      </c>
      <c r="L72" s="4">
        <v>0</v>
      </c>
      <c r="M72" s="4">
        <v>0</v>
      </c>
      <c r="N72" s="4">
        <f t="shared" si="10"/>
        <v>94268.38</v>
      </c>
      <c r="O72" s="4">
        <v>13567.22</v>
      </c>
      <c r="P72" s="4">
        <f t="shared" si="9"/>
        <v>122.95</v>
      </c>
      <c r="Q72" s="16">
        <f>'Форма 2'!K237</f>
        <v>178</v>
      </c>
      <c r="R72" s="42" t="s">
        <v>153</v>
      </c>
      <c r="S72" s="5">
        <v>1</v>
      </c>
      <c r="T72" s="1"/>
    </row>
    <row r="73" spans="1:20" s="2" customFormat="1" ht="18.75" customHeight="1" x14ac:dyDescent="0.35">
      <c r="A73" s="20">
        <f t="shared" si="11"/>
        <v>38</v>
      </c>
      <c r="B73" s="20">
        <v>6349</v>
      </c>
      <c r="C73" s="34" t="s">
        <v>221</v>
      </c>
      <c r="D73" s="20">
        <v>1952</v>
      </c>
      <c r="E73" s="27" t="s">
        <v>74</v>
      </c>
      <c r="F73" s="27" t="s">
        <v>155</v>
      </c>
      <c r="G73" s="4">
        <v>978.9</v>
      </c>
      <c r="H73" s="4">
        <v>889.1</v>
      </c>
      <c r="I73" s="19">
        <v>38</v>
      </c>
      <c r="J73" s="4">
        <f>'Форма 2'!I239</f>
        <v>4380814.25</v>
      </c>
      <c r="K73" s="4">
        <v>0</v>
      </c>
      <c r="L73" s="4">
        <v>0</v>
      </c>
      <c r="M73" s="4">
        <v>0</v>
      </c>
      <c r="N73" s="4">
        <f t="shared" si="10"/>
        <v>4242951.87</v>
      </c>
      <c r="O73" s="4">
        <v>137862.38</v>
      </c>
      <c r="P73" s="4">
        <f t="shared" si="9"/>
        <v>4927.25</v>
      </c>
      <c r="Q73" s="4">
        <f>'Форма 2'!K239</f>
        <v>7066</v>
      </c>
      <c r="R73" s="26" t="s">
        <v>153</v>
      </c>
      <c r="S73" s="5">
        <v>1</v>
      </c>
      <c r="T73" s="1"/>
    </row>
    <row r="74" spans="1:20" s="2" customFormat="1" ht="15.75" customHeight="1" x14ac:dyDescent="0.35">
      <c r="A74" s="20">
        <f t="shared" si="11"/>
        <v>39</v>
      </c>
      <c r="B74" s="20">
        <v>6351</v>
      </c>
      <c r="C74" s="34" t="s">
        <v>222</v>
      </c>
      <c r="D74" s="20">
        <v>1953</v>
      </c>
      <c r="E74" s="41" t="s">
        <v>178</v>
      </c>
      <c r="F74" s="27" t="s">
        <v>152</v>
      </c>
      <c r="G74" s="4">
        <v>1538</v>
      </c>
      <c r="H74" s="4">
        <v>899.1</v>
      </c>
      <c r="I74" s="19">
        <v>43</v>
      </c>
      <c r="J74" s="4">
        <f>'Форма 2'!I242</f>
        <v>139360.5</v>
      </c>
      <c r="K74" s="4">
        <v>0</v>
      </c>
      <c r="L74" s="4">
        <v>0</v>
      </c>
      <c r="M74" s="4">
        <v>0</v>
      </c>
      <c r="N74" s="4">
        <f t="shared" si="10"/>
        <v>125452.98</v>
      </c>
      <c r="O74" s="4">
        <v>13907.52</v>
      </c>
      <c r="P74" s="4">
        <f t="shared" si="9"/>
        <v>155</v>
      </c>
      <c r="Q74" s="4">
        <f>'Форма 2'!K242</f>
        <v>155</v>
      </c>
      <c r="R74" s="42" t="s">
        <v>153</v>
      </c>
      <c r="S74" s="5">
        <v>1</v>
      </c>
      <c r="T74" s="1"/>
    </row>
    <row r="75" spans="1:20" s="2" customFormat="1" ht="15.75" customHeight="1" x14ac:dyDescent="0.35">
      <c r="A75" s="20">
        <f t="shared" si="11"/>
        <v>40</v>
      </c>
      <c r="B75" s="20">
        <v>6354</v>
      </c>
      <c r="C75" s="34" t="s">
        <v>223</v>
      </c>
      <c r="D75" s="20">
        <v>1957</v>
      </c>
      <c r="E75" s="27" t="s">
        <v>74</v>
      </c>
      <c r="F75" s="27" t="s">
        <v>160</v>
      </c>
      <c r="G75" s="4">
        <v>4033</v>
      </c>
      <c r="H75" s="4">
        <v>2328</v>
      </c>
      <c r="I75" s="19">
        <v>110</v>
      </c>
      <c r="J75" s="4">
        <f>'Форма 2'!I246</f>
        <v>3447304.17</v>
      </c>
      <c r="K75" s="4">
        <v>0</v>
      </c>
      <c r="L75" s="4">
        <v>0</v>
      </c>
      <c r="M75" s="4">
        <v>0</v>
      </c>
      <c r="N75" s="4">
        <f t="shared" si="10"/>
        <v>3330031.28</v>
      </c>
      <c r="O75" s="4">
        <v>117272.89</v>
      </c>
      <c r="P75" s="4">
        <f t="shared" si="9"/>
        <v>1480.8</v>
      </c>
      <c r="Q75" s="4">
        <f>'Форма 2'!K246</f>
        <v>4807</v>
      </c>
      <c r="R75" s="42" t="s">
        <v>161</v>
      </c>
      <c r="S75" s="5">
        <v>1</v>
      </c>
      <c r="T75" s="1"/>
    </row>
    <row r="76" spans="1:20" s="2" customFormat="1" ht="15.75" customHeight="1" x14ac:dyDescent="0.35">
      <c r="A76" s="20">
        <f t="shared" si="11"/>
        <v>41</v>
      </c>
      <c r="B76" s="20">
        <v>6356</v>
      </c>
      <c r="C76" s="34" t="s">
        <v>224</v>
      </c>
      <c r="D76" s="20">
        <v>1957</v>
      </c>
      <c r="E76" s="27" t="s">
        <v>74</v>
      </c>
      <c r="F76" s="27" t="s">
        <v>160</v>
      </c>
      <c r="G76" s="4">
        <v>4296</v>
      </c>
      <c r="H76" s="4">
        <v>2350</v>
      </c>
      <c r="I76" s="19">
        <v>107</v>
      </c>
      <c r="J76" s="4">
        <f>'Форма 2'!I249</f>
        <v>3479058</v>
      </c>
      <c r="K76" s="4">
        <v>0</v>
      </c>
      <c r="L76" s="4">
        <v>0</v>
      </c>
      <c r="M76" s="4">
        <v>0</v>
      </c>
      <c r="N76" s="4">
        <f t="shared" si="10"/>
        <v>3360676.86</v>
      </c>
      <c r="O76" s="4">
        <v>118381.14</v>
      </c>
      <c r="P76" s="4">
        <f t="shared" si="9"/>
        <v>1480.45</v>
      </c>
      <c r="Q76" s="4">
        <f>'Форма 2'!K249</f>
        <v>4807</v>
      </c>
      <c r="R76" s="42" t="s">
        <v>161</v>
      </c>
      <c r="S76" s="5">
        <v>1</v>
      </c>
      <c r="T76" s="1"/>
    </row>
    <row r="77" spans="1:20" s="2" customFormat="1" ht="15.75" customHeight="1" x14ac:dyDescent="0.35">
      <c r="A77" s="20">
        <f t="shared" si="11"/>
        <v>42</v>
      </c>
      <c r="B77" s="20">
        <v>6403</v>
      </c>
      <c r="C77" s="34" t="s">
        <v>225</v>
      </c>
      <c r="D77" s="20">
        <v>1971</v>
      </c>
      <c r="E77" s="27" t="s">
        <v>74</v>
      </c>
      <c r="F77" s="27" t="s">
        <v>155</v>
      </c>
      <c r="G77" s="4">
        <v>5724.95</v>
      </c>
      <c r="H77" s="4">
        <v>4363.92</v>
      </c>
      <c r="I77" s="19">
        <v>232</v>
      </c>
      <c r="J77" s="16">
        <f>'Форма 2'!I252</f>
        <v>9244493.5899999999</v>
      </c>
      <c r="K77" s="4">
        <v>0</v>
      </c>
      <c r="L77" s="4">
        <v>0</v>
      </c>
      <c r="M77" s="4">
        <v>0</v>
      </c>
      <c r="N77" s="4">
        <f t="shared" si="10"/>
        <v>8934084.3499999996</v>
      </c>
      <c r="O77" s="4">
        <v>310409.24</v>
      </c>
      <c r="P77" s="4">
        <f t="shared" si="9"/>
        <v>2118.39</v>
      </c>
      <c r="Q77" s="16">
        <f>'Форма 2'!K252</f>
        <v>2831</v>
      </c>
      <c r="R77" s="26" t="s">
        <v>153</v>
      </c>
      <c r="S77" s="5">
        <v>1</v>
      </c>
      <c r="T77" s="1"/>
    </row>
    <row r="78" spans="1:20" s="2" customFormat="1" ht="15.75" customHeight="1" x14ac:dyDescent="0.35">
      <c r="A78" s="20">
        <f t="shared" si="11"/>
        <v>43</v>
      </c>
      <c r="B78" s="20">
        <v>6420</v>
      </c>
      <c r="C78" s="34" t="s">
        <v>226</v>
      </c>
      <c r="D78" s="20">
        <v>1955</v>
      </c>
      <c r="E78" s="27" t="s">
        <v>74</v>
      </c>
      <c r="F78" s="27" t="s">
        <v>160</v>
      </c>
      <c r="G78" s="4">
        <v>882</v>
      </c>
      <c r="H78" s="4">
        <v>486</v>
      </c>
      <c r="I78" s="19">
        <v>33</v>
      </c>
      <c r="J78" s="16">
        <f>'Форма 2'!I255</f>
        <v>1095152.3999999999</v>
      </c>
      <c r="K78" s="4">
        <v>0</v>
      </c>
      <c r="L78" s="4">
        <v>0</v>
      </c>
      <c r="M78" s="4">
        <v>0</v>
      </c>
      <c r="N78" s="4">
        <f t="shared" si="10"/>
        <v>1059790.03</v>
      </c>
      <c r="O78" s="4">
        <v>35362.370000000003</v>
      </c>
      <c r="P78" s="4">
        <f t="shared" si="9"/>
        <v>2253.4</v>
      </c>
      <c r="Q78" s="16">
        <f>'Форма 2'!K255</f>
        <v>7096</v>
      </c>
      <c r="R78" s="42" t="s">
        <v>161</v>
      </c>
      <c r="S78" s="5">
        <v>1</v>
      </c>
      <c r="T78" s="1"/>
    </row>
    <row r="79" spans="1:20" s="2" customFormat="1" ht="15.75" customHeight="1" x14ac:dyDescent="0.35">
      <c r="A79" s="20">
        <f t="shared" si="11"/>
        <v>44</v>
      </c>
      <c r="B79" s="20">
        <v>6476</v>
      </c>
      <c r="C79" s="34" t="s">
        <v>227</v>
      </c>
      <c r="D79" s="20">
        <v>1957</v>
      </c>
      <c r="E79" s="27" t="s">
        <v>74</v>
      </c>
      <c r="F79" s="27" t="s">
        <v>152</v>
      </c>
      <c r="G79" s="4">
        <v>905.5</v>
      </c>
      <c r="H79" s="4">
        <v>525</v>
      </c>
      <c r="I79" s="19">
        <v>24</v>
      </c>
      <c r="J79" s="16">
        <f>'Форма 2'!I258</f>
        <v>86451.59</v>
      </c>
      <c r="K79" s="4">
        <v>0</v>
      </c>
      <c r="L79" s="4">
        <v>0</v>
      </c>
      <c r="M79" s="4">
        <v>0</v>
      </c>
      <c r="N79" s="4">
        <f t="shared" si="10"/>
        <v>48251.49</v>
      </c>
      <c r="O79" s="4">
        <v>38200.1</v>
      </c>
      <c r="P79" s="4">
        <f t="shared" si="9"/>
        <v>164.67</v>
      </c>
      <c r="Q79" s="16">
        <f>'Форма 2'!K258</f>
        <v>178</v>
      </c>
      <c r="R79" s="42" t="s">
        <v>161</v>
      </c>
      <c r="S79" s="5">
        <v>1</v>
      </c>
      <c r="T79" s="1"/>
    </row>
    <row r="80" spans="1:20" s="2" customFormat="1" ht="15.75" customHeight="1" x14ac:dyDescent="0.35">
      <c r="A80" s="20">
        <f t="shared" si="11"/>
        <v>45</v>
      </c>
      <c r="B80" s="20">
        <v>6482</v>
      </c>
      <c r="C80" s="34" t="s">
        <v>228</v>
      </c>
      <c r="D80" s="20">
        <v>1955</v>
      </c>
      <c r="E80" s="41" t="s">
        <v>197</v>
      </c>
      <c r="F80" s="27" t="s">
        <v>152</v>
      </c>
      <c r="G80" s="4">
        <v>1442</v>
      </c>
      <c r="H80" s="4">
        <v>892.1</v>
      </c>
      <c r="I80" s="19">
        <v>58</v>
      </c>
      <c r="J80" s="16">
        <f>'Форма 2'!I260</f>
        <v>33899.800000000003</v>
      </c>
      <c r="K80" s="4">
        <v>0</v>
      </c>
      <c r="L80" s="4">
        <v>0</v>
      </c>
      <c r="M80" s="4">
        <v>0</v>
      </c>
      <c r="N80" s="4">
        <f t="shared" si="10"/>
        <v>0</v>
      </c>
      <c r="O80" s="4">
        <v>33899.800000000003</v>
      </c>
      <c r="P80" s="4">
        <f t="shared" si="9"/>
        <v>38</v>
      </c>
      <c r="Q80" s="16">
        <f>'Форма 2'!K260</f>
        <v>38</v>
      </c>
      <c r="R80" s="26" t="s">
        <v>153</v>
      </c>
      <c r="S80" s="5">
        <v>1</v>
      </c>
      <c r="T80" s="1"/>
    </row>
    <row r="81" spans="1:20" s="2" customFormat="1" ht="15.75" customHeight="1" x14ac:dyDescent="0.35">
      <c r="A81" s="20">
        <f>A80+1</f>
        <v>46</v>
      </c>
      <c r="B81" s="20">
        <v>6514</v>
      </c>
      <c r="C81" s="34" t="s">
        <v>231</v>
      </c>
      <c r="D81" s="20">
        <v>1957</v>
      </c>
      <c r="E81" s="41" t="s">
        <v>178</v>
      </c>
      <c r="F81" s="27" t="s">
        <v>152</v>
      </c>
      <c r="G81" s="4">
        <v>481.3</v>
      </c>
      <c r="H81" s="4">
        <v>432.5</v>
      </c>
      <c r="I81" s="19">
        <v>19</v>
      </c>
      <c r="J81" s="16">
        <f>'Форма 2'!I263</f>
        <v>67037.5</v>
      </c>
      <c r="K81" s="4">
        <v>0</v>
      </c>
      <c r="L81" s="4">
        <v>0</v>
      </c>
      <c r="M81" s="4">
        <v>0</v>
      </c>
      <c r="N81" s="4">
        <f t="shared" si="10"/>
        <v>62873.8</v>
      </c>
      <c r="O81" s="4">
        <v>4163.7</v>
      </c>
      <c r="P81" s="4">
        <f t="shared" si="9"/>
        <v>155</v>
      </c>
      <c r="Q81" s="16">
        <f>'Форма 2'!K263</f>
        <v>155</v>
      </c>
      <c r="R81" s="42" t="s">
        <v>153</v>
      </c>
      <c r="S81" s="5">
        <v>1</v>
      </c>
      <c r="T81" s="1"/>
    </row>
    <row r="82" spans="1:20" s="2" customFormat="1" ht="15.75" customHeight="1" x14ac:dyDescent="0.35">
      <c r="A82" s="20">
        <f t="shared" si="11"/>
        <v>47</v>
      </c>
      <c r="B82" s="20">
        <v>6516</v>
      </c>
      <c r="C82" s="34" t="s">
        <v>232</v>
      </c>
      <c r="D82" s="20">
        <v>1957</v>
      </c>
      <c r="E82" s="41" t="s">
        <v>178</v>
      </c>
      <c r="F82" s="27" t="s">
        <v>152</v>
      </c>
      <c r="G82" s="4">
        <v>471.9</v>
      </c>
      <c r="H82" s="4">
        <v>424.9</v>
      </c>
      <c r="I82" s="19">
        <v>17</v>
      </c>
      <c r="J82" s="16">
        <f>'Форма 2'!I267</f>
        <v>65859.5</v>
      </c>
      <c r="K82" s="4">
        <v>0</v>
      </c>
      <c r="L82" s="4">
        <v>0</v>
      </c>
      <c r="M82" s="4">
        <v>0</v>
      </c>
      <c r="N82" s="4">
        <f t="shared" si="10"/>
        <v>61768.959999999999</v>
      </c>
      <c r="O82" s="4">
        <v>4090.54</v>
      </c>
      <c r="P82" s="4">
        <f t="shared" si="9"/>
        <v>155</v>
      </c>
      <c r="Q82" s="16">
        <f>'Форма 2'!K267</f>
        <v>155</v>
      </c>
      <c r="R82" s="42" t="s">
        <v>153</v>
      </c>
      <c r="S82" s="5">
        <v>1</v>
      </c>
      <c r="T82" s="1"/>
    </row>
    <row r="83" spans="1:20" s="2" customFormat="1" ht="15.75" customHeight="1" x14ac:dyDescent="0.35">
      <c r="A83" s="20">
        <f t="shared" si="11"/>
        <v>48</v>
      </c>
      <c r="B83" s="20">
        <v>6517</v>
      </c>
      <c r="C83" s="34" t="s">
        <v>233</v>
      </c>
      <c r="D83" s="20">
        <v>1956</v>
      </c>
      <c r="E83" s="41" t="s">
        <v>702</v>
      </c>
      <c r="F83" s="27" t="s">
        <v>152</v>
      </c>
      <c r="G83" s="4">
        <v>341.69</v>
      </c>
      <c r="H83" s="4">
        <v>315.08999999999997</v>
      </c>
      <c r="I83" s="19">
        <v>18</v>
      </c>
      <c r="J83" s="16">
        <f>'Форма 2'!I271</f>
        <v>49469.13</v>
      </c>
      <c r="K83" s="4">
        <v>0</v>
      </c>
      <c r="L83" s="4">
        <v>0</v>
      </c>
      <c r="M83" s="4">
        <v>0</v>
      </c>
      <c r="N83" s="4">
        <f t="shared" si="10"/>
        <v>35193.89</v>
      </c>
      <c r="O83" s="4">
        <v>14275.24</v>
      </c>
      <c r="P83" s="4">
        <f t="shared" si="9"/>
        <v>157</v>
      </c>
      <c r="Q83" s="16">
        <f>'Форма 2'!K271</f>
        <v>157</v>
      </c>
      <c r="R83" s="42" t="s">
        <v>153</v>
      </c>
      <c r="S83" s="5">
        <v>1</v>
      </c>
      <c r="T83" s="1"/>
    </row>
    <row r="84" spans="1:20" s="2" customFormat="1" ht="15.75" customHeight="1" x14ac:dyDescent="0.35">
      <c r="A84" s="20">
        <f t="shared" si="11"/>
        <v>49</v>
      </c>
      <c r="B84" s="20">
        <v>6524</v>
      </c>
      <c r="C84" s="34" t="s">
        <v>234</v>
      </c>
      <c r="D84" s="20">
        <v>1930</v>
      </c>
      <c r="E84" s="27" t="s">
        <v>235</v>
      </c>
      <c r="F84" s="27" t="s">
        <v>152</v>
      </c>
      <c r="G84" s="4">
        <v>675.65</v>
      </c>
      <c r="H84" s="4">
        <v>536.63</v>
      </c>
      <c r="I84" s="19">
        <v>38</v>
      </c>
      <c r="J84" s="16">
        <f>'Форма 2'!I275</f>
        <v>62785.71</v>
      </c>
      <c r="K84" s="4">
        <v>0</v>
      </c>
      <c r="L84" s="4">
        <v>0</v>
      </c>
      <c r="M84" s="4">
        <v>0</v>
      </c>
      <c r="N84" s="4">
        <f t="shared" si="10"/>
        <v>49144.47</v>
      </c>
      <c r="O84" s="4">
        <v>13641.24</v>
      </c>
      <c r="P84" s="4">
        <f t="shared" si="9"/>
        <v>117</v>
      </c>
      <c r="Q84" s="16">
        <f>'Форма 2'!K275</f>
        <v>117</v>
      </c>
      <c r="R84" s="42" t="s">
        <v>153</v>
      </c>
      <c r="S84" s="5">
        <v>1</v>
      </c>
      <c r="T84" s="1"/>
    </row>
    <row r="85" spans="1:20" s="2" customFormat="1" ht="15.75" customHeight="1" x14ac:dyDescent="0.35">
      <c r="A85" s="227" t="s">
        <v>46</v>
      </c>
      <c r="B85" s="227"/>
      <c r="C85" s="227"/>
      <c r="D85" s="18" t="s">
        <v>13</v>
      </c>
      <c r="E85" s="4" t="s">
        <v>13</v>
      </c>
      <c r="F85" s="4" t="s">
        <v>13</v>
      </c>
      <c r="G85" s="37">
        <f>SUM(G86:G101)</f>
        <v>87218.9</v>
      </c>
      <c r="H85" s="37">
        <f t="shared" ref="H85:O85" si="12">SUM(H86:H101)</f>
        <v>72009.69</v>
      </c>
      <c r="I85" s="38">
        <f t="shared" si="12"/>
        <v>3180</v>
      </c>
      <c r="J85" s="37">
        <f t="shared" si="12"/>
        <v>60922927.520000003</v>
      </c>
      <c r="K85" s="37">
        <f t="shared" si="12"/>
        <v>0</v>
      </c>
      <c r="L85" s="37">
        <f t="shared" si="12"/>
        <v>0</v>
      </c>
      <c r="M85" s="37">
        <f t="shared" si="12"/>
        <v>0</v>
      </c>
      <c r="N85" s="37">
        <f t="shared" si="12"/>
        <v>58965108.810000002</v>
      </c>
      <c r="O85" s="37">
        <f t="shared" si="12"/>
        <v>1957818.71</v>
      </c>
      <c r="P85" s="4" t="s">
        <v>13</v>
      </c>
      <c r="Q85" s="4" t="s">
        <v>13</v>
      </c>
      <c r="R85" s="4" t="s">
        <v>13</v>
      </c>
      <c r="S85" s="19" t="s">
        <v>13</v>
      </c>
      <c r="T85" s="1"/>
    </row>
    <row r="86" spans="1:20" s="2" customFormat="1" ht="15.75" customHeight="1" x14ac:dyDescent="0.35">
      <c r="A86" s="46">
        <v>1</v>
      </c>
      <c r="B86" s="47">
        <v>5082</v>
      </c>
      <c r="C86" s="48" t="s">
        <v>236</v>
      </c>
      <c r="D86" s="49">
        <v>1971</v>
      </c>
      <c r="E86" s="49" t="s">
        <v>74</v>
      </c>
      <c r="F86" s="49" t="s">
        <v>155</v>
      </c>
      <c r="G86" s="50">
        <v>772.9</v>
      </c>
      <c r="H86" s="4">
        <v>717.5</v>
      </c>
      <c r="I86" s="51">
        <v>34</v>
      </c>
      <c r="J86" s="4">
        <f>'Форма 2'!I278</f>
        <v>3338119.86</v>
      </c>
      <c r="K86" s="52">
        <v>0</v>
      </c>
      <c r="L86" s="52">
        <v>0</v>
      </c>
      <c r="M86" s="52">
        <v>0</v>
      </c>
      <c r="N86" s="4">
        <f>J86-K86-L86-M86-O86</f>
        <v>3234868.75</v>
      </c>
      <c r="O86" s="4">
        <v>103251.11</v>
      </c>
      <c r="P86" s="4">
        <f t="shared" ref="P86:P101" si="13">J86/H86</f>
        <v>4652.43</v>
      </c>
      <c r="Q86" s="4">
        <f>'Форма 2'!K278</f>
        <v>7539</v>
      </c>
      <c r="R86" s="53" t="s">
        <v>153</v>
      </c>
      <c r="S86" s="19">
        <v>1</v>
      </c>
      <c r="T86" s="1"/>
    </row>
    <row r="87" spans="1:20" s="2" customFormat="1" ht="15.75" customHeight="1" x14ac:dyDescent="0.35">
      <c r="A87" s="46">
        <f>A86+1</f>
        <v>2</v>
      </c>
      <c r="B87" s="47">
        <v>5083</v>
      </c>
      <c r="C87" s="48" t="s">
        <v>237</v>
      </c>
      <c r="D87" s="49">
        <v>1969</v>
      </c>
      <c r="E87" s="49" t="s">
        <v>74</v>
      </c>
      <c r="F87" s="49" t="s">
        <v>155</v>
      </c>
      <c r="G87" s="50">
        <v>774.1</v>
      </c>
      <c r="H87" s="4">
        <v>712.5</v>
      </c>
      <c r="I87" s="51">
        <v>35</v>
      </c>
      <c r="J87" s="4">
        <f>'Форма 2'!I281</f>
        <v>3137638.98</v>
      </c>
      <c r="K87" s="52">
        <v>0</v>
      </c>
      <c r="L87" s="52">
        <v>0</v>
      </c>
      <c r="M87" s="52">
        <v>0</v>
      </c>
      <c r="N87" s="4">
        <f t="shared" ref="N87:N101" si="14">J87-K87-L87-M87-O87</f>
        <v>3040588.92</v>
      </c>
      <c r="O87" s="4">
        <v>97050.06</v>
      </c>
      <c r="P87" s="4">
        <f t="shared" si="13"/>
        <v>4403.7</v>
      </c>
      <c r="Q87" s="4">
        <f>'Форма 2'!K281</f>
        <v>7539</v>
      </c>
      <c r="R87" s="53" t="s">
        <v>153</v>
      </c>
      <c r="S87" s="19">
        <v>1</v>
      </c>
      <c r="T87" s="1"/>
    </row>
    <row r="88" spans="1:20" s="2" customFormat="1" ht="15.75" customHeight="1" x14ac:dyDescent="0.35">
      <c r="A88" s="46">
        <f t="shared" ref="A88:A101" si="15">A87+1</f>
        <v>3</v>
      </c>
      <c r="B88" s="54">
        <v>5112</v>
      </c>
      <c r="C88" s="48" t="s">
        <v>238</v>
      </c>
      <c r="D88" s="49">
        <v>1973</v>
      </c>
      <c r="E88" s="49" t="s">
        <v>239</v>
      </c>
      <c r="F88" s="49" t="s">
        <v>155</v>
      </c>
      <c r="G88" s="50">
        <v>806.9</v>
      </c>
      <c r="H88" s="4">
        <v>745.9</v>
      </c>
      <c r="I88" s="51">
        <v>48</v>
      </c>
      <c r="J88" s="4">
        <f>'Форма 2'!I284</f>
        <v>495210.47</v>
      </c>
      <c r="K88" s="52">
        <v>0</v>
      </c>
      <c r="L88" s="52">
        <v>0</v>
      </c>
      <c r="M88" s="52">
        <v>0</v>
      </c>
      <c r="N88" s="4">
        <f t="shared" si="14"/>
        <v>482522.01</v>
      </c>
      <c r="O88" s="4">
        <v>12688.46</v>
      </c>
      <c r="P88" s="4">
        <f t="shared" si="13"/>
        <v>663.91</v>
      </c>
      <c r="Q88" s="4">
        <f>'Форма 2'!K284</f>
        <v>664</v>
      </c>
      <c r="R88" s="53" t="s">
        <v>153</v>
      </c>
      <c r="S88" s="19">
        <v>1</v>
      </c>
      <c r="T88" s="1"/>
    </row>
    <row r="89" spans="1:20" s="2" customFormat="1" ht="15.75" customHeight="1" x14ac:dyDescent="0.35">
      <c r="A89" s="46">
        <f t="shared" si="15"/>
        <v>4</v>
      </c>
      <c r="B89" s="55">
        <v>5130</v>
      </c>
      <c r="C89" s="48" t="s">
        <v>240</v>
      </c>
      <c r="D89" s="49">
        <v>1977</v>
      </c>
      <c r="E89" s="49" t="s">
        <v>74</v>
      </c>
      <c r="F89" s="49" t="s">
        <v>152</v>
      </c>
      <c r="G89" s="50">
        <v>8894</v>
      </c>
      <c r="H89" s="4">
        <v>7561.6</v>
      </c>
      <c r="I89" s="51">
        <v>303</v>
      </c>
      <c r="J89" s="4">
        <f>'Форма 2'!I287</f>
        <v>609463.23</v>
      </c>
      <c r="K89" s="52">
        <v>0</v>
      </c>
      <c r="L89" s="52">
        <v>0</v>
      </c>
      <c r="M89" s="52">
        <v>0</v>
      </c>
      <c r="N89" s="4">
        <f t="shared" si="14"/>
        <v>568541.54</v>
      </c>
      <c r="O89" s="4">
        <v>40921.69</v>
      </c>
      <c r="P89" s="4">
        <f t="shared" si="13"/>
        <v>80.599999999999994</v>
      </c>
      <c r="Q89" s="4">
        <f>'Форма 2'!K287</f>
        <v>167</v>
      </c>
      <c r="R89" s="53" t="s">
        <v>153</v>
      </c>
      <c r="S89" s="19">
        <v>1</v>
      </c>
      <c r="T89" s="1"/>
    </row>
    <row r="90" spans="1:20" s="2" customFormat="1" ht="15.75" customHeight="1" x14ac:dyDescent="0.35">
      <c r="A90" s="46">
        <f t="shared" si="15"/>
        <v>5</v>
      </c>
      <c r="B90" s="28">
        <v>5131</v>
      </c>
      <c r="C90" s="48" t="s">
        <v>241</v>
      </c>
      <c r="D90" s="49">
        <v>1978</v>
      </c>
      <c r="E90" s="49" t="s">
        <v>74</v>
      </c>
      <c r="F90" s="49" t="s">
        <v>152</v>
      </c>
      <c r="G90" s="50">
        <v>9757.6</v>
      </c>
      <c r="H90" s="4">
        <v>8069.69</v>
      </c>
      <c r="I90" s="51">
        <v>307</v>
      </c>
      <c r="J90" s="4">
        <f>'Форма 2'!I289</f>
        <v>620176.25</v>
      </c>
      <c r="K90" s="52">
        <v>0</v>
      </c>
      <c r="L90" s="52">
        <v>0</v>
      </c>
      <c r="M90" s="52">
        <v>0</v>
      </c>
      <c r="N90" s="4">
        <f t="shared" si="14"/>
        <v>576504.89</v>
      </c>
      <c r="O90" s="4">
        <v>43671.360000000001</v>
      </c>
      <c r="P90" s="4">
        <f t="shared" si="13"/>
        <v>76.849999999999994</v>
      </c>
      <c r="Q90" s="4">
        <f>'Форма 2'!K289</f>
        <v>167</v>
      </c>
      <c r="R90" s="53" t="s">
        <v>153</v>
      </c>
      <c r="S90" s="19">
        <v>1</v>
      </c>
      <c r="T90" s="1"/>
    </row>
    <row r="91" spans="1:20" s="2" customFormat="1" ht="15.75" customHeight="1" x14ac:dyDescent="0.35">
      <c r="A91" s="46">
        <f t="shared" si="15"/>
        <v>6</v>
      </c>
      <c r="B91" s="47">
        <v>5133</v>
      </c>
      <c r="C91" s="48" t="s">
        <v>242</v>
      </c>
      <c r="D91" s="49">
        <v>1979</v>
      </c>
      <c r="E91" s="49" t="s">
        <v>74</v>
      </c>
      <c r="F91" s="49" t="s">
        <v>152</v>
      </c>
      <c r="G91" s="50">
        <v>10531.4</v>
      </c>
      <c r="H91" s="4">
        <v>8595.5</v>
      </c>
      <c r="I91" s="51">
        <v>406</v>
      </c>
      <c r="J91" s="4">
        <f>'Форма 2'!I291</f>
        <v>643754.97</v>
      </c>
      <c r="K91" s="52">
        <v>0</v>
      </c>
      <c r="L91" s="52">
        <v>0</v>
      </c>
      <c r="M91" s="52">
        <v>0</v>
      </c>
      <c r="N91" s="4">
        <f t="shared" si="14"/>
        <v>597238.04</v>
      </c>
      <c r="O91" s="4">
        <v>46516.93</v>
      </c>
      <c r="P91" s="4">
        <f t="shared" si="13"/>
        <v>74.89</v>
      </c>
      <c r="Q91" s="4">
        <f>'Форма 2'!K291</f>
        <v>167</v>
      </c>
      <c r="R91" s="53" t="s">
        <v>153</v>
      </c>
      <c r="S91" s="19">
        <v>1</v>
      </c>
      <c r="T91" s="1"/>
    </row>
    <row r="92" spans="1:20" s="2" customFormat="1" ht="15.75" customHeight="1" x14ac:dyDescent="0.35">
      <c r="A92" s="46">
        <f t="shared" si="15"/>
        <v>7</v>
      </c>
      <c r="B92" s="47">
        <v>5163</v>
      </c>
      <c r="C92" s="48" t="s">
        <v>243</v>
      </c>
      <c r="D92" s="49">
        <v>1986</v>
      </c>
      <c r="E92" s="49" t="s">
        <v>74</v>
      </c>
      <c r="F92" s="49" t="s">
        <v>155</v>
      </c>
      <c r="G92" s="50">
        <v>3269</v>
      </c>
      <c r="H92" s="50">
        <v>2678.3</v>
      </c>
      <c r="I92" s="56">
        <v>123</v>
      </c>
      <c r="J92" s="4">
        <f>'Форма 2'!I293</f>
        <v>5080960.6500000004</v>
      </c>
      <c r="K92" s="4">
        <v>0</v>
      </c>
      <c r="L92" s="52">
        <v>0</v>
      </c>
      <c r="M92" s="52">
        <v>0</v>
      </c>
      <c r="N92" s="4">
        <f t="shared" si="14"/>
        <v>4923801.8600000003</v>
      </c>
      <c r="O92" s="4">
        <v>157158.79</v>
      </c>
      <c r="P92" s="4">
        <f t="shared" si="13"/>
        <v>1897.08</v>
      </c>
      <c r="Q92" s="4">
        <f>'Форма 2'!K293</f>
        <v>3067</v>
      </c>
      <c r="R92" s="57" t="s">
        <v>153</v>
      </c>
      <c r="S92" s="19">
        <v>1</v>
      </c>
      <c r="T92" s="1"/>
    </row>
    <row r="93" spans="1:20" s="2" customFormat="1" ht="15.75" customHeight="1" x14ac:dyDescent="0.35">
      <c r="A93" s="46">
        <f t="shared" si="15"/>
        <v>8</v>
      </c>
      <c r="B93" s="28">
        <v>5166</v>
      </c>
      <c r="C93" s="48" t="s">
        <v>244</v>
      </c>
      <c r="D93" s="49">
        <v>1987</v>
      </c>
      <c r="E93" s="46" t="s">
        <v>182</v>
      </c>
      <c r="F93" s="46" t="s">
        <v>183</v>
      </c>
      <c r="G93" s="50">
        <v>10422.4</v>
      </c>
      <c r="H93" s="50">
        <v>8014.4</v>
      </c>
      <c r="I93" s="56">
        <v>345</v>
      </c>
      <c r="J93" s="4">
        <f>'Форма 2'!I296</f>
        <v>7002104</v>
      </c>
      <c r="K93" s="4">
        <v>0</v>
      </c>
      <c r="L93" s="52">
        <v>0</v>
      </c>
      <c r="M93" s="52">
        <v>0</v>
      </c>
      <c r="N93" s="4">
        <f t="shared" si="14"/>
        <v>6782453.0300000003</v>
      </c>
      <c r="O93" s="4">
        <v>219650.97</v>
      </c>
      <c r="P93" s="4">
        <f t="shared" si="13"/>
        <v>873.69</v>
      </c>
      <c r="Q93" s="4">
        <f>'Форма 2'!K296</f>
        <v>885.96</v>
      </c>
      <c r="R93" s="53" t="s">
        <v>153</v>
      </c>
      <c r="S93" s="19">
        <v>1</v>
      </c>
      <c r="T93" s="1"/>
    </row>
    <row r="94" spans="1:20" s="2" customFormat="1" ht="15.75" customHeight="1" x14ac:dyDescent="0.35">
      <c r="A94" s="46">
        <f t="shared" si="15"/>
        <v>9</v>
      </c>
      <c r="B94" s="28">
        <v>5167</v>
      </c>
      <c r="C94" s="48" t="s">
        <v>245</v>
      </c>
      <c r="D94" s="49">
        <v>1987</v>
      </c>
      <c r="E94" s="46" t="s">
        <v>182</v>
      </c>
      <c r="F94" s="46" t="s">
        <v>183</v>
      </c>
      <c r="G94" s="50">
        <v>5000.8</v>
      </c>
      <c r="H94" s="50">
        <v>3743</v>
      </c>
      <c r="I94" s="56">
        <v>158</v>
      </c>
      <c r="J94" s="4">
        <f>'Форма 2'!I309</f>
        <v>3501052</v>
      </c>
      <c r="K94" s="4">
        <v>0</v>
      </c>
      <c r="L94" s="52">
        <v>0</v>
      </c>
      <c r="M94" s="52">
        <v>0</v>
      </c>
      <c r="N94" s="4">
        <f t="shared" si="14"/>
        <v>3391226.52</v>
      </c>
      <c r="O94" s="4">
        <v>109825.48</v>
      </c>
      <c r="P94" s="4">
        <f t="shared" si="13"/>
        <v>935.36</v>
      </c>
      <c r="Q94" s="4">
        <f>'Форма 2'!K309</f>
        <v>948.49</v>
      </c>
      <c r="R94" s="53" t="s">
        <v>153</v>
      </c>
      <c r="S94" s="19">
        <v>1</v>
      </c>
      <c r="T94" s="1"/>
    </row>
    <row r="95" spans="1:20" s="2" customFormat="1" ht="15.75" customHeight="1" x14ac:dyDescent="0.35">
      <c r="A95" s="46">
        <f t="shared" si="15"/>
        <v>10</v>
      </c>
      <c r="B95" s="28">
        <v>5180</v>
      </c>
      <c r="C95" s="48" t="s">
        <v>246</v>
      </c>
      <c r="D95" s="49">
        <v>1988</v>
      </c>
      <c r="E95" s="46" t="s">
        <v>182</v>
      </c>
      <c r="F95" s="46" t="s">
        <v>183</v>
      </c>
      <c r="G95" s="50">
        <v>10385.799999999999</v>
      </c>
      <c r="H95" s="50">
        <v>7928</v>
      </c>
      <c r="I95" s="56">
        <v>363</v>
      </c>
      <c r="J95" s="4">
        <f>'Форма 2'!I316</f>
        <v>7002104</v>
      </c>
      <c r="K95" s="4">
        <v>0</v>
      </c>
      <c r="L95" s="52">
        <v>0</v>
      </c>
      <c r="M95" s="52">
        <v>0</v>
      </c>
      <c r="N95" s="4">
        <f t="shared" si="14"/>
        <v>6782453.0300000003</v>
      </c>
      <c r="O95" s="4">
        <v>219650.97</v>
      </c>
      <c r="P95" s="4">
        <f t="shared" si="13"/>
        <v>883.21</v>
      </c>
      <c r="Q95" s="4">
        <f>'Форма 2'!K316</f>
        <v>895.61</v>
      </c>
      <c r="R95" s="53" t="s">
        <v>153</v>
      </c>
      <c r="S95" s="19">
        <v>1</v>
      </c>
      <c r="T95" s="1"/>
    </row>
    <row r="96" spans="1:20" s="2" customFormat="1" ht="15.75" customHeight="1" x14ac:dyDescent="0.35">
      <c r="A96" s="46">
        <f>A95+1</f>
        <v>11</v>
      </c>
      <c r="B96" s="28">
        <v>5194</v>
      </c>
      <c r="C96" s="48" t="s">
        <v>247</v>
      </c>
      <c r="D96" s="49">
        <v>1989</v>
      </c>
      <c r="E96" s="46" t="s">
        <v>182</v>
      </c>
      <c r="F96" s="46" t="s">
        <v>183</v>
      </c>
      <c r="G96" s="50">
        <v>11693.5</v>
      </c>
      <c r="H96" s="50">
        <v>10125.4</v>
      </c>
      <c r="I96" s="56">
        <v>445</v>
      </c>
      <c r="J96" s="4">
        <f>'Форма 2'!I329</f>
        <v>8752630</v>
      </c>
      <c r="K96" s="4">
        <v>0</v>
      </c>
      <c r="L96" s="52">
        <v>0</v>
      </c>
      <c r="M96" s="52">
        <v>0</v>
      </c>
      <c r="N96" s="4">
        <f t="shared" si="14"/>
        <v>8478066.2899999991</v>
      </c>
      <c r="O96" s="4">
        <v>274563.71000000002</v>
      </c>
      <c r="P96" s="4">
        <f t="shared" si="13"/>
        <v>864.42</v>
      </c>
      <c r="Q96" s="4">
        <f>'Форма 2'!K329</f>
        <v>876.56</v>
      </c>
      <c r="R96" s="53" t="s">
        <v>153</v>
      </c>
      <c r="S96" s="19">
        <v>1</v>
      </c>
      <c r="T96" s="1"/>
    </row>
    <row r="97" spans="1:23" s="2" customFormat="1" ht="15.75" customHeight="1" x14ac:dyDescent="0.35">
      <c r="A97" s="46">
        <f t="shared" si="15"/>
        <v>12</v>
      </c>
      <c r="B97" s="28">
        <v>5196</v>
      </c>
      <c r="C97" s="48" t="s">
        <v>248</v>
      </c>
      <c r="D97" s="49">
        <v>1989</v>
      </c>
      <c r="E97" s="46" t="s">
        <v>182</v>
      </c>
      <c r="F97" s="46" t="s">
        <v>183</v>
      </c>
      <c r="G97" s="50">
        <v>11612.1</v>
      </c>
      <c r="H97" s="50">
        <v>10201.1</v>
      </c>
      <c r="I97" s="56">
        <v>466</v>
      </c>
      <c r="J97" s="4">
        <f>'Форма 2'!I345</f>
        <v>8752630</v>
      </c>
      <c r="K97" s="52">
        <v>0</v>
      </c>
      <c r="L97" s="52">
        <v>0</v>
      </c>
      <c r="M97" s="52">
        <v>0</v>
      </c>
      <c r="N97" s="4">
        <f t="shared" si="14"/>
        <v>8478066.2899999991</v>
      </c>
      <c r="O97" s="4">
        <v>274563.71000000002</v>
      </c>
      <c r="P97" s="4">
        <f t="shared" si="13"/>
        <v>858.01</v>
      </c>
      <c r="Q97" s="4">
        <f>'Форма 2'!K345</f>
        <v>870.06</v>
      </c>
      <c r="R97" s="53" t="s">
        <v>153</v>
      </c>
      <c r="S97" s="19">
        <v>1</v>
      </c>
      <c r="T97" s="1"/>
    </row>
    <row r="98" spans="1:23" s="2" customFormat="1" ht="15.75" customHeight="1" x14ac:dyDescent="0.35">
      <c r="A98" s="46">
        <f t="shared" si="15"/>
        <v>13</v>
      </c>
      <c r="B98" s="27">
        <v>5210</v>
      </c>
      <c r="C98" s="48" t="s">
        <v>249</v>
      </c>
      <c r="D98" s="49">
        <v>1976</v>
      </c>
      <c r="E98" s="46" t="s">
        <v>250</v>
      </c>
      <c r="F98" s="46" t="s">
        <v>160</v>
      </c>
      <c r="G98" s="50">
        <v>1063.2</v>
      </c>
      <c r="H98" s="50">
        <v>990.3</v>
      </c>
      <c r="I98" s="56">
        <v>25</v>
      </c>
      <c r="J98" s="4">
        <f>'Форма 2'!I361</f>
        <v>1240947.3</v>
      </c>
      <c r="K98" s="4">
        <v>0</v>
      </c>
      <c r="L98" s="52">
        <v>0</v>
      </c>
      <c r="M98" s="52">
        <v>0</v>
      </c>
      <c r="N98" s="4">
        <f t="shared" si="14"/>
        <v>1221067.5</v>
      </c>
      <c r="O98" s="4">
        <v>19879.8</v>
      </c>
      <c r="P98" s="4">
        <f t="shared" si="13"/>
        <v>1253.0999999999999</v>
      </c>
      <c r="Q98" s="4">
        <f>'Форма 2'!K361</f>
        <v>3923</v>
      </c>
      <c r="R98" s="53" t="s">
        <v>161</v>
      </c>
      <c r="S98" s="19">
        <v>1</v>
      </c>
      <c r="T98" s="1"/>
    </row>
    <row r="99" spans="1:23" s="2" customFormat="1" ht="15.75" customHeight="1" x14ac:dyDescent="0.35">
      <c r="A99" s="46">
        <f t="shared" si="15"/>
        <v>14</v>
      </c>
      <c r="B99" s="47">
        <v>5234</v>
      </c>
      <c r="C99" s="48" t="s">
        <v>251</v>
      </c>
      <c r="D99" s="49">
        <v>1986</v>
      </c>
      <c r="E99" s="49" t="s">
        <v>74</v>
      </c>
      <c r="F99" s="49" t="s">
        <v>155</v>
      </c>
      <c r="G99" s="50">
        <v>746.7</v>
      </c>
      <c r="H99" s="50">
        <v>665.8</v>
      </c>
      <c r="I99" s="56">
        <v>44</v>
      </c>
      <c r="J99" s="4">
        <f>'Форма 2'!I368</f>
        <v>3585081.87</v>
      </c>
      <c r="K99" s="52">
        <v>0</v>
      </c>
      <c r="L99" s="52">
        <v>0</v>
      </c>
      <c r="M99" s="52">
        <v>0</v>
      </c>
      <c r="N99" s="4">
        <f t="shared" si="14"/>
        <v>3469244.03</v>
      </c>
      <c r="O99" s="4">
        <v>115837.84</v>
      </c>
      <c r="P99" s="4">
        <f t="shared" si="13"/>
        <v>5384.62</v>
      </c>
      <c r="Q99" s="4">
        <f>'Форма 2'!K368</f>
        <v>7539</v>
      </c>
      <c r="R99" s="57" t="s">
        <v>153</v>
      </c>
      <c r="S99" s="19">
        <v>1</v>
      </c>
      <c r="T99" s="1"/>
    </row>
    <row r="100" spans="1:23" s="2" customFormat="1" ht="15.75" customHeight="1" x14ac:dyDescent="0.35">
      <c r="A100" s="46">
        <f t="shared" si="15"/>
        <v>15</v>
      </c>
      <c r="B100" s="47">
        <v>5235</v>
      </c>
      <c r="C100" s="48" t="s">
        <v>252</v>
      </c>
      <c r="D100" s="49">
        <v>1986</v>
      </c>
      <c r="E100" s="49" t="s">
        <v>74</v>
      </c>
      <c r="F100" s="49" t="s">
        <v>155</v>
      </c>
      <c r="G100" s="50">
        <v>773.5</v>
      </c>
      <c r="H100" s="50">
        <v>681.6</v>
      </c>
      <c r="I100" s="56">
        <v>42</v>
      </c>
      <c r="J100" s="4">
        <f>'Форма 2'!I371</f>
        <v>3747269.67</v>
      </c>
      <c r="K100" s="52">
        <v>0</v>
      </c>
      <c r="L100" s="52">
        <v>0</v>
      </c>
      <c r="M100" s="52">
        <v>0</v>
      </c>
      <c r="N100" s="4">
        <f t="shared" si="14"/>
        <v>3630792.87</v>
      </c>
      <c r="O100" s="4">
        <v>116476.8</v>
      </c>
      <c r="P100" s="4">
        <f t="shared" si="13"/>
        <v>5497.75</v>
      </c>
      <c r="Q100" s="4">
        <f>'Форма 2'!K371</f>
        <v>7539</v>
      </c>
      <c r="R100" s="57" t="s">
        <v>153</v>
      </c>
      <c r="S100" s="19">
        <v>1</v>
      </c>
      <c r="T100" s="1"/>
    </row>
    <row r="101" spans="1:23" s="2" customFormat="1" ht="15.75" customHeight="1" x14ac:dyDescent="0.35">
      <c r="A101" s="46">
        <f t="shared" si="15"/>
        <v>16</v>
      </c>
      <c r="B101" s="47">
        <v>5261</v>
      </c>
      <c r="C101" s="48" t="s">
        <v>253</v>
      </c>
      <c r="D101" s="58">
        <v>1978</v>
      </c>
      <c r="E101" s="49" t="s">
        <v>74</v>
      </c>
      <c r="F101" s="49" t="s">
        <v>155</v>
      </c>
      <c r="G101" s="50">
        <v>715</v>
      </c>
      <c r="H101" s="50">
        <v>579.1</v>
      </c>
      <c r="I101" s="59">
        <v>36</v>
      </c>
      <c r="J101" s="4">
        <f>'Форма 2'!I374</f>
        <v>3413784.27</v>
      </c>
      <c r="K101" s="52">
        <v>0</v>
      </c>
      <c r="L101" s="52">
        <v>0</v>
      </c>
      <c r="M101" s="52">
        <v>0</v>
      </c>
      <c r="N101" s="4">
        <f t="shared" si="14"/>
        <v>3307673.24</v>
      </c>
      <c r="O101" s="4">
        <v>106111.03</v>
      </c>
      <c r="P101" s="4">
        <f t="shared" si="13"/>
        <v>5894.98</v>
      </c>
      <c r="Q101" s="4">
        <f>'Форма 2'!K374</f>
        <v>7539</v>
      </c>
      <c r="R101" s="57" t="s">
        <v>153</v>
      </c>
      <c r="S101" s="19">
        <v>1</v>
      </c>
      <c r="T101" s="1"/>
    </row>
    <row r="102" spans="1:23" s="2" customFormat="1" ht="15.75" customHeight="1" x14ac:dyDescent="0.35">
      <c r="A102" s="238" t="s">
        <v>47</v>
      </c>
      <c r="B102" s="239"/>
      <c r="C102" s="240"/>
      <c r="D102" s="60" t="s">
        <v>13</v>
      </c>
      <c r="E102" s="60" t="s">
        <v>13</v>
      </c>
      <c r="F102" s="60" t="s">
        <v>13</v>
      </c>
      <c r="G102" s="4">
        <f t="shared" ref="G102:O102" si="16">G103+G163+G197+G229</f>
        <v>689240.86</v>
      </c>
      <c r="H102" s="4">
        <f t="shared" si="16"/>
        <v>601488.34</v>
      </c>
      <c r="I102" s="19">
        <f t="shared" si="16"/>
        <v>25908</v>
      </c>
      <c r="J102" s="4">
        <f t="shared" si="16"/>
        <v>562144146.09000003</v>
      </c>
      <c r="K102" s="4">
        <f t="shared" si="16"/>
        <v>0</v>
      </c>
      <c r="L102" s="4">
        <f t="shared" si="16"/>
        <v>0</v>
      </c>
      <c r="M102" s="4">
        <f t="shared" si="16"/>
        <v>0</v>
      </c>
      <c r="N102" s="4">
        <f t="shared" si="16"/>
        <v>542064231.57000005</v>
      </c>
      <c r="O102" s="4">
        <f t="shared" si="16"/>
        <v>20079914.52</v>
      </c>
      <c r="P102" s="4" t="s">
        <v>13</v>
      </c>
      <c r="Q102" s="4" t="s">
        <v>13</v>
      </c>
      <c r="R102" s="4" t="s">
        <v>13</v>
      </c>
      <c r="S102" s="4" t="s">
        <v>13</v>
      </c>
      <c r="T102" s="1"/>
    </row>
    <row r="103" spans="1:23" s="2" customFormat="1" ht="15.75" customHeight="1" x14ac:dyDescent="0.35">
      <c r="A103" s="236" t="s">
        <v>254</v>
      </c>
      <c r="B103" s="236"/>
      <c r="C103" s="236"/>
      <c r="D103" s="60" t="s">
        <v>13</v>
      </c>
      <c r="E103" s="60" t="s">
        <v>13</v>
      </c>
      <c r="F103" s="60" t="s">
        <v>13</v>
      </c>
      <c r="G103" s="4">
        <f t="shared" ref="G103:O103" si="17">SUM(G104:G162)</f>
        <v>203517.59</v>
      </c>
      <c r="H103" s="4">
        <f t="shared" si="17"/>
        <v>178015.54</v>
      </c>
      <c r="I103" s="19">
        <f t="shared" si="17"/>
        <v>7445</v>
      </c>
      <c r="J103" s="4">
        <f t="shared" si="17"/>
        <v>170354138.72999999</v>
      </c>
      <c r="K103" s="4">
        <f t="shared" si="17"/>
        <v>0</v>
      </c>
      <c r="L103" s="4">
        <f t="shared" si="17"/>
        <v>0</v>
      </c>
      <c r="M103" s="4">
        <f t="shared" si="17"/>
        <v>0</v>
      </c>
      <c r="N103" s="4">
        <f t="shared" si="17"/>
        <v>163775852.34</v>
      </c>
      <c r="O103" s="4">
        <f t="shared" si="17"/>
        <v>6578286.3899999997</v>
      </c>
      <c r="P103" s="60" t="s">
        <v>13</v>
      </c>
      <c r="Q103" s="60" t="s">
        <v>13</v>
      </c>
      <c r="R103" s="60" t="s">
        <v>13</v>
      </c>
      <c r="S103" s="60" t="s">
        <v>13</v>
      </c>
      <c r="T103" s="1"/>
    </row>
    <row r="104" spans="1:23" s="2" customFormat="1" ht="15.75" customHeight="1" x14ac:dyDescent="0.35">
      <c r="A104" s="20">
        <v>1</v>
      </c>
      <c r="B104" s="20">
        <v>734</v>
      </c>
      <c r="C104" s="61" t="s">
        <v>255</v>
      </c>
      <c r="D104" s="60">
        <v>1982</v>
      </c>
      <c r="E104" s="25" t="s">
        <v>74</v>
      </c>
      <c r="F104" s="25" t="s">
        <v>160</v>
      </c>
      <c r="G104" s="4">
        <v>4395.8999999999996</v>
      </c>
      <c r="H104" s="4">
        <v>3971.1</v>
      </c>
      <c r="I104" s="19">
        <v>212</v>
      </c>
      <c r="J104" s="4">
        <f>'Форма 2'!I378</f>
        <v>3949853.91</v>
      </c>
      <c r="K104" s="4">
        <v>0</v>
      </c>
      <c r="L104" s="4">
        <v>0</v>
      </c>
      <c r="M104" s="4">
        <v>0</v>
      </c>
      <c r="N104" s="4">
        <f t="shared" ref="N104:N162" si="18">J104-K104-L104-M104-O104</f>
        <v>3824176.19</v>
      </c>
      <c r="O104" s="4">
        <v>125677.72</v>
      </c>
      <c r="P104" s="4">
        <f t="shared" ref="P104:P162" si="19">J104/H104</f>
        <v>994.65</v>
      </c>
      <c r="Q104" s="4">
        <f>'Форма 2'!K378</f>
        <v>2936</v>
      </c>
      <c r="R104" s="53" t="s">
        <v>161</v>
      </c>
      <c r="S104" s="5">
        <v>1</v>
      </c>
      <c r="T104" s="1"/>
      <c r="V104" s="1"/>
      <c r="W104" s="1"/>
    </row>
    <row r="105" spans="1:23" s="2" customFormat="1" ht="15.75" customHeight="1" x14ac:dyDescent="0.35">
      <c r="A105" s="20">
        <f>A104+1</f>
        <v>2</v>
      </c>
      <c r="B105" s="20">
        <v>757</v>
      </c>
      <c r="C105" s="61" t="s">
        <v>256</v>
      </c>
      <c r="D105" s="60">
        <v>1984</v>
      </c>
      <c r="E105" s="25" t="s">
        <v>74</v>
      </c>
      <c r="F105" s="25" t="s">
        <v>257</v>
      </c>
      <c r="G105" s="4">
        <v>1323.5</v>
      </c>
      <c r="H105" s="4">
        <v>1020.67</v>
      </c>
      <c r="I105" s="19">
        <v>41</v>
      </c>
      <c r="J105" s="4">
        <f>'Форма 2'!I381</f>
        <v>166420.07</v>
      </c>
      <c r="K105" s="4">
        <v>0</v>
      </c>
      <c r="L105" s="4">
        <v>0</v>
      </c>
      <c r="M105" s="4">
        <v>0</v>
      </c>
      <c r="N105" s="4">
        <f t="shared" si="18"/>
        <v>160489.85</v>
      </c>
      <c r="O105" s="4">
        <v>5930.22</v>
      </c>
      <c r="P105" s="4">
        <f t="shared" si="19"/>
        <v>163.05000000000001</v>
      </c>
      <c r="Q105" s="4">
        <f>'Форма 2'!K381</f>
        <v>164</v>
      </c>
      <c r="R105" s="53" t="s">
        <v>153</v>
      </c>
      <c r="S105" s="5">
        <v>1</v>
      </c>
      <c r="T105" s="1"/>
      <c r="V105" s="1"/>
      <c r="W105" s="1"/>
    </row>
    <row r="106" spans="1:23" s="2" customFormat="1" ht="15.75" customHeight="1" x14ac:dyDescent="0.35">
      <c r="A106" s="20">
        <f t="shared" ref="A106:A161" si="20">A105+1</f>
        <v>3</v>
      </c>
      <c r="B106" s="20">
        <v>818</v>
      </c>
      <c r="C106" s="61" t="s">
        <v>258</v>
      </c>
      <c r="D106" s="60">
        <v>1987</v>
      </c>
      <c r="E106" s="25" t="s">
        <v>74</v>
      </c>
      <c r="F106" s="25" t="s">
        <v>160</v>
      </c>
      <c r="G106" s="4">
        <v>816.04</v>
      </c>
      <c r="H106" s="4">
        <v>746.74</v>
      </c>
      <c r="I106" s="19">
        <v>32</v>
      </c>
      <c r="J106" s="4">
        <f>'Форма 2'!I383</f>
        <v>1102262.1499999999</v>
      </c>
      <c r="K106" s="4">
        <v>0</v>
      </c>
      <c r="L106" s="4">
        <v>0</v>
      </c>
      <c r="M106" s="4">
        <v>0</v>
      </c>
      <c r="N106" s="4">
        <f t="shared" si="18"/>
        <v>1065146.95</v>
      </c>
      <c r="O106" s="4">
        <v>37115.199999999997</v>
      </c>
      <c r="P106" s="4">
        <f t="shared" si="19"/>
        <v>1476.1</v>
      </c>
      <c r="Q106" s="4">
        <f>'Форма 2'!K383</f>
        <v>4793</v>
      </c>
      <c r="R106" s="53" t="s">
        <v>161</v>
      </c>
      <c r="S106" s="5">
        <v>1</v>
      </c>
      <c r="T106" s="1"/>
      <c r="V106" s="1"/>
      <c r="W106" s="1"/>
    </row>
    <row r="107" spans="1:23" s="2" customFormat="1" ht="15.75" customHeight="1" x14ac:dyDescent="0.35">
      <c r="A107" s="20">
        <f t="shared" si="20"/>
        <v>4</v>
      </c>
      <c r="B107" s="20">
        <v>722</v>
      </c>
      <c r="C107" s="61" t="s">
        <v>259</v>
      </c>
      <c r="D107" s="60">
        <v>1981</v>
      </c>
      <c r="E107" s="25" t="s">
        <v>74</v>
      </c>
      <c r="F107" s="25" t="s">
        <v>160</v>
      </c>
      <c r="G107" s="4">
        <v>833.48</v>
      </c>
      <c r="H107" s="4">
        <v>722.6</v>
      </c>
      <c r="I107" s="19">
        <v>28</v>
      </c>
      <c r="J107" s="4">
        <f>'Форма 2'!I386</f>
        <v>1069378.25</v>
      </c>
      <c r="K107" s="4">
        <v>0</v>
      </c>
      <c r="L107" s="4">
        <v>0</v>
      </c>
      <c r="M107" s="4">
        <v>0</v>
      </c>
      <c r="N107" s="4">
        <f t="shared" si="18"/>
        <v>1033462.88</v>
      </c>
      <c r="O107" s="4">
        <v>35915.370000000003</v>
      </c>
      <c r="P107" s="4">
        <f t="shared" si="19"/>
        <v>1479.9</v>
      </c>
      <c r="Q107" s="4">
        <f>'Форма 2'!K386</f>
        <v>4793</v>
      </c>
      <c r="R107" s="53" t="s">
        <v>161</v>
      </c>
      <c r="S107" s="5">
        <v>1</v>
      </c>
      <c r="T107" s="1"/>
      <c r="V107" s="1"/>
      <c r="W107" s="1"/>
    </row>
    <row r="108" spans="1:23" s="2" customFormat="1" ht="15.75" customHeight="1" x14ac:dyDescent="0.35">
      <c r="A108" s="20">
        <f t="shared" si="20"/>
        <v>5</v>
      </c>
      <c r="B108" s="20">
        <v>743</v>
      </c>
      <c r="C108" s="61" t="s">
        <v>260</v>
      </c>
      <c r="D108" s="60">
        <v>1982</v>
      </c>
      <c r="E108" s="25" t="s">
        <v>74</v>
      </c>
      <c r="F108" s="25" t="s">
        <v>257</v>
      </c>
      <c r="G108" s="4">
        <v>4507</v>
      </c>
      <c r="H108" s="4">
        <v>3996.6</v>
      </c>
      <c r="I108" s="19">
        <v>186</v>
      </c>
      <c r="J108" s="4">
        <f>'Форма 2'!I389</f>
        <v>655442.4</v>
      </c>
      <c r="K108" s="4">
        <v>0</v>
      </c>
      <c r="L108" s="4">
        <v>0</v>
      </c>
      <c r="M108" s="4">
        <v>0</v>
      </c>
      <c r="N108" s="4">
        <f t="shared" si="18"/>
        <v>632221.66</v>
      </c>
      <c r="O108" s="4">
        <v>23220.74</v>
      </c>
      <c r="P108" s="4">
        <f t="shared" si="19"/>
        <v>164</v>
      </c>
      <c r="Q108" s="4">
        <f>'Форма 2'!K389</f>
        <v>164</v>
      </c>
      <c r="R108" s="53" t="s">
        <v>153</v>
      </c>
      <c r="S108" s="5">
        <v>1</v>
      </c>
      <c r="T108" s="1"/>
      <c r="V108" s="1"/>
      <c r="W108" s="1"/>
    </row>
    <row r="109" spans="1:23" s="2" customFormat="1" ht="15.75" customHeight="1" x14ac:dyDescent="0.35">
      <c r="A109" s="20">
        <f t="shared" si="20"/>
        <v>6</v>
      </c>
      <c r="B109" s="20">
        <v>881</v>
      </c>
      <c r="C109" s="61" t="s">
        <v>261</v>
      </c>
      <c r="D109" s="60">
        <v>1992</v>
      </c>
      <c r="E109" s="25" t="s">
        <v>182</v>
      </c>
      <c r="F109" s="25" t="s">
        <v>155</v>
      </c>
      <c r="G109" s="4">
        <v>8323.2999999999993</v>
      </c>
      <c r="H109" s="4">
        <v>6399.8</v>
      </c>
      <c r="I109" s="19">
        <v>254</v>
      </c>
      <c r="J109" s="4">
        <f>'Форма 2'!I391</f>
        <v>3915651.77</v>
      </c>
      <c r="K109" s="4">
        <v>0</v>
      </c>
      <c r="L109" s="4">
        <v>0</v>
      </c>
      <c r="M109" s="4">
        <v>0</v>
      </c>
      <c r="N109" s="4">
        <f t="shared" si="18"/>
        <v>3752962.83</v>
      </c>
      <c r="O109" s="4">
        <v>162688.94</v>
      </c>
      <c r="P109" s="4">
        <f t="shared" si="19"/>
        <v>611.84</v>
      </c>
      <c r="Q109" s="4">
        <f>'Форма 2'!K391</f>
        <v>818.18</v>
      </c>
      <c r="R109" s="53" t="s">
        <v>153</v>
      </c>
      <c r="S109" s="5">
        <v>1</v>
      </c>
      <c r="T109" s="1"/>
      <c r="V109" s="1"/>
      <c r="W109" s="1"/>
    </row>
    <row r="110" spans="1:23" s="2" customFormat="1" ht="15.75" customHeight="1" x14ac:dyDescent="0.35">
      <c r="A110" s="20">
        <f t="shared" si="20"/>
        <v>7</v>
      </c>
      <c r="B110" s="20">
        <v>548</v>
      </c>
      <c r="C110" s="61" t="s">
        <v>262</v>
      </c>
      <c r="D110" s="60">
        <v>1968</v>
      </c>
      <c r="E110" s="25" t="s">
        <v>263</v>
      </c>
      <c r="F110" s="27" t="s">
        <v>155</v>
      </c>
      <c r="G110" s="4">
        <v>4543.6000000000004</v>
      </c>
      <c r="H110" s="4">
        <v>2962.5</v>
      </c>
      <c r="I110" s="19">
        <v>187</v>
      </c>
      <c r="J110" s="4">
        <f>'Форма 2'!I398</f>
        <v>8844854.4000000004</v>
      </c>
      <c r="K110" s="4">
        <v>0</v>
      </c>
      <c r="L110" s="4">
        <v>0</v>
      </c>
      <c r="M110" s="4">
        <v>0</v>
      </c>
      <c r="N110" s="4">
        <f t="shared" si="18"/>
        <v>8637752.2200000007</v>
      </c>
      <c r="O110" s="4">
        <v>207102.18</v>
      </c>
      <c r="P110" s="4">
        <f t="shared" si="19"/>
        <v>2985.6</v>
      </c>
      <c r="Q110" s="4">
        <f>'Форма 2'!K398</f>
        <v>3640</v>
      </c>
      <c r="R110" s="53" t="s">
        <v>153</v>
      </c>
      <c r="S110" s="5">
        <v>1</v>
      </c>
      <c r="T110" s="1"/>
      <c r="V110" s="1"/>
      <c r="W110" s="1"/>
    </row>
    <row r="111" spans="1:23" s="2" customFormat="1" ht="15.75" customHeight="1" x14ac:dyDescent="0.35">
      <c r="A111" s="20">
        <f t="shared" si="20"/>
        <v>8</v>
      </c>
      <c r="B111" s="20">
        <v>324</v>
      </c>
      <c r="C111" s="61" t="s">
        <v>264</v>
      </c>
      <c r="D111" s="60">
        <v>1959</v>
      </c>
      <c r="E111" s="25" t="s">
        <v>74</v>
      </c>
      <c r="F111" s="25" t="s">
        <v>155</v>
      </c>
      <c r="G111" s="4">
        <v>3619.7</v>
      </c>
      <c r="H111" s="4">
        <v>3374.5</v>
      </c>
      <c r="I111" s="19">
        <v>101</v>
      </c>
      <c r="J111" s="4">
        <f>'Форма 2'!I405</f>
        <v>5737346.5800000001</v>
      </c>
      <c r="K111" s="4">
        <v>0</v>
      </c>
      <c r="L111" s="4">
        <v>0</v>
      </c>
      <c r="M111" s="4">
        <v>0</v>
      </c>
      <c r="N111" s="4">
        <f t="shared" si="18"/>
        <v>5546173.29</v>
      </c>
      <c r="O111" s="4">
        <v>191173.29</v>
      </c>
      <c r="P111" s="4">
        <f t="shared" si="19"/>
        <v>1700.21</v>
      </c>
      <c r="Q111" s="4">
        <f>'Форма 2'!K405</f>
        <v>2831</v>
      </c>
      <c r="R111" s="53" t="s">
        <v>153</v>
      </c>
      <c r="S111" s="5">
        <v>1</v>
      </c>
      <c r="T111" s="1"/>
      <c r="V111" s="1"/>
      <c r="W111" s="1"/>
    </row>
    <row r="112" spans="1:23" s="2" customFormat="1" ht="15.75" customHeight="1" x14ac:dyDescent="0.35">
      <c r="A112" s="20">
        <f t="shared" si="20"/>
        <v>9</v>
      </c>
      <c r="B112" s="20">
        <v>373</v>
      </c>
      <c r="C112" s="61" t="s">
        <v>265</v>
      </c>
      <c r="D112" s="60">
        <v>1961</v>
      </c>
      <c r="E112" s="25" t="s">
        <v>263</v>
      </c>
      <c r="F112" s="27" t="s">
        <v>155</v>
      </c>
      <c r="G112" s="4">
        <v>3615</v>
      </c>
      <c r="H112" s="4">
        <v>3339.5</v>
      </c>
      <c r="I112" s="19">
        <v>159</v>
      </c>
      <c r="J112" s="4">
        <f>'Форма 2'!I408</f>
        <v>4598043.3600000003</v>
      </c>
      <c r="K112" s="4">
        <v>0</v>
      </c>
      <c r="L112" s="4">
        <v>0</v>
      </c>
      <c r="M112" s="4">
        <v>0</v>
      </c>
      <c r="N112" s="4">
        <f t="shared" si="18"/>
        <v>4364585.9000000004</v>
      </c>
      <c r="O112" s="4">
        <v>233457.46</v>
      </c>
      <c r="P112" s="4">
        <f t="shared" si="19"/>
        <v>1376.87</v>
      </c>
      <c r="Q112" s="4">
        <f>'Форма 2'!K408</f>
        <v>3055</v>
      </c>
      <c r="R112" s="53" t="s">
        <v>153</v>
      </c>
      <c r="S112" s="5">
        <v>1</v>
      </c>
      <c r="T112" s="1"/>
      <c r="V112" s="1"/>
      <c r="W112" s="1"/>
    </row>
    <row r="113" spans="1:23" s="2" customFormat="1" ht="15.75" customHeight="1" x14ac:dyDescent="0.35">
      <c r="A113" s="20">
        <f t="shared" si="20"/>
        <v>10</v>
      </c>
      <c r="B113" s="20">
        <v>339</v>
      </c>
      <c r="C113" s="61" t="s">
        <v>266</v>
      </c>
      <c r="D113" s="60">
        <v>1960</v>
      </c>
      <c r="E113" s="25" t="s">
        <v>74</v>
      </c>
      <c r="F113" s="25" t="s">
        <v>160</v>
      </c>
      <c r="G113" s="4">
        <v>8006.3</v>
      </c>
      <c r="H113" s="4">
        <v>7469.5</v>
      </c>
      <c r="I113" s="19">
        <v>201</v>
      </c>
      <c r="J113" s="4">
        <f>'Форма 2'!I415</f>
        <v>2311662.9900000002</v>
      </c>
      <c r="K113" s="4">
        <v>0</v>
      </c>
      <c r="L113" s="4">
        <v>0</v>
      </c>
      <c r="M113" s="4">
        <v>0</v>
      </c>
      <c r="N113" s="4">
        <f t="shared" si="18"/>
        <v>2075267.61</v>
      </c>
      <c r="O113" s="4">
        <v>236395.38</v>
      </c>
      <c r="P113" s="4">
        <f t="shared" si="19"/>
        <v>309.48</v>
      </c>
      <c r="Q113" s="4">
        <f>'Форма 2'!K415</f>
        <v>2936</v>
      </c>
      <c r="R113" s="53" t="s">
        <v>161</v>
      </c>
      <c r="S113" s="5">
        <v>1</v>
      </c>
      <c r="T113" s="1"/>
      <c r="V113" s="1"/>
      <c r="W113" s="1"/>
    </row>
    <row r="114" spans="1:23" s="2" customFormat="1" ht="15.75" customHeight="1" x14ac:dyDescent="0.35">
      <c r="A114" s="20">
        <f t="shared" si="20"/>
        <v>11</v>
      </c>
      <c r="B114" s="20">
        <v>124</v>
      </c>
      <c r="C114" s="61" t="s">
        <v>267</v>
      </c>
      <c r="D114" s="60">
        <v>1947</v>
      </c>
      <c r="E114" s="25" t="s">
        <v>74</v>
      </c>
      <c r="F114" s="25" t="s">
        <v>155</v>
      </c>
      <c r="G114" s="4">
        <v>634</v>
      </c>
      <c r="H114" s="4">
        <v>562.79999999999995</v>
      </c>
      <c r="I114" s="19">
        <v>37</v>
      </c>
      <c r="J114" s="4">
        <f>'Форма 2'!I418</f>
        <v>2478607.6</v>
      </c>
      <c r="K114" s="4">
        <v>0</v>
      </c>
      <c r="L114" s="4">
        <v>0</v>
      </c>
      <c r="M114" s="4">
        <v>0</v>
      </c>
      <c r="N114" s="4">
        <f t="shared" si="18"/>
        <v>2355049.42</v>
      </c>
      <c r="O114" s="4">
        <v>123558.18</v>
      </c>
      <c r="P114" s="4">
        <f t="shared" si="19"/>
        <v>4404.0600000000004</v>
      </c>
      <c r="Q114" s="4">
        <f>'Форма 2'!K418</f>
        <v>7066</v>
      </c>
      <c r="R114" s="53" t="s">
        <v>153</v>
      </c>
      <c r="S114" s="5">
        <v>1</v>
      </c>
      <c r="T114" s="1"/>
      <c r="V114" s="1"/>
      <c r="W114" s="1"/>
    </row>
    <row r="115" spans="1:23" s="2" customFormat="1" ht="15.75" customHeight="1" x14ac:dyDescent="0.35">
      <c r="A115" s="20">
        <f t="shared" si="20"/>
        <v>12</v>
      </c>
      <c r="B115" s="20">
        <v>626</v>
      </c>
      <c r="C115" s="61" t="s">
        <v>268</v>
      </c>
      <c r="D115" s="60">
        <v>1975</v>
      </c>
      <c r="E115" s="25" t="s">
        <v>74</v>
      </c>
      <c r="F115" s="25" t="s">
        <v>160</v>
      </c>
      <c r="G115" s="4">
        <v>3081.9</v>
      </c>
      <c r="H115" s="4">
        <v>2793.5</v>
      </c>
      <c r="I115" s="19">
        <v>159</v>
      </c>
      <c r="J115" s="4">
        <f>'Форма 2'!I421</f>
        <v>2778445.98</v>
      </c>
      <c r="K115" s="4">
        <v>0</v>
      </c>
      <c r="L115" s="4">
        <v>0</v>
      </c>
      <c r="M115" s="4">
        <v>0</v>
      </c>
      <c r="N115" s="4">
        <f t="shared" si="18"/>
        <v>2690037.05</v>
      </c>
      <c r="O115" s="4">
        <v>88408.93</v>
      </c>
      <c r="P115" s="4">
        <f t="shared" si="19"/>
        <v>994.61</v>
      </c>
      <c r="Q115" s="4">
        <f>'Форма 2'!K421</f>
        <v>2936</v>
      </c>
      <c r="R115" s="53" t="s">
        <v>161</v>
      </c>
      <c r="S115" s="5">
        <v>1</v>
      </c>
      <c r="T115" s="1"/>
      <c r="V115" s="1"/>
      <c r="W115" s="1"/>
    </row>
    <row r="116" spans="1:23" s="2" customFormat="1" ht="15.75" customHeight="1" x14ac:dyDescent="0.35">
      <c r="A116" s="20">
        <f t="shared" si="20"/>
        <v>13</v>
      </c>
      <c r="B116" s="20">
        <v>842</v>
      </c>
      <c r="C116" s="61" t="s">
        <v>269</v>
      </c>
      <c r="D116" s="60">
        <v>1989</v>
      </c>
      <c r="E116" s="25" t="s">
        <v>74</v>
      </c>
      <c r="F116" s="25" t="s">
        <v>152</v>
      </c>
      <c r="G116" s="4">
        <v>4334.5</v>
      </c>
      <c r="H116" s="4">
        <v>4014.5</v>
      </c>
      <c r="I116" s="19">
        <v>192</v>
      </c>
      <c r="J116" s="4">
        <f>'Форма 2'!I424</f>
        <v>611106.02</v>
      </c>
      <c r="K116" s="4">
        <v>0</v>
      </c>
      <c r="L116" s="4">
        <v>0</v>
      </c>
      <c r="M116" s="4">
        <v>0</v>
      </c>
      <c r="N116" s="4">
        <f t="shared" si="18"/>
        <v>587781.28</v>
      </c>
      <c r="O116" s="4">
        <v>23324.74</v>
      </c>
      <c r="P116" s="4">
        <f t="shared" si="19"/>
        <v>152.22</v>
      </c>
      <c r="Q116" s="4">
        <f>'Форма 2'!K424</f>
        <v>164</v>
      </c>
      <c r="R116" s="53" t="s">
        <v>153</v>
      </c>
      <c r="S116" s="5">
        <v>1</v>
      </c>
      <c r="T116" s="1"/>
      <c r="V116" s="1"/>
      <c r="W116" s="1"/>
    </row>
    <row r="117" spans="1:23" s="2" customFormat="1" ht="15.75" customHeight="1" x14ac:dyDescent="0.35">
      <c r="A117" s="20">
        <f t="shared" si="20"/>
        <v>14</v>
      </c>
      <c r="B117" s="20">
        <v>767</v>
      </c>
      <c r="C117" s="61" t="s">
        <v>270</v>
      </c>
      <c r="D117" s="60">
        <v>1985</v>
      </c>
      <c r="E117" s="25" t="s">
        <v>74</v>
      </c>
      <c r="F117" s="25" t="s">
        <v>152</v>
      </c>
      <c r="G117" s="4">
        <v>1717</v>
      </c>
      <c r="H117" s="4">
        <v>1666.3</v>
      </c>
      <c r="I117" s="19">
        <v>74</v>
      </c>
      <c r="J117" s="4">
        <f>'Форма 2'!I426</f>
        <v>179219.18</v>
      </c>
      <c r="K117" s="4">
        <v>0</v>
      </c>
      <c r="L117" s="4">
        <v>0</v>
      </c>
      <c r="M117" s="4">
        <v>0</v>
      </c>
      <c r="N117" s="4">
        <f t="shared" si="18"/>
        <v>168295.24</v>
      </c>
      <c r="O117" s="4">
        <v>10923.94</v>
      </c>
      <c r="P117" s="4">
        <f t="shared" si="19"/>
        <v>107.56</v>
      </c>
      <c r="Q117" s="4">
        <f>'Форма 2'!K426</f>
        <v>164</v>
      </c>
      <c r="R117" s="53" t="s">
        <v>153</v>
      </c>
      <c r="S117" s="5">
        <v>1</v>
      </c>
      <c r="T117" s="1"/>
      <c r="V117" s="1"/>
      <c r="W117" s="1"/>
    </row>
    <row r="118" spans="1:23" s="2" customFormat="1" ht="15.75" customHeight="1" x14ac:dyDescent="0.35">
      <c r="A118" s="20">
        <f t="shared" si="20"/>
        <v>15</v>
      </c>
      <c r="B118" s="20">
        <v>759</v>
      </c>
      <c r="C118" s="61" t="s">
        <v>271</v>
      </c>
      <c r="D118" s="60">
        <v>1984</v>
      </c>
      <c r="E118" s="25" t="s">
        <v>74</v>
      </c>
      <c r="F118" s="25" t="s">
        <v>160</v>
      </c>
      <c r="G118" s="4">
        <v>1269.5</v>
      </c>
      <c r="H118" s="4">
        <v>1217.5</v>
      </c>
      <c r="I118" s="19">
        <v>43</v>
      </c>
      <c r="J118" s="4">
        <f>'Форма 2'!I428</f>
        <v>1845303.48</v>
      </c>
      <c r="K118" s="4">
        <v>0</v>
      </c>
      <c r="L118" s="4">
        <v>0</v>
      </c>
      <c r="M118" s="4">
        <v>0</v>
      </c>
      <c r="N118" s="4">
        <f t="shared" si="18"/>
        <v>1784790.12</v>
      </c>
      <c r="O118" s="4">
        <v>60513.36</v>
      </c>
      <c r="P118" s="4">
        <f t="shared" si="19"/>
        <v>1515.65</v>
      </c>
      <c r="Q118" s="4">
        <f>'Форма 2'!K428</f>
        <v>4793</v>
      </c>
      <c r="R118" s="53" t="s">
        <v>161</v>
      </c>
      <c r="S118" s="5">
        <v>1</v>
      </c>
      <c r="T118" s="1"/>
      <c r="V118" s="1"/>
      <c r="W118" s="1"/>
    </row>
    <row r="119" spans="1:23" s="2" customFormat="1" ht="15.75" customHeight="1" x14ac:dyDescent="0.35">
      <c r="A119" s="20">
        <f t="shared" si="20"/>
        <v>16</v>
      </c>
      <c r="B119" s="20">
        <v>845</v>
      </c>
      <c r="C119" s="61" t="s">
        <v>272</v>
      </c>
      <c r="D119" s="60">
        <v>1989</v>
      </c>
      <c r="E119" s="25" t="s">
        <v>74</v>
      </c>
      <c r="F119" s="25" t="s">
        <v>152</v>
      </c>
      <c r="G119" s="4">
        <v>3146.3</v>
      </c>
      <c r="H119" s="4">
        <v>2810.3</v>
      </c>
      <c r="I119" s="19">
        <v>80</v>
      </c>
      <c r="J119" s="4">
        <f>'Форма 2'!I431</f>
        <v>215887.41</v>
      </c>
      <c r="K119" s="4">
        <v>0</v>
      </c>
      <c r="L119" s="4">
        <v>0</v>
      </c>
      <c r="M119" s="4">
        <v>0</v>
      </c>
      <c r="N119" s="4">
        <f t="shared" si="18"/>
        <v>199559.22</v>
      </c>
      <c r="O119" s="4">
        <v>16328.19</v>
      </c>
      <c r="P119" s="4">
        <f t="shared" si="19"/>
        <v>76.819999999999993</v>
      </c>
      <c r="Q119" s="4">
        <f>'Форма 2'!K431</f>
        <v>164</v>
      </c>
      <c r="R119" s="53" t="s">
        <v>153</v>
      </c>
      <c r="S119" s="5">
        <v>1</v>
      </c>
      <c r="T119" s="1"/>
      <c r="V119" s="1"/>
      <c r="W119" s="1"/>
    </row>
    <row r="120" spans="1:23" s="2" customFormat="1" ht="15.75" customHeight="1" x14ac:dyDescent="0.35">
      <c r="A120" s="20">
        <f t="shared" si="20"/>
        <v>17</v>
      </c>
      <c r="B120" s="20">
        <v>202</v>
      </c>
      <c r="C120" s="61" t="s">
        <v>273</v>
      </c>
      <c r="D120" s="60">
        <v>1954</v>
      </c>
      <c r="E120" s="25" t="s">
        <v>74</v>
      </c>
      <c r="F120" s="25" t="s">
        <v>155</v>
      </c>
      <c r="G120" s="4">
        <v>1391.2</v>
      </c>
      <c r="H120" s="4">
        <v>1028.7</v>
      </c>
      <c r="I120" s="19">
        <v>42</v>
      </c>
      <c r="J120" s="4">
        <f>'Форма 2'!I433</f>
        <v>2958165.6</v>
      </c>
      <c r="K120" s="4">
        <v>0</v>
      </c>
      <c r="L120" s="4">
        <v>0</v>
      </c>
      <c r="M120" s="4">
        <v>0</v>
      </c>
      <c r="N120" s="4">
        <f t="shared" si="18"/>
        <v>2847510.36</v>
      </c>
      <c r="O120" s="4">
        <v>110655.24</v>
      </c>
      <c r="P120" s="4">
        <f t="shared" si="19"/>
        <v>2875.63</v>
      </c>
      <c r="Q120" s="4">
        <f>'Форма 2'!K433</f>
        <v>4728</v>
      </c>
      <c r="R120" s="53" t="s">
        <v>153</v>
      </c>
      <c r="S120" s="5">
        <v>1</v>
      </c>
      <c r="T120" s="1"/>
      <c r="V120" s="1"/>
      <c r="W120" s="1"/>
    </row>
    <row r="121" spans="1:23" s="2" customFormat="1" ht="15.75" customHeight="1" x14ac:dyDescent="0.35">
      <c r="A121" s="20">
        <f t="shared" si="20"/>
        <v>18</v>
      </c>
      <c r="B121" s="20">
        <v>236</v>
      </c>
      <c r="C121" s="61" t="s">
        <v>274</v>
      </c>
      <c r="D121" s="60">
        <v>1956</v>
      </c>
      <c r="E121" s="25" t="s">
        <v>74</v>
      </c>
      <c r="F121" s="25" t="s">
        <v>155</v>
      </c>
      <c r="G121" s="4">
        <v>783.6</v>
      </c>
      <c r="H121" s="4">
        <v>741.7</v>
      </c>
      <c r="I121" s="19">
        <v>36</v>
      </c>
      <c r="J121" s="4">
        <f>'Форма 2'!I436</f>
        <v>3115705.07</v>
      </c>
      <c r="K121" s="4">
        <v>0</v>
      </c>
      <c r="L121" s="4">
        <v>0</v>
      </c>
      <c r="M121" s="4">
        <v>0</v>
      </c>
      <c r="N121" s="4">
        <f t="shared" si="18"/>
        <v>2993388.18</v>
      </c>
      <c r="O121" s="4">
        <v>122316.89</v>
      </c>
      <c r="P121" s="4">
        <f t="shared" si="19"/>
        <v>4200.76</v>
      </c>
      <c r="Q121" s="4">
        <f>'Форма 2'!K436</f>
        <v>7066</v>
      </c>
      <c r="R121" s="53" t="s">
        <v>153</v>
      </c>
      <c r="S121" s="5">
        <v>1</v>
      </c>
      <c r="T121" s="1"/>
      <c r="V121" s="1"/>
      <c r="W121" s="1"/>
    </row>
    <row r="122" spans="1:23" s="2" customFormat="1" ht="15.75" customHeight="1" x14ac:dyDescent="0.35">
      <c r="A122" s="20">
        <f t="shared" si="20"/>
        <v>19</v>
      </c>
      <c r="B122" s="20">
        <v>664</v>
      </c>
      <c r="C122" s="61" t="s">
        <v>275</v>
      </c>
      <c r="D122" s="60">
        <v>1978</v>
      </c>
      <c r="E122" s="25" t="s">
        <v>74</v>
      </c>
      <c r="F122" s="25" t="s">
        <v>152</v>
      </c>
      <c r="G122" s="4">
        <v>4572</v>
      </c>
      <c r="H122" s="4">
        <v>4429</v>
      </c>
      <c r="I122" s="19">
        <v>201</v>
      </c>
      <c r="J122" s="4">
        <f>'Форма 2'!I439</f>
        <v>695011.08</v>
      </c>
      <c r="K122" s="4">
        <v>0</v>
      </c>
      <c r="L122" s="4">
        <v>0</v>
      </c>
      <c r="M122" s="4">
        <v>0</v>
      </c>
      <c r="N122" s="4">
        <f t="shared" si="18"/>
        <v>669278.04</v>
      </c>
      <c r="O122" s="4">
        <v>25733.040000000001</v>
      </c>
      <c r="P122" s="4">
        <f t="shared" si="19"/>
        <v>156.91999999999999</v>
      </c>
      <c r="Q122" s="4">
        <f>'Форма 2'!K439</f>
        <v>164</v>
      </c>
      <c r="R122" s="53" t="s">
        <v>153</v>
      </c>
      <c r="S122" s="5">
        <v>1</v>
      </c>
      <c r="T122" s="1"/>
      <c r="V122" s="1"/>
      <c r="W122" s="1"/>
    </row>
    <row r="123" spans="1:23" s="2" customFormat="1" ht="15.75" customHeight="1" x14ac:dyDescent="0.35">
      <c r="A123" s="20">
        <f t="shared" si="20"/>
        <v>20</v>
      </c>
      <c r="B123" s="20">
        <v>883</v>
      </c>
      <c r="C123" s="61" t="s">
        <v>276</v>
      </c>
      <c r="D123" s="60">
        <v>1992</v>
      </c>
      <c r="E123" s="25" t="s">
        <v>182</v>
      </c>
      <c r="F123" s="25" t="s">
        <v>155</v>
      </c>
      <c r="G123" s="4">
        <v>8423.7999999999993</v>
      </c>
      <c r="H123" s="4">
        <v>6735.9</v>
      </c>
      <c r="I123" s="19">
        <v>161</v>
      </c>
      <c r="J123" s="4">
        <f>'Форма 2'!I441</f>
        <v>3888446.08</v>
      </c>
      <c r="K123" s="4">
        <v>0</v>
      </c>
      <c r="L123" s="4">
        <v>0</v>
      </c>
      <c r="M123" s="4">
        <v>0</v>
      </c>
      <c r="N123" s="4">
        <f t="shared" si="18"/>
        <v>3725757.14</v>
      </c>
      <c r="O123" s="4">
        <v>162688.94</v>
      </c>
      <c r="P123" s="4">
        <f t="shared" si="19"/>
        <v>577.27</v>
      </c>
      <c r="Q123" s="4">
        <f>'Форма 2'!K441</f>
        <v>777.35</v>
      </c>
      <c r="R123" s="53" t="s">
        <v>153</v>
      </c>
      <c r="S123" s="5">
        <v>1</v>
      </c>
      <c r="T123" s="1"/>
      <c r="V123" s="1"/>
      <c r="W123" s="1"/>
    </row>
    <row r="124" spans="1:23" s="2" customFormat="1" ht="15.75" customHeight="1" x14ac:dyDescent="0.35">
      <c r="A124" s="20">
        <f t="shared" si="20"/>
        <v>21</v>
      </c>
      <c r="B124" s="20">
        <v>585</v>
      </c>
      <c r="C124" s="61" t="s">
        <v>277</v>
      </c>
      <c r="D124" s="60">
        <v>1972</v>
      </c>
      <c r="E124" s="25" t="s">
        <v>74</v>
      </c>
      <c r="F124" s="25" t="s">
        <v>160</v>
      </c>
      <c r="G124" s="4">
        <v>5089.3999999999996</v>
      </c>
      <c r="H124" s="4">
        <v>4627.3999999999996</v>
      </c>
      <c r="I124" s="19">
        <v>168</v>
      </c>
      <c r="J124" s="4">
        <f>'Форма 2'!I448</f>
        <v>4160040.58</v>
      </c>
      <c r="K124" s="4">
        <v>0</v>
      </c>
      <c r="L124" s="4">
        <v>0</v>
      </c>
      <c r="M124" s="4">
        <v>0</v>
      </c>
      <c r="N124" s="4">
        <f t="shared" si="18"/>
        <v>4013592.22</v>
      </c>
      <c r="O124" s="4">
        <v>146448.35999999999</v>
      </c>
      <c r="P124" s="4">
        <f t="shared" si="19"/>
        <v>899</v>
      </c>
      <c r="Q124" s="4">
        <f>'Форма 2'!K448</f>
        <v>2936</v>
      </c>
      <c r="R124" s="53" t="s">
        <v>161</v>
      </c>
      <c r="S124" s="5">
        <v>1</v>
      </c>
      <c r="T124" s="1"/>
      <c r="V124" s="1"/>
      <c r="W124" s="1"/>
    </row>
    <row r="125" spans="1:23" s="2" customFormat="1" ht="15.75" customHeight="1" x14ac:dyDescent="0.35">
      <c r="A125" s="20">
        <f>A124+1</f>
        <v>22</v>
      </c>
      <c r="B125" s="20">
        <v>293</v>
      </c>
      <c r="C125" s="61" t="s">
        <v>279</v>
      </c>
      <c r="D125" s="60">
        <v>1958</v>
      </c>
      <c r="E125" s="25" t="s">
        <v>74</v>
      </c>
      <c r="F125" s="25" t="s">
        <v>155</v>
      </c>
      <c r="G125" s="4">
        <v>1357.2</v>
      </c>
      <c r="H125" s="4">
        <v>1262.0999999999999</v>
      </c>
      <c r="I125" s="19">
        <v>61</v>
      </c>
      <c r="J125" s="4">
        <f>'Форма 2'!I451</f>
        <v>2710650.86</v>
      </c>
      <c r="K125" s="4">
        <v>0</v>
      </c>
      <c r="L125" s="4">
        <v>0</v>
      </c>
      <c r="M125" s="4">
        <v>0</v>
      </c>
      <c r="N125" s="4">
        <f t="shared" si="18"/>
        <v>2625980.48</v>
      </c>
      <c r="O125" s="4">
        <v>84670.38</v>
      </c>
      <c r="P125" s="4">
        <f t="shared" si="19"/>
        <v>2147.73</v>
      </c>
      <c r="Q125" s="4">
        <f>'Форма 2'!K451</f>
        <v>4728</v>
      </c>
      <c r="R125" s="53" t="s">
        <v>153</v>
      </c>
      <c r="S125" s="5">
        <v>1</v>
      </c>
      <c r="T125" s="1"/>
      <c r="V125" s="1"/>
      <c r="W125" s="1"/>
    </row>
    <row r="126" spans="1:23" s="2" customFormat="1" ht="15.75" customHeight="1" x14ac:dyDescent="0.35">
      <c r="A126" s="20">
        <f t="shared" si="20"/>
        <v>23</v>
      </c>
      <c r="B126" s="20">
        <v>527</v>
      </c>
      <c r="C126" s="61" t="s">
        <v>280</v>
      </c>
      <c r="D126" s="60">
        <v>1967</v>
      </c>
      <c r="E126" s="25" t="s">
        <v>74</v>
      </c>
      <c r="F126" s="25" t="s">
        <v>160</v>
      </c>
      <c r="G126" s="4">
        <v>3699.7</v>
      </c>
      <c r="H126" s="4">
        <v>3506</v>
      </c>
      <c r="I126" s="19">
        <v>155</v>
      </c>
      <c r="J126" s="4">
        <f>'Форма 2'!I454</f>
        <v>3149883.64</v>
      </c>
      <c r="K126" s="4">
        <v>0</v>
      </c>
      <c r="L126" s="4">
        <v>0</v>
      </c>
      <c r="M126" s="4">
        <v>0</v>
      </c>
      <c r="N126" s="4">
        <f t="shared" si="18"/>
        <v>3038925.45</v>
      </c>
      <c r="O126" s="4">
        <v>110958.19</v>
      </c>
      <c r="P126" s="4">
        <f t="shared" si="19"/>
        <v>898.43</v>
      </c>
      <c r="Q126" s="4">
        <f>'Форма 2'!K454</f>
        <v>2936</v>
      </c>
      <c r="R126" s="53" t="s">
        <v>161</v>
      </c>
      <c r="S126" s="5">
        <v>1</v>
      </c>
      <c r="T126" s="1"/>
      <c r="V126" s="1"/>
      <c r="W126" s="1"/>
    </row>
    <row r="127" spans="1:23" s="2" customFormat="1" ht="15.75" customHeight="1" x14ac:dyDescent="0.35">
      <c r="A127" s="20">
        <f t="shared" si="20"/>
        <v>24</v>
      </c>
      <c r="B127" s="20">
        <v>860</v>
      </c>
      <c r="C127" s="61" t="s">
        <v>281</v>
      </c>
      <c r="D127" s="60">
        <v>1990</v>
      </c>
      <c r="E127" s="25" t="s">
        <v>74</v>
      </c>
      <c r="F127" s="25" t="s">
        <v>152</v>
      </c>
      <c r="G127" s="4">
        <v>3846.5</v>
      </c>
      <c r="H127" s="4">
        <v>3521.6</v>
      </c>
      <c r="I127" s="19">
        <v>139</v>
      </c>
      <c r="J127" s="4">
        <f>'Форма 2'!I457</f>
        <v>245941.8</v>
      </c>
      <c r="K127" s="4">
        <v>0</v>
      </c>
      <c r="L127" s="4">
        <v>0</v>
      </c>
      <c r="M127" s="4">
        <v>0</v>
      </c>
      <c r="N127" s="4">
        <f t="shared" si="18"/>
        <v>225480.87</v>
      </c>
      <c r="O127" s="4">
        <v>20460.93</v>
      </c>
      <c r="P127" s="4">
        <f t="shared" si="19"/>
        <v>69.84</v>
      </c>
      <c r="Q127" s="4">
        <f>'Форма 2'!K457</f>
        <v>164</v>
      </c>
      <c r="R127" s="53" t="s">
        <v>153</v>
      </c>
      <c r="S127" s="5">
        <v>1</v>
      </c>
      <c r="T127" s="1"/>
      <c r="V127" s="1"/>
      <c r="W127" s="1"/>
    </row>
    <row r="128" spans="1:23" s="2" customFormat="1" ht="15.75" customHeight="1" x14ac:dyDescent="0.35">
      <c r="A128" s="20">
        <f t="shared" si="20"/>
        <v>25</v>
      </c>
      <c r="B128" s="20">
        <v>414</v>
      </c>
      <c r="C128" s="61" t="s">
        <v>282</v>
      </c>
      <c r="D128" s="60">
        <v>1962</v>
      </c>
      <c r="E128" s="25" t="s">
        <v>74</v>
      </c>
      <c r="F128" s="25" t="s">
        <v>155</v>
      </c>
      <c r="G128" s="4">
        <v>2714</v>
      </c>
      <c r="H128" s="4">
        <v>2522.1999999999998</v>
      </c>
      <c r="I128" s="19">
        <v>97</v>
      </c>
      <c r="J128" s="4">
        <f>'Форма 2'!I459</f>
        <v>5464498.3899999997</v>
      </c>
      <c r="K128" s="4">
        <v>0</v>
      </c>
      <c r="L128" s="4">
        <v>0</v>
      </c>
      <c r="M128" s="4">
        <v>0</v>
      </c>
      <c r="N128" s="4">
        <f t="shared" si="18"/>
        <v>5255139.75</v>
      </c>
      <c r="O128" s="4">
        <v>209358.64</v>
      </c>
      <c r="P128" s="4">
        <f t="shared" si="19"/>
        <v>2166.56</v>
      </c>
      <c r="Q128" s="4">
        <f>'Форма 2'!K459</f>
        <v>4728</v>
      </c>
      <c r="R128" s="53" t="s">
        <v>153</v>
      </c>
      <c r="S128" s="5">
        <v>1</v>
      </c>
      <c r="T128" s="1"/>
      <c r="V128" s="1"/>
      <c r="W128" s="1"/>
    </row>
    <row r="129" spans="1:23" s="2" customFormat="1" ht="15.75" customHeight="1" x14ac:dyDescent="0.35">
      <c r="A129" s="20">
        <f t="shared" si="20"/>
        <v>26</v>
      </c>
      <c r="B129" s="20">
        <v>546</v>
      </c>
      <c r="C129" s="61" t="s">
        <v>283</v>
      </c>
      <c r="D129" s="60">
        <v>1968</v>
      </c>
      <c r="E129" s="25" t="s">
        <v>74</v>
      </c>
      <c r="F129" s="25" t="s">
        <v>160</v>
      </c>
      <c r="G129" s="4">
        <v>3855.8</v>
      </c>
      <c r="H129" s="4">
        <v>3568.8</v>
      </c>
      <c r="I129" s="19">
        <v>156</v>
      </c>
      <c r="J129" s="4">
        <f>'Форма 2'!I462</f>
        <v>3523559.48</v>
      </c>
      <c r="K129" s="4">
        <v>0</v>
      </c>
      <c r="L129" s="4">
        <v>0</v>
      </c>
      <c r="M129" s="4">
        <v>0</v>
      </c>
      <c r="N129" s="4">
        <f t="shared" si="18"/>
        <v>3410613.79</v>
      </c>
      <c r="O129" s="4">
        <v>112945.69</v>
      </c>
      <c r="P129" s="4">
        <f t="shared" si="19"/>
        <v>987.32</v>
      </c>
      <c r="Q129" s="4">
        <f>'Форма 2'!K462</f>
        <v>2936</v>
      </c>
      <c r="R129" s="53" t="s">
        <v>161</v>
      </c>
      <c r="S129" s="5">
        <v>1</v>
      </c>
      <c r="T129" s="1"/>
      <c r="V129" s="1"/>
      <c r="W129" s="1"/>
    </row>
    <row r="130" spans="1:23" s="2" customFormat="1" ht="15.75" customHeight="1" x14ac:dyDescent="0.35">
      <c r="A130" s="20">
        <f t="shared" si="20"/>
        <v>27</v>
      </c>
      <c r="B130" s="20">
        <v>559</v>
      </c>
      <c r="C130" s="61" t="s">
        <v>284</v>
      </c>
      <c r="D130" s="60">
        <v>1969</v>
      </c>
      <c r="E130" s="25" t="s">
        <v>74</v>
      </c>
      <c r="F130" s="25" t="s">
        <v>160</v>
      </c>
      <c r="G130" s="4">
        <v>3872.2</v>
      </c>
      <c r="H130" s="4">
        <v>3585.2</v>
      </c>
      <c r="I130" s="19">
        <v>131</v>
      </c>
      <c r="J130" s="4">
        <f>'Форма 2'!I465</f>
        <v>3210129.94</v>
      </c>
      <c r="K130" s="4">
        <v>0</v>
      </c>
      <c r="L130" s="4">
        <v>0</v>
      </c>
      <c r="M130" s="4">
        <v>0</v>
      </c>
      <c r="N130" s="4">
        <f t="shared" si="18"/>
        <v>3096665.22</v>
      </c>
      <c r="O130" s="4">
        <v>113464.72</v>
      </c>
      <c r="P130" s="4">
        <f t="shared" si="19"/>
        <v>895.38</v>
      </c>
      <c r="Q130" s="4">
        <f>'Форма 2'!K465</f>
        <v>2936</v>
      </c>
      <c r="R130" s="53" t="s">
        <v>161</v>
      </c>
      <c r="S130" s="5">
        <v>1</v>
      </c>
      <c r="T130" s="1"/>
      <c r="V130" s="1"/>
      <c r="W130" s="1"/>
    </row>
    <row r="131" spans="1:23" s="2" customFormat="1" ht="15.75" customHeight="1" x14ac:dyDescent="0.35">
      <c r="A131" s="20">
        <f t="shared" si="20"/>
        <v>28</v>
      </c>
      <c r="B131" s="20">
        <v>524</v>
      </c>
      <c r="C131" s="61" t="s">
        <v>285</v>
      </c>
      <c r="D131" s="60">
        <v>1967</v>
      </c>
      <c r="E131" s="25" t="s">
        <v>74</v>
      </c>
      <c r="F131" s="25" t="s">
        <v>160</v>
      </c>
      <c r="G131" s="4">
        <v>4124.3100000000004</v>
      </c>
      <c r="H131" s="4">
        <v>3856.05</v>
      </c>
      <c r="I131" s="19">
        <v>103</v>
      </c>
      <c r="J131" s="4">
        <f>'Форма 2'!I468</f>
        <v>2688445.24</v>
      </c>
      <c r="K131" s="4">
        <v>0</v>
      </c>
      <c r="L131" s="4">
        <v>0</v>
      </c>
      <c r="M131" s="4">
        <v>0</v>
      </c>
      <c r="N131" s="4">
        <f t="shared" si="18"/>
        <v>2565609.2000000002</v>
      </c>
      <c r="O131" s="4">
        <v>122836.04</v>
      </c>
      <c r="P131" s="4">
        <f t="shared" si="19"/>
        <v>697.2</v>
      </c>
      <c r="Q131" s="4">
        <f>'Форма 2'!K468</f>
        <v>2936</v>
      </c>
      <c r="R131" s="53" t="s">
        <v>161</v>
      </c>
      <c r="S131" s="5">
        <v>1</v>
      </c>
      <c r="T131" s="1"/>
      <c r="V131" s="1"/>
      <c r="W131" s="1"/>
    </row>
    <row r="132" spans="1:23" s="2" customFormat="1" ht="15.75" customHeight="1" x14ac:dyDescent="0.35">
      <c r="A132" s="20">
        <f t="shared" si="20"/>
        <v>29</v>
      </c>
      <c r="B132" s="20">
        <v>509</v>
      </c>
      <c r="C132" s="61" t="s">
        <v>286</v>
      </c>
      <c r="D132" s="60">
        <v>1965</v>
      </c>
      <c r="E132" s="25" t="s">
        <v>74</v>
      </c>
      <c r="F132" s="25" t="s">
        <v>160</v>
      </c>
      <c r="G132" s="4">
        <v>3249.8</v>
      </c>
      <c r="H132" s="4">
        <v>3004.2</v>
      </c>
      <c r="I132" s="19">
        <v>111</v>
      </c>
      <c r="J132" s="4">
        <f>'Форма 2'!I471</f>
        <v>2472001.6</v>
      </c>
      <c r="K132" s="4">
        <v>0</v>
      </c>
      <c r="L132" s="4">
        <v>0</v>
      </c>
      <c r="M132" s="4">
        <v>0</v>
      </c>
      <c r="N132" s="4">
        <f t="shared" si="18"/>
        <v>2376924.42</v>
      </c>
      <c r="O132" s="4">
        <v>95077.18</v>
      </c>
      <c r="P132" s="4">
        <f t="shared" si="19"/>
        <v>822.85</v>
      </c>
      <c r="Q132" s="4">
        <f>'Форма 2'!K471</f>
        <v>2936</v>
      </c>
      <c r="R132" s="53" t="s">
        <v>161</v>
      </c>
      <c r="S132" s="5">
        <v>1</v>
      </c>
      <c r="T132" s="1"/>
      <c r="V132" s="1"/>
      <c r="W132" s="1"/>
    </row>
    <row r="133" spans="1:23" s="2" customFormat="1" ht="15.75" customHeight="1" x14ac:dyDescent="0.35">
      <c r="A133" s="20">
        <f t="shared" si="20"/>
        <v>30</v>
      </c>
      <c r="B133" s="20">
        <v>617</v>
      </c>
      <c r="C133" s="61" t="s">
        <v>287</v>
      </c>
      <c r="D133" s="60">
        <v>1974</v>
      </c>
      <c r="E133" s="25" t="s">
        <v>74</v>
      </c>
      <c r="F133" s="25" t="s">
        <v>160</v>
      </c>
      <c r="G133" s="4">
        <v>5219.72</v>
      </c>
      <c r="H133" s="4">
        <v>4525.22</v>
      </c>
      <c r="I133" s="19">
        <v>182</v>
      </c>
      <c r="J133" s="4">
        <f>'Форма 2'!I474</f>
        <v>3153965.94</v>
      </c>
      <c r="K133" s="4">
        <v>0</v>
      </c>
      <c r="L133" s="4">
        <v>0</v>
      </c>
      <c r="M133" s="4">
        <v>0</v>
      </c>
      <c r="N133" s="4">
        <f t="shared" si="18"/>
        <v>3010751.38</v>
      </c>
      <c r="O133" s="4">
        <v>143214.56</v>
      </c>
      <c r="P133" s="4">
        <f t="shared" si="19"/>
        <v>696.98</v>
      </c>
      <c r="Q133" s="4">
        <f>'Форма 2'!K474</f>
        <v>2936</v>
      </c>
      <c r="R133" s="53" t="s">
        <v>161</v>
      </c>
      <c r="S133" s="5">
        <v>1</v>
      </c>
      <c r="T133" s="1"/>
      <c r="V133" s="1"/>
      <c r="W133" s="1"/>
    </row>
    <row r="134" spans="1:23" s="2" customFormat="1" ht="15.75" customHeight="1" x14ac:dyDescent="0.35">
      <c r="A134" s="20">
        <f>A133+1</f>
        <v>31</v>
      </c>
      <c r="B134" s="20">
        <v>574</v>
      </c>
      <c r="C134" s="61" t="s">
        <v>290</v>
      </c>
      <c r="D134" s="60">
        <v>1971</v>
      </c>
      <c r="E134" s="25" t="s">
        <v>74</v>
      </c>
      <c r="F134" s="25" t="s">
        <v>160</v>
      </c>
      <c r="G134" s="4">
        <v>3573</v>
      </c>
      <c r="H134" s="4">
        <v>3042.6</v>
      </c>
      <c r="I134" s="19">
        <v>180</v>
      </c>
      <c r="J134" s="4">
        <f>'Форма 2'!I477</f>
        <v>2301908.66</v>
      </c>
      <c r="K134" s="4">
        <v>0</v>
      </c>
      <c r="L134" s="4">
        <v>0</v>
      </c>
      <c r="M134" s="4">
        <v>0</v>
      </c>
      <c r="N134" s="4">
        <f t="shared" si="18"/>
        <v>2205616.19</v>
      </c>
      <c r="O134" s="4">
        <v>96292.47</v>
      </c>
      <c r="P134" s="4">
        <f t="shared" si="19"/>
        <v>756.56</v>
      </c>
      <c r="Q134" s="4">
        <f>'Форма 2'!K477</f>
        <v>2936</v>
      </c>
      <c r="R134" s="53" t="s">
        <v>161</v>
      </c>
      <c r="S134" s="5">
        <v>1</v>
      </c>
      <c r="T134" s="1"/>
      <c r="V134" s="1"/>
      <c r="W134" s="1"/>
    </row>
    <row r="135" spans="1:23" s="2" customFormat="1" ht="15.75" customHeight="1" x14ac:dyDescent="0.35">
      <c r="A135" s="20">
        <f t="shared" si="20"/>
        <v>32</v>
      </c>
      <c r="B135" s="20">
        <v>402</v>
      </c>
      <c r="C135" s="61" t="s">
        <v>291</v>
      </c>
      <c r="D135" s="60">
        <v>1962</v>
      </c>
      <c r="E135" s="25" t="s">
        <v>263</v>
      </c>
      <c r="F135" s="27" t="s">
        <v>155</v>
      </c>
      <c r="G135" s="4">
        <v>1665.2</v>
      </c>
      <c r="H135" s="4">
        <v>1350.1</v>
      </c>
      <c r="I135" s="19">
        <v>51</v>
      </c>
      <c r="J135" s="4">
        <f>'Форма 2'!I480</f>
        <v>3275335.36</v>
      </c>
      <c r="K135" s="4">
        <v>0</v>
      </c>
      <c r="L135" s="4">
        <v>0</v>
      </c>
      <c r="M135" s="4">
        <v>0</v>
      </c>
      <c r="N135" s="4">
        <f t="shared" si="18"/>
        <v>3180952.69</v>
      </c>
      <c r="O135" s="4">
        <v>94382.67</v>
      </c>
      <c r="P135" s="4">
        <f t="shared" si="19"/>
        <v>2425.9899999999998</v>
      </c>
      <c r="Q135" s="4">
        <f>'Форма 2'!K480</f>
        <v>3640</v>
      </c>
      <c r="R135" s="53" t="s">
        <v>153</v>
      </c>
      <c r="S135" s="5">
        <v>1</v>
      </c>
      <c r="T135" s="1"/>
      <c r="V135" s="1"/>
      <c r="W135" s="1"/>
    </row>
    <row r="136" spans="1:23" s="2" customFormat="1" ht="15.75" customHeight="1" x14ac:dyDescent="0.35">
      <c r="A136" s="20">
        <f t="shared" si="20"/>
        <v>33</v>
      </c>
      <c r="B136" s="20">
        <v>566</v>
      </c>
      <c r="C136" s="61" t="s">
        <v>292</v>
      </c>
      <c r="D136" s="60">
        <v>1970</v>
      </c>
      <c r="E136" s="25" t="s">
        <v>74</v>
      </c>
      <c r="F136" s="25" t="s">
        <v>160</v>
      </c>
      <c r="G136" s="4">
        <v>3405.3</v>
      </c>
      <c r="H136" s="4">
        <v>3195.7</v>
      </c>
      <c r="I136" s="19">
        <v>149</v>
      </c>
      <c r="J136" s="4">
        <f>'Форма 2'!I487</f>
        <v>2099527.02</v>
      </c>
      <c r="K136" s="4">
        <v>0</v>
      </c>
      <c r="L136" s="4">
        <v>0</v>
      </c>
      <c r="M136" s="4">
        <v>0</v>
      </c>
      <c r="N136" s="4">
        <f t="shared" si="18"/>
        <v>1998389.23</v>
      </c>
      <c r="O136" s="4">
        <v>101137.79</v>
      </c>
      <c r="P136" s="4">
        <f t="shared" si="19"/>
        <v>656.99</v>
      </c>
      <c r="Q136" s="4">
        <f>'Форма 2'!K487</f>
        <v>2936</v>
      </c>
      <c r="R136" s="53" t="s">
        <v>161</v>
      </c>
      <c r="S136" s="5">
        <v>1</v>
      </c>
      <c r="T136" s="1"/>
      <c r="V136" s="1"/>
      <c r="W136" s="1"/>
    </row>
    <row r="137" spans="1:23" s="2" customFormat="1" ht="15.75" customHeight="1" x14ac:dyDescent="0.35">
      <c r="A137" s="20">
        <f t="shared" si="20"/>
        <v>34</v>
      </c>
      <c r="B137" s="20">
        <v>653</v>
      </c>
      <c r="C137" s="61" t="s">
        <v>293</v>
      </c>
      <c r="D137" s="60">
        <v>1978</v>
      </c>
      <c r="E137" s="25" t="s">
        <v>74</v>
      </c>
      <c r="F137" s="25" t="s">
        <v>160</v>
      </c>
      <c r="G137" s="4">
        <v>3299.15</v>
      </c>
      <c r="H137" s="4">
        <v>3054.95</v>
      </c>
      <c r="I137" s="19">
        <v>137</v>
      </c>
      <c r="J137" s="4">
        <f>'Форма 2'!I490</f>
        <v>2247604.9700000002</v>
      </c>
      <c r="K137" s="4">
        <v>0</v>
      </c>
      <c r="L137" s="4">
        <v>0</v>
      </c>
      <c r="M137" s="4">
        <v>0</v>
      </c>
      <c r="N137" s="4">
        <f t="shared" si="18"/>
        <v>2150921.65</v>
      </c>
      <c r="O137" s="4">
        <v>96683.32</v>
      </c>
      <c r="P137" s="4">
        <f t="shared" si="19"/>
        <v>735.73</v>
      </c>
      <c r="Q137" s="4">
        <f>'Форма 2'!K490</f>
        <v>2936</v>
      </c>
      <c r="R137" s="53" t="s">
        <v>161</v>
      </c>
      <c r="S137" s="5">
        <v>1</v>
      </c>
      <c r="T137" s="1"/>
      <c r="V137" s="1"/>
      <c r="W137" s="1"/>
    </row>
    <row r="138" spans="1:23" s="2" customFormat="1" ht="15.75" customHeight="1" x14ac:dyDescent="0.35">
      <c r="A138" s="20">
        <f t="shared" si="20"/>
        <v>35</v>
      </c>
      <c r="B138" s="20">
        <v>647</v>
      </c>
      <c r="C138" s="61" t="s">
        <v>294</v>
      </c>
      <c r="D138" s="60">
        <v>1976</v>
      </c>
      <c r="E138" s="25" t="s">
        <v>263</v>
      </c>
      <c r="F138" s="25" t="s">
        <v>152</v>
      </c>
      <c r="G138" s="4">
        <v>3582</v>
      </c>
      <c r="H138" s="4">
        <v>2026</v>
      </c>
      <c r="I138" s="19">
        <v>175</v>
      </c>
      <c r="J138" s="4">
        <f>'Форма 2'!I493</f>
        <v>314030</v>
      </c>
      <c r="K138" s="4">
        <v>0</v>
      </c>
      <c r="L138" s="4">
        <v>0</v>
      </c>
      <c r="M138" s="4">
        <v>0</v>
      </c>
      <c r="N138" s="4">
        <f t="shared" si="18"/>
        <v>265125.55</v>
      </c>
      <c r="O138" s="4">
        <v>48904.45</v>
      </c>
      <c r="P138" s="4">
        <f t="shared" si="19"/>
        <v>155</v>
      </c>
      <c r="Q138" s="4">
        <f>'Форма 2'!K493</f>
        <v>155</v>
      </c>
      <c r="R138" s="53" t="s">
        <v>153</v>
      </c>
      <c r="S138" s="5">
        <v>1</v>
      </c>
      <c r="T138" s="1"/>
      <c r="V138" s="1"/>
      <c r="W138" s="1"/>
    </row>
    <row r="139" spans="1:23" s="2" customFormat="1" ht="15.75" customHeight="1" x14ac:dyDescent="0.35">
      <c r="A139" s="20">
        <f t="shared" si="20"/>
        <v>36</v>
      </c>
      <c r="B139" s="20">
        <v>472</v>
      </c>
      <c r="C139" s="61" t="s">
        <v>295</v>
      </c>
      <c r="D139" s="60">
        <v>1964</v>
      </c>
      <c r="E139" s="25" t="s">
        <v>74</v>
      </c>
      <c r="F139" s="25" t="s">
        <v>155</v>
      </c>
      <c r="G139" s="4">
        <v>3606.43</v>
      </c>
      <c r="H139" s="4">
        <v>3361.23</v>
      </c>
      <c r="I139" s="19">
        <v>107</v>
      </c>
      <c r="J139" s="4">
        <f>'Форма 2'!I497</f>
        <v>5417303.2400000002</v>
      </c>
      <c r="K139" s="4">
        <v>0</v>
      </c>
      <c r="L139" s="4">
        <v>0</v>
      </c>
      <c r="M139" s="4">
        <v>0</v>
      </c>
      <c r="N139" s="4">
        <f t="shared" si="18"/>
        <v>5188276.04</v>
      </c>
      <c r="O139" s="4">
        <v>229027.20000000001</v>
      </c>
      <c r="P139" s="4">
        <f t="shared" si="19"/>
        <v>1611.7</v>
      </c>
      <c r="Q139" s="4">
        <f>'Форма 2'!K497</f>
        <v>2831</v>
      </c>
      <c r="R139" s="53" t="s">
        <v>153</v>
      </c>
      <c r="S139" s="5">
        <v>1</v>
      </c>
      <c r="T139" s="1"/>
      <c r="V139" s="1"/>
      <c r="W139" s="1"/>
    </row>
    <row r="140" spans="1:23" s="2" customFormat="1" ht="15.75" customHeight="1" x14ac:dyDescent="0.35">
      <c r="A140" s="20">
        <f t="shared" si="20"/>
        <v>37</v>
      </c>
      <c r="B140" s="20">
        <v>362</v>
      </c>
      <c r="C140" s="61" t="s">
        <v>296</v>
      </c>
      <c r="D140" s="60">
        <v>1961</v>
      </c>
      <c r="E140" s="25" t="s">
        <v>74</v>
      </c>
      <c r="F140" s="25" t="s">
        <v>155</v>
      </c>
      <c r="G140" s="4">
        <v>678.6</v>
      </c>
      <c r="H140" s="4">
        <v>632.6</v>
      </c>
      <c r="I140" s="19">
        <v>40</v>
      </c>
      <c r="J140" s="4">
        <f>'Форма 2'!I500</f>
        <v>2925112.4</v>
      </c>
      <c r="K140" s="4">
        <v>0</v>
      </c>
      <c r="L140" s="4">
        <v>0</v>
      </c>
      <c r="M140" s="4">
        <v>0</v>
      </c>
      <c r="N140" s="4">
        <f t="shared" si="18"/>
        <v>2821257.41</v>
      </c>
      <c r="O140" s="4">
        <v>103854.99</v>
      </c>
      <c r="P140" s="4">
        <f t="shared" si="19"/>
        <v>4623.95</v>
      </c>
      <c r="Q140" s="4">
        <f>'Форма 2'!K500</f>
        <v>7066</v>
      </c>
      <c r="R140" s="53" t="s">
        <v>153</v>
      </c>
      <c r="S140" s="5">
        <v>1</v>
      </c>
      <c r="T140" s="1"/>
      <c r="V140" s="1"/>
      <c r="W140" s="1"/>
    </row>
    <row r="141" spans="1:23" s="2" customFormat="1" ht="15.75" customHeight="1" x14ac:dyDescent="0.35">
      <c r="A141" s="20">
        <f t="shared" si="20"/>
        <v>38</v>
      </c>
      <c r="B141" s="20">
        <v>465</v>
      </c>
      <c r="C141" s="61" t="s">
        <v>297</v>
      </c>
      <c r="D141" s="60">
        <v>1964</v>
      </c>
      <c r="E141" s="25" t="s">
        <v>74</v>
      </c>
      <c r="F141" s="25" t="s">
        <v>155</v>
      </c>
      <c r="G141" s="4">
        <v>667</v>
      </c>
      <c r="H141" s="4">
        <v>620.79999999999995</v>
      </c>
      <c r="I141" s="19">
        <v>34</v>
      </c>
      <c r="J141" s="4">
        <f>'Форма 2'!I503</f>
        <v>2945000.09</v>
      </c>
      <c r="K141" s="4">
        <v>0</v>
      </c>
      <c r="L141" s="4">
        <v>0</v>
      </c>
      <c r="M141" s="4">
        <v>0</v>
      </c>
      <c r="N141" s="4">
        <f t="shared" si="18"/>
        <v>2841045.18</v>
      </c>
      <c r="O141" s="4">
        <v>103954.91</v>
      </c>
      <c r="P141" s="4">
        <f t="shared" si="19"/>
        <v>4743.88</v>
      </c>
      <c r="Q141" s="4">
        <f>'Форма 2'!K503</f>
        <v>7066</v>
      </c>
      <c r="R141" s="53" t="s">
        <v>153</v>
      </c>
      <c r="S141" s="5">
        <v>1</v>
      </c>
      <c r="T141" s="1"/>
      <c r="V141" s="1"/>
      <c r="W141" s="1"/>
    </row>
    <row r="142" spans="1:23" s="2" customFormat="1" ht="15.75" customHeight="1" x14ac:dyDescent="0.35">
      <c r="A142" s="20">
        <f t="shared" si="20"/>
        <v>39</v>
      </c>
      <c r="B142" s="20">
        <v>296</v>
      </c>
      <c r="C142" s="61" t="s">
        <v>298</v>
      </c>
      <c r="D142" s="60">
        <v>1958</v>
      </c>
      <c r="E142" s="25" t="s">
        <v>74</v>
      </c>
      <c r="F142" s="25" t="s">
        <v>155</v>
      </c>
      <c r="G142" s="4">
        <v>2415.8000000000002</v>
      </c>
      <c r="H142" s="4">
        <v>1337.8</v>
      </c>
      <c r="I142" s="19">
        <v>47</v>
      </c>
      <c r="J142" s="4">
        <f>'Форма 2'!I506</f>
        <v>6751531.5999999996</v>
      </c>
      <c r="K142" s="4">
        <v>0</v>
      </c>
      <c r="L142" s="4">
        <v>0</v>
      </c>
      <c r="M142" s="4">
        <v>0</v>
      </c>
      <c r="N142" s="4">
        <f t="shared" si="18"/>
        <v>6507404.2400000002</v>
      </c>
      <c r="O142" s="4">
        <v>244127.35999999999</v>
      </c>
      <c r="P142" s="4">
        <f t="shared" si="19"/>
        <v>5046.74</v>
      </c>
      <c r="Q142" s="4">
        <f>'Форма 2'!K506</f>
        <v>7066</v>
      </c>
      <c r="R142" s="53" t="s">
        <v>153</v>
      </c>
      <c r="S142" s="5">
        <v>1</v>
      </c>
      <c r="T142" s="1"/>
      <c r="V142" s="1"/>
      <c r="W142" s="1"/>
    </row>
    <row r="143" spans="1:23" s="2" customFormat="1" ht="15.75" customHeight="1" x14ac:dyDescent="0.35">
      <c r="A143" s="20">
        <f t="shared" si="20"/>
        <v>40</v>
      </c>
      <c r="B143" s="20">
        <v>532</v>
      </c>
      <c r="C143" s="61" t="s">
        <v>299</v>
      </c>
      <c r="D143" s="60">
        <v>1967</v>
      </c>
      <c r="E143" s="25" t="s">
        <v>74</v>
      </c>
      <c r="F143" s="25" t="s">
        <v>160</v>
      </c>
      <c r="G143" s="4">
        <v>3940.36</v>
      </c>
      <c r="H143" s="4">
        <v>3750.3</v>
      </c>
      <c r="I143" s="19">
        <v>228</v>
      </c>
      <c r="J143" s="4">
        <f>'Форма 2'!I509</f>
        <v>2934509.96</v>
      </c>
      <c r="K143" s="4">
        <v>0</v>
      </c>
      <c r="L143" s="4">
        <v>0</v>
      </c>
      <c r="M143" s="4">
        <v>0</v>
      </c>
      <c r="N143" s="4">
        <f t="shared" si="18"/>
        <v>2815820.14</v>
      </c>
      <c r="O143" s="4">
        <v>118689.82</v>
      </c>
      <c r="P143" s="4">
        <f t="shared" si="19"/>
        <v>782.47</v>
      </c>
      <c r="Q143" s="4">
        <f>'Форма 2'!K509</f>
        <v>2936</v>
      </c>
      <c r="R143" s="53" t="s">
        <v>161</v>
      </c>
      <c r="S143" s="5">
        <v>1</v>
      </c>
      <c r="T143" s="1"/>
      <c r="V143" s="1"/>
      <c r="W143" s="1"/>
    </row>
    <row r="144" spans="1:23" s="2" customFormat="1" ht="15.75" customHeight="1" x14ac:dyDescent="0.35">
      <c r="A144" s="20">
        <f t="shared" si="20"/>
        <v>41</v>
      </c>
      <c r="B144" s="20">
        <v>588</v>
      </c>
      <c r="C144" s="61" t="s">
        <v>300</v>
      </c>
      <c r="D144" s="60">
        <v>1972</v>
      </c>
      <c r="E144" s="25" t="s">
        <v>74</v>
      </c>
      <c r="F144" s="25" t="s">
        <v>160</v>
      </c>
      <c r="G144" s="4">
        <v>2356.1</v>
      </c>
      <c r="H144" s="4">
        <v>1171.8</v>
      </c>
      <c r="I144" s="19">
        <v>75</v>
      </c>
      <c r="J144" s="4">
        <f>'Форма 2'!I512</f>
        <v>1165275.05</v>
      </c>
      <c r="K144" s="4">
        <v>0</v>
      </c>
      <c r="L144" s="4">
        <v>0</v>
      </c>
      <c r="M144" s="4">
        <v>0</v>
      </c>
      <c r="N144" s="4">
        <f t="shared" si="18"/>
        <v>1128189.82</v>
      </c>
      <c r="O144" s="4">
        <v>37085.230000000003</v>
      </c>
      <c r="P144" s="4">
        <f t="shared" si="19"/>
        <v>994.43</v>
      </c>
      <c r="Q144" s="4">
        <f>'Форма 2'!K512</f>
        <v>2936</v>
      </c>
      <c r="R144" s="53" t="s">
        <v>161</v>
      </c>
      <c r="S144" s="5">
        <v>1</v>
      </c>
      <c r="T144" s="1"/>
      <c r="V144" s="1"/>
      <c r="W144" s="1"/>
    </row>
    <row r="145" spans="1:23" s="2" customFormat="1" ht="15.75" customHeight="1" x14ac:dyDescent="0.35">
      <c r="A145" s="20">
        <f t="shared" si="20"/>
        <v>42</v>
      </c>
      <c r="B145" s="20">
        <v>667</v>
      </c>
      <c r="C145" s="61" t="s">
        <v>301</v>
      </c>
      <c r="D145" s="60">
        <v>1978</v>
      </c>
      <c r="E145" s="25" t="s">
        <v>74</v>
      </c>
      <c r="F145" s="25" t="s">
        <v>152</v>
      </c>
      <c r="G145" s="4">
        <v>2576.64</v>
      </c>
      <c r="H145" s="4">
        <v>2331.8000000000002</v>
      </c>
      <c r="I145" s="19">
        <v>79</v>
      </c>
      <c r="J145" s="4">
        <f>'Форма 2'!I515</f>
        <v>373034.39</v>
      </c>
      <c r="K145" s="4">
        <v>0</v>
      </c>
      <c r="L145" s="4">
        <v>0</v>
      </c>
      <c r="M145" s="4">
        <v>0</v>
      </c>
      <c r="N145" s="4">
        <f t="shared" si="18"/>
        <v>359486.34</v>
      </c>
      <c r="O145" s="4">
        <v>13548.05</v>
      </c>
      <c r="P145" s="4">
        <f t="shared" si="19"/>
        <v>159.97999999999999</v>
      </c>
      <c r="Q145" s="4">
        <f>'Форма 2'!K515</f>
        <v>164</v>
      </c>
      <c r="R145" s="53" t="s">
        <v>153</v>
      </c>
      <c r="S145" s="5">
        <v>1</v>
      </c>
      <c r="T145" s="1"/>
      <c r="V145" s="1"/>
      <c r="W145" s="1"/>
    </row>
    <row r="146" spans="1:23" s="2" customFormat="1" ht="15.75" customHeight="1" x14ac:dyDescent="0.35">
      <c r="A146" s="20">
        <f t="shared" si="20"/>
        <v>43</v>
      </c>
      <c r="B146" s="20">
        <v>554</v>
      </c>
      <c r="C146" s="61" t="s">
        <v>302</v>
      </c>
      <c r="D146" s="60">
        <v>1969</v>
      </c>
      <c r="E146" s="25" t="s">
        <v>263</v>
      </c>
      <c r="F146" s="25" t="s">
        <v>160</v>
      </c>
      <c r="G146" s="4">
        <v>3834</v>
      </c>
      <c r="H146" s="4">
        <v>3545.5</v>
      </c>
      <c r="I146" s="19">
        <v>127</v>
      </c>
      <c r="J146" s="4">
        <f>'Форма 2'!I517</f>
        <v>3195891.68</v>
      </c>
      <c r="K146" s="4">
        <v>0</v>
      </c>
      <c r="L146" s="4">
        <v>0</v>
      </c>
      <c r="M146" s="4">
        <v>0</v>
      </c>
      <c r="N146" s="4">
        <f t="shared" si="18"/>
        <v>3114031.04</v>
      </c>
      <c r="O146" s="4">
        <v>81860.639999999999</v>
      </c>
      <c r="P146" s="4">
        <f t="shared" si="19"/>
        <v>901.39</v>
      </c>
      <c r="Q146" s="4">
        <f>'Форма 2'!K517</f>
        <v>3121</v>
      </c>
      <c r="R146" s="53" t="s">
        <v>161</v>
      </c>
      <c r="S146" s="5">
        <v>1</v>
      </c>
      <c r="T146" s="1"/>
      <c r="V146" s="1"/>
      <c r="W146" s="1"/>
    </row>
    <row r="147" spans="1:23" s="2" customFormat="1" ht="15.75" customHeight="1" x14ac:dyDescent="0.35">
      <c r="A147" s="20">
        <f t="shared" si="20"/>
        <v>44</v>
      </c>
      <c r="B147" s="20">
        <v>161</v>
      </c>
      <c r="C147" s="61" t="s">
        <v>303</v>
      </c>
      <c r="D147" s="60">
        <v>1951</v>
      </c>
      <c r="E147" s="25" t="s">
        <v>74</v>
      </c>
      <c r="F147" s="25" t="s">
        <v>155</v>
      </c>
      <c r="G147" s="4">
        <v>1853.8</v>
      </c>
      <c r="H147" s="4">
        <v>1724.6</v>
      </c>
      <c r="I147" s="19">
        <v>52</v>
      </c>
      <c r="J147" s="4">
        <f>'Форма 2'!I524</f>
        <v>3709868.22</v>
      </c>
      <c r="K147" s="4">
        <v>0</v>
      </c>
      <c r="L147" s="4">
        <v>0</v>
      </c>
      <c r="M147" s="4">
        <v>0</v>
      </c>
      <c r="N147" s="4">
        <f t="shared" si="18"/>
        <v>3579330.37</v>
      </c>
      <c r="O147" s="4">
        <v>130537.85</v>
      </c>
      <c r="P147" s="4">
        <f t="shared" si="19"/>
        <v>2151.15</v>
      </c>
      <c r="Q147" s="4">
        <f>'Форма 2'!K524</f>
        <v>4728</v>
      </c>
      <c r="R147" s="53" t="s">
        <v>153</v>
      </c>
      <c r="S147" s="5">
        <v>1</v>
      </c>
      <c r="T147" s="1"/>
      <c r="V147" s="1"/>
      <c r="W147" s="1"/>
    </row>
    <row r="148" spans="1:23" s="2" customFormat="1" ht="15.75" customHeight="1" x14ac:dyDescent="0.35">
      <c r="A148" s="20">
        <f t="shared" si="20"/>
        <v>45</v>
      </c>
      <c r="B148" s="20">
        <v>576</v>
      </c>
      <c r="C148" s="61" t="s">
        <v>304</v>
      </c>
      <c r="D148" s="60">
        <v>1970</v>
      </c>
      <c r="E148" s="25" t="s">
        <v>74</v>
      </c>
      <c r="F148" s="25" t="s">
        <v>160</v>
      </c>
      <c r="G148" s="4">
        <v>3161.6</v>
      </c>
      <c r="H148" s="4">
        <v>2984.6</v>
      </c>
      <c r="I148" s="19">
        <v>198</v>
      </c>
      <c r="J148" s="4">
        <f>'Форма 2'!I527</f>
        <v>2506567.7000000002</v>
      </c>
      <c r="K148" s="4">
        <v>0</v>
      </c>
      <c r="L148" s="4">
        <v>0</v>
      </c>
      <c r="M148" s="4">
        <v>0</v>
      </c>
      <c r="N148" s="4">
        <f t="shared" si="18"/>
        <v>2412110.8199999998</v>
      </c>
      <c r="O148" s="4">
        <v>94456.88</v>
      </c>
      <c r="P148" s="4">
        <f t="shared" si="19"/>
        <v>839.83</v>
      </c>
      <c r="Q148" s="4">
        <f>'Форма 2'!K527</f>
        <v>2936</v>
      </c>
      <c r="R148" s="53" t="s">
        <v>161</v>
      </c>
      <c r="S148" s="5">
        <v>1</v>
      </c>
      <c r="T148" s="1"/>
      <c r="V148" s="1"/>
      <c r="W148" s="1"/>
    </row>
    <row r="149" spans="1:23" s="2" customFormat="1" ht="15.75" customHeight="1" x14ac:dyDescent="0.35">
      <c r="A149" s="20">
        <f t="shared" si="20"/>
        <v>46</v>
      </c>
      <c r="B149" s="20">
        <v>587</v>
      </c>
      <c r="C149" s="61" t="s">
        <v>305</v>
      </c>
      <c r="D149" s="60">
        <v>1972</v>
      </c>
      <c r="E149" s="25" t="s">
        <v>74</v>
      </c>
      <c r="F149" s="25" t="s">
        <v>160</v>
      </c>
      <c r="G149" s="4">
        <v>1950</v>
      </c>
      <c r="H149" s="4">
        <v>1802</v>
      </c>
      <c r="I149" s="19">
        <v>84</v>
      </c>
      <c r="J149" s="4">
        <f>'Форма 2'!I530</f>
        <v>1706791.17</v>
      </c>
      <c r="K149" s="4">
        <v>0</v>
      </c>
      <c r="L149" s="4">
        <v>0</v>
      </c>
      <c r="M149" s="4">
        <v>0</v>
      </c>
      <c r="N149" s="4">
        <f t="shared" si="18"/>
        <v>1649761.32</v>
      </c>
      <c r="O149" s="4">
        <v>57029.85</v>
      </c>
      <c r="P149" s="4">
        <f t="shared" si="19"/>
        <v>947.16</v>
      </c>
      <c r="Q149" s="4">
        <f>'Форма 2'!K530</f>
        <v>2936</v>
      </c>
      <c r="R149" s="53" t="s">
        <v>161</v>
      </c>
      <c r="S149" s="5">
        <v>1</v>
      </c>
      <c r="T149" s="1"/>
      <c r="V149" s="1"/>
      <c r="W149" s="1"/>
    </row>
    <row r="150" spans="1:23" s="2" customFormat="1" ht="15.75" customHeight="1" x14ac:dyDescent="0.35">
      <c r="A150" s="20">
        <f t="shared" si="20"/>
        <v>47</v>
      </c>
      <c r="B150" s="20">
        <v>746</v>
      </c>
      <c r="C150" s="61" t="s">
        <v>306</v>
      </c>
      <c r="D150" s="60">
        <v>1982</v>
      </c>
      <c r="E150" s="25" t="s">
        <v>74</v>
      </c>
      <c r="F150" s="25" t="s">
        <v>152</v>
      </c>
      <c r="G150" s="4">
        <v>3456.7</v>
      </c>
      <c r="H150" s="4">
        <v>2801.8</v>
      </c>
      <c r="I150" s="19">
        <v>185</v>
      </c>
      <c r="J150" s="4">
        <f>'Форма 2'!I533</f>
        <v>251696.6</v>
      </c>
      <c r="K150" s="4">
        <v>0</v>
      </c>
      <c r="L150" s="4">
        <v>0</v>
      </c>
      <c r="M150" s="4">
        <v>0</v>
      </c>
      <c r="N150" s="4">
        <f t="shared" si="18"/>
        <v>236897.69</v>
      </c>
      <c r="O150" s="4">
        <v>14798.91</v>
      </c>
      <c r="P150" s="4">
        <f t="shared" si="19"/>
        <v>89.83</v>
      </c>
      <c r="Q150" s="4">
        <f>'Форма 2'!K533</f>
        <v>164</v>
      </c>
      <c r="R150" s="53" t="s">
        <v>153</v>
      </c>
      <c r="S150" s="5">
        <v>1</v>
      </c>
      <c r="T150" s="1"/>
      <c r="V150" s="1"/>
      <c r="W150" s="1"/>
    </row>
    <row r="151" spans="1:23" s="2" customFormat="1" ht="15.75" customHeight="1" x14ac:dyDescent="0.35">
      <c r="A151" s="20">
        <f t="shared" si="20"/>
        <v>48</v>
      </c>
      <c r="B151" s="20">
        <v>294</v>
      </c>
      <c r="C151" s="61" t="s">
        <v>307</v>
      </c>
      <c r="D151" s="60">
        <v>1958</v>
      </c>
      <c r="E151" s="25" t="s">
        <v>308</v>
      </c>
      <c r="F151" s="25" t="s">
        <v>155</v>
      </c>
      <c r="G151" s="4">
        <v>4068.1</v>
      </c>
      <c r="H151" s="4">
        <v>3808.2</v>
      </c>
      <c r="I151" s="19">
        <v>77</v>
      </c>
      <c r="J151" s="4">
        <f>'Форма 2'!I535</f>
        <v>13254816.98</v>
      </c>
      <c r="K151" s="4">
        <v>0</v>
      </c>
      <c r="L151" s="4">
        <v>0</v>
      </c>
      <c r="M151" s="4">
        <v>0</v>
      </c>
      <c r="N151" s="4">
        <f t="shared" si="18"/>
        <v>12813420.76</v>
      </c>
      <c r="O151" s="4">
        <v>441396.22</v>
      </c>
      <c r="P151" s="4">
        <f t="shared" si="19"/>
        <v>3480.6</v>
      </c>
      <c r="Q151" s="4">
        <f>'Форма 2'!K535</f>
        <v>5771</v>
      </c>
      <c r="R151" s="53" t="s">
        <v>153</v>
      </c>
      <c r="S151" s="5">
        <v>1</v>
      </c>
      <c r="T151" s="1"/>
      <c r="V151" s="1"/>
      <c r="W151" s="1"/>
    </row>
    <row r="152" spans="1:23" s="2" customFormat="1" ht="15.75" customHeight="1" x14ac:dyDescent="0.35">
      <c r="A152" s="20">
        <f t="shared" si="20"/>
        <v>49</v>
      </c>
      <c r="B152" s="20">
        <v>326</v>
      </c>
      <c r="C152" s="61" t="s">
        <v>309</v>
      </c>
      <c r="D152" s="60">
        <v>1959</v>
      </c>
      <c r="E152" s="25" t="s">
        <v>74</v>
      </c>
      <c r="F152" s="25" t="s">
        <v>155</v>
      </c>
      <c r="G152" s="4">
        <v>1992.7</v>
      </c>
      <c r="H152" s="4">
        <v>1786.7</v>
      </c>
      <c r="I152" s="19">
        <v>62</v>
      </c>
      <c r="J152" s="4">
        <f>'Форма 2'!I540</f>
        <v>2988763.42</v>
      </c>
      <c r="K152" s="4">
        <v>0</v>
      </c>
      <c r="L152" s="4">
        <v>0</v>
      </c>
      <c r="M152" s="4">
        <v>0</v>
      </c>
      <c r="N152" s="4">
        <f t="shared" si="18"/>
        <v>2872434.46</v>
      </c>
      <c r="O152" s="4">
        <v>116328.96000000001</v>
      </c>
      <c r="P152" s="4">
        <f t="shared" si="19"/>
        <v>1672.78</v>
      </c>
      <c r="Q152" s="4">
        <f>'Форма 2'!K540</f>
        <v>2831</v>
      </c>
      <c r="R152" s="53" t="s">
        <v>153</v>
      </c>
      <c r="S152" s="5">
        <v>1</v>
      </c>
      <c r="T152" s="1"/>
      <c r="V152" s="1"/>
      <c r="W152" s="1"/>
    </row>
    <row r="153" spans="1:23" s="2" customFormat="1" ht="46.5" x14ac:dyDescent="0.35">
      <c r="A153" s="20">
        <f t="shared" si="20"/>
        <v>50</v>
      </c>
      <c r="B153" s="20">
        <v>774</v>
      </c>
      <c r="C153" s="61" t="s">
        <v>310</v>
      </c>
      <c r="D153" s="25" t="s">
        <v>311</v>
      </c>
      <c r="E153" s="25" t="s">
        <v>263</v>
      </c>
      <c r="F153" s="25" t="s">
        <v>152</v>
      </c>
      <c r="G153" s="4">
        <v>15418.66</v>
      </c>
      <c r="H153" s="4">
        <v>14583.46</v>
      </c>
      <c r="I153" s="19">
        <v>518</v>
      </c>
      <c r="J153" s="4">
        <f>'Форма 2'!I543</f>
        <v>736161.9</v>
      </c>
      <c r="K153" s="4">
        <v>0</v>
      </c>
      <c r="L153" s="4">
        <v>0</v>
      </c>
      <c r="M153" s="4">
        <v>0</v>
      </c>
      <c r="N153" s="4">
        <f t="shared" si="18"/>
        <v>695381.93</v>
      </c>
      <c r="O153" s="4">
        <v>40779.97</v>
      </c>
      <c r="P153" s="4">
        <f t="shared" si="19"/>
        <v>50.48</v>
      </c>
      <c r="Q153" s="4">
        <f>'Форма 2'!K543</f>
        <v>92</v>
      </c>
      <c r="R153" s="53" t="s">
        <v>153</v>
      </c>
      <c r="S153" s="5">
        <v>1</v>
      </c>
      <c r="T153" s="1"/>
      <c r="V153" s="1"/>
      <c r="W153" s="1"/>
    </row>
    <row r="154" spans="1:23" s="2" customFormat="1" ht="15.75" customHeight="1" x14ac:dyDescent="0.35">
      <c r="A154" s="20">
        <f>A153+1</f>
        <v>51</v>
      </c>
      <c r="B154" s="20">
        <v>453</v>
      </c>
      <c r="C154" s="61" t="s">
        <v>313</v>
      </c>
      <c r="D154" s="60">
        <v>1963</v>
      </c>
      <c r="E154" s="25" t="s">
        <v>74</v>
      </c>
      <c r="F154" s="25" t="s">
        <v>152</v>
      </c>
      <c r="G154" s="4">
        <v>2714.9</v>
      </c>
      <c r="H154" s="4">
        <v>2382.92</v>
      </c>
      <c r="I154" s="19">
        <v>84</v>
      </c>
      <c r="J154" s="4">
        <f>'Форма 2'!I547</f>
        <v>218437.83</v>
      </c>
      <c r="K154" s="4">
        <v>0</v>
      </c>
      <c r="L154" s="4">
        <v>0</v>
      </c>
      <c r="M154" s="4">
        <v>0</v>
      </c>
      <c r="N154" s="4">
        <f t="shared" si="18"/>
        <v>204592.77</v>
      </c>
      <c r="O154" s="4">
        <v>13845.06</v>
      </c>
      <c r="P154" s="4">
        <f t="shared" si="19"/>
        <v>91.67</v>
      </c>
      <c r="Q154" s="4">
        <f>'Форма 2'!K547</f>
        <v>164</v>
      </c>
      <c r="R154" s="53" t="s">
        <v>153</v>
      </c>
      <c r="S154" s="5">
        <v>1</v>
      </c>
      <c r="T154" s="1"/>
      <c r="V154" s="1"/>
      <c r="W154" s="1"/>
    </row>
    <row r="155" spans="1:23" s="2" customFormat="1" ht="15.75" customHeight="1" x14ac:dyDescent="0.35">
      <c r="A155" s="20">
        <f t="shared" si="20"/>
        <v>52</v>
      </c>
      <c r="B155" s="20">
        <v>370</v>
      </c>
      <c r="C155" s="61" t="s">
        <v>314</v>
      </c>
      <c r="D155" s="60">
        <v>1961</v>
      </c>
      <c r="E155" s="25" t="s">
        <v>74</v>
      </c>
      <c r="F155" s="25" t="s">
        <v>155</v>
      </c>
      <c r="G155" s="4">
        <v>3478.4</v>
      </c>
      <c r="H155" s="4">
        <v>3194.4</v>
      </c>
      <c r="I155" s="19">
        <v>101</v>
      </c>
      <c r="J155" s="4">
        <f>'Форма 2'!I549</f>
        <v>6434047.6200000001</v>
      </c>
      <c r="K155" s="4">
        <v>0</v>
      </c>
      <c r="L155" s="4">
        <v>0</v>
      </c>
      <c r="M155" s="4">
        <v>0</v>
      </c>
      <c r="N155" s="4">
        <f t="shared" si="18"/>
        <v>6204978.8600000003</v>
      </c>
      <c r="O155" s="4">
        <v>229068.76</v>
      </c>
      <c r="P155" s="4">
        <f t="shared" si="19"/>
        <v>2014.16</v>
      </c>
      <c r="Q155" s="4">
        <f>'Форма 2'!K549</f>
        <v>2831</v>
      </c>
      <c r="R155" s="53" t="s">
        <v>153</v>
      </c>
      <c r="S155" s="5">
        <v>1</v>
      </c>
      <c r="T155" s="1"/>
      <c r="V155" s="1"/>
      <c r="W155" s="1"/>
    </row>
    <row r="156" spans="1:23" s="64" customFormat="1" ht="31" x14ac:dyDescent="0.35">
      <c r="A156" s="27">
        <f>A155+1</f>
        <v>53</v>
      </c>
      <c r="B156" s="27">
        <v>850</v>
      </c>
      <c r="C156" s="61" t="s">
        <v>315</v>
      </c>
      <c r="D156" s="25">
        <v>1989</v>
      </c>
      <c r="E156" s="25" t="s">
        <v>414</v>
      </c>
      <c r="F156" s="25" t="s">
        <v>152</v>
      </c>
      <c r="G156" s="35">
        <v>2018.5</v>
      </c>
      <c r="H156" s="35">
        <v>1771.5</v>
      </c>
      <c r="I156" s="36">
        <v>78</v>
      </c>
      <c r="J156" s="35">
        <f>'Форма 2'!I552</f>
        <v>364929</v>
      </c>
      <c r="K156" s="35">
        <v>0</v>
      </c>
      <c r="L156" s="35">
        <v>0</v>
      </c>
      <c r="M156" s="35">
        <v>0</v>
      </c>
      <c r="N156" s="35">
        <f t="shared" si="18"/>
        <v>357333.37</v>
      </c>
      <c r="O156" s="35">
        <v>7595.63</v>
      </c>
      <c r="P156" s="35">
        <f t="shared" si="19"/>
        <v>206</v>
      </c>
      <c r="Q156" s="35">
        <f>'Форма 2'!K552</f>
        <v>206</v>
      </c>
      <c r="R156" s="62" t="s">
        <v>153</v>
      </c>
      <c r="S156" s="63">
        <v>1</v>
      </c>
      <c r="T156" s="1"/>
      <c r="V156" s="1"/>
      <c r="W156" s="1"/>
    </row>
    <row r="157" spans="1:23" s="64" customFormat="1" ht="31" x14ac:dyDescent="0.35">
      <c r="A157" s="27">
        <f t="shared" si="20"/>
        <v>54</v>
      </c>
      <c r="B157" s="27">
        <v>544</v>
      </c>
      <c r="C157" s="61" t="s">
        <v>316</v>
      </c>
      <c r="D157" s="25" t="s">
        <v>317</v>
      </c>
      <c r="E157" s="25" t="s">
        <v>414</v>
      </c>
      <c r="F157" s="25" t="s">
        <v>155</v>
      </c>
      <c r="G157" s="35">
        <v>5336.62</v>
      </c>
      <c r="H157" s="35">
        <v>4948.3</v>
      </c>
      <c r="I157" s="36">
        <v>196</v>
      </c>
      <c r="J157" s="35">
        <f>'Форма 2'!I557</f>
        <v>13422957.84</v>
      </c>
      <c r="K157" s="35">
        <v>0</v>
      </c>
      <c r="L157" s="35">
        <v>0</v>
      </c>
      <c r="M157" s="35">
        <v>0</v>
      </c>
      <c r="N157" s="35">
        <f t="shared" si="18"/>
        <v>12878240.800000001</v>
      </c>
      <c r="O157" s="35">
        <v>544717.04</v>
      </c>
      <c r="P157" s="35">
        <f t="shared" si="19"/>
        <v>2712.64</v>
      </c>
      <c r="Q157" s="35">
        <f>'Форма 2'!K557</f>
        <v>4256</v>
      </c>
      <c r="R157" s="62" t="s">
        <v>153</v>
      </c>
      <c r="S157" s="63">
        <v>1</v>
      </c>
      <c r="T157" s="1"/>
      <c r="V157" s="1"/>
      <c r="W157" s="1"/>
    </row>
    <row r="158" spans="1:23" s="2" customFormat="1" x14ac:dyDescent="0.35">
      <c r="A158" s="20">
        <f t="shared" si="20"/>
        <v>55</v>
      </c>
      <c r="B158" s="20">
        <v>555</v>
      </c>
      <c r="C158" s="61" t="s">
        <v>318</v>
      </c>
      <c r="D158" s="60">
        <v>1969</v>
      </c>
      <c r="E158" s="25" t="s">
        <v>230</v>
      </c>
      <c r="F158" s="25" t="s">
        <v>152</v>
      </c>
      <c r="G158" s="4">
        <v>2721.2</v>
      </c>
      <c r="H158" s="4">
        <v>2510.5</v>
      </c>
      <c r="I158" s="19">
        <v>127</v>
      </c>
      <c r="J158" s="4">
        <f>'Форма 2'!I566</f>
        <v>90378</v>
      </c>
      <c r="K158" s="4">
        <v>0</v>
      </c>
      <c r="L158" s="4">
        <v>0</v>
      </c>
      <c r="M158" s="4">
        <v>0</v>
      </c>
      <c r="N158" s="4">
        <f t="shared" si="18"/>
        <v>20410.48</v>
      </c>
      <c r="O158" s="4">
        <v>69967.520000000004</v>
      </c>
      <c r="P158" s="4">
        <f t="shared" si="19"/>
        <v>36</v>
      </c>
      <c r="Q158" s="4">
        <f>'Форма 2'!K566</f>
        <v>36</v>
      </c>
      <c r="R158" s="53" t="s">
        <v>153</v>
      </c>
      <c r="S158" s="5">
        <v>1</v>
      </c>
      <c r="T158" s="1"/>
      <c r="V158" s="1"/>
      <c r="W158" s="1"/>
    </row>
    <row r="159" spans="1:23" s="2" customFormat="1" x14ac:dyDescent="0.35">
      <c r="A159" s="20">
        <f t="shared" si="20"/>
        <v>56</v>
      </c>
      <c r="B159" s="20">
        <v>508</v>
      </c>
      <c r="C159" s="61" t="s">
        <v>319</v>
      </c>
      <c r="D159" s="60">
        <v>1965</v>
      </c>
      <c r="E159" s="25" t="s">
        <v>74</v>
      </c>
      <c r="F159" s="25" t="s">
        <v>160</v>
      </c>
      <c r="G159" s="4">
        <v>2757.88</v>
      </c>
      <c r="H159" s="4">
        <v>2539.88</v>
      </c>
      <c r="I159" s="19">
        <v>116</v>
      </c>
      <c r="J159" s="4">
        <f>'Форма 2'!I568</f>
        <v>1757657.31</v>
      </c>
      <c r="K159" s="4">
        <v>0</v>
      </c>
      <c r="L159" s="4">
        <v>0</v>
      </c>
      <c r="M159" s="4">
        <v>0</v>
      </c>
      <c r="N159" s="4">
        <f t="shared" si="18"/>
        <v>1677274.97</v>
      </c>
      <c r="O159" s="4">
        <v>80382.34</v>
      </c>
      <c r="P159" s="4">
        <f t="shared" si="19"/>
        <v>692.02</v>
      </c>
      <c r="Q159" s="4">
        <f>'Форма 2'!K568</f>
        <v>2936</v>
      </c>
      <c r="R159" s="53" t="s">
        <v>161</v>
      </c>
      <c r="S159" s="5">
        <v>1</v>
      </c>
      <c r="T159" s="1"/>
      <c r="V159" s="1"/>
      <c r="W159" s="1"/>
    </row>
    <row r="160" spans="1:23" s="2" customFormat="1" x14ac:dyDescent="0.35">
      <c r="A160" s="20">
        <f t="shared" si="20"/>
        <v>57</v>
      </c>
      <c r="B160" s="20">
        <v>676</v>
      </c>
      <c r="C160" s="61" t="s">
        <v>320</v>
      </c>
      <c r="D160" s="60">
        <v>1979</v>
      </c>
      <c r="E160" s="25" t="s">
        <v>74</v>
      </c>
      <c r="F160" s="25" t="s">
        <v>152</v>
      </c>
      <c r="G160" s="4">
        <v>6618.3</v>
      </c>
      <c r="H160" s="4">
        <v>4445.2</v>
      </c>
      <c r="I160" s="19">
        <v>292</v>
      </c>
      <c r="J160" s="4">
        <f>'Форма 2'!I571</f>
        <v>305258.11</v>
      </c>
      <c r="K160" s="4">
        <v>0</v>
      </c>
      <c r="L160" s="4">
        <v>0</v>
      </c>
      <c r="M160" s="4">
        <v>0</v>
      </c>
      <c r="N160" s="4">
        <f t="shared" si="18"/>
        <v>281778.87</v>
      </c>
      <c r="O160" s="4">
        <v>23479.24</v>
      </c>
      <c r="P160" s="4">
        <f t="shared" si="19"/>
        <v>68.67</v>
      </c>
      <c r="Q160" s="4">
        <f>'Форма 2'!K571</f>
        <v>164</v>
      </c>
      <c r="R160" s="53" t="s">
        <v>153</v>
      </c>
      <c r="S160" s="5">
        <v>1</v>
      </c>
      <c r="T160" s="1"/>
      <c r="V160" s="1"/>
      <c r="W160" s="1"/>
    </row>
    <row r="161" spans="1:23" s="2" customFormat="1" x14ac:dyDescent="0.35">
      <c r="A161" s="20">
        <f t="shared" si="20"/>
        <v>58</v>
      </c>
      <c r="B161" s="20">
        <v>610</v>
      </c>
      <c r="C161" s="61" t="s">
        <v>321</v>
      </c>
      <c r="D161" s="60">
        <v>1973</v>
      </c>
      <c r="E161" s="25" t="s">
        <v>74</v>
      </c>
      <c r="F161" s="25" t="s">
        <v>160</v>
      </c>
      <c r="G161" s="4">
        <v>2230.1799999999998</v>
      </c>
      <c r="H161" s="4">
        <v>2077.6</v>
      </c>
      <c r="I161" s="19">
        <v>67</v>
      </c>
      <c r="J161" s="4">
        <f>'Форма 2'!I573</f>
        <v>1950407.41</v>
      </c>
      <c r="K161" s="4">
        <v>0</v>
      </c>
      <c r="L161" s="4">
        <v>0</v>
      </c>
      <c r="M161" s="4">
        <v>0</v>
      </c>
      <c r="N161" s="4">
        <f t="shared" si="18"/>
        <v>1884655.34</v>
      </c>
      <c r="O161" s="4">
        <v>65752.070000000007</v>
      </c>
      <c r="P161" s="4">
        <f t="shared" si="19"/>
        <v>938.78</v>
      </c>
      <c r="Q161" s="4">
        <f>'Форма 2'!K573</f>
        <v>2936</v>
      </c>
      <c r="R161" s="53" t="s">
        <v>161</v>
      </c>
      <c r="S161" s="5">
        <v>1</v>
      </c>
      <c r="T161" s="1"/>
      <c r="V161" s="1"/>
      <c r="W161" s="1"/>
    </row>
    <row r="162" spans="1:23" s="2" customFormat="1" x14ac:dyDescent="0.35">
      <c r="A162" s="20">
        <f>A161+1</f>
        <v>59</v>
      </c>
      <c r="B162" s="20">
        <v>352</v>
      </c>
      <c r="C162" s="61" t="s">
        <v>322</v>
      </c>
      <c r="D162" s="60">
        <v>1960</v>
      </c>
      <c r="E162" s="25" t="s">
        <v>74</v>
      </c>
      <c r="F162" s="25" t="s">
        <v>155</v>
      </c>
      <c r="G162" s="4">
        <v>1774.22</v>
      </c>
      <c r="H162" s="4">
        <v>1250.22</v>
      </c>
      <c r="I162" s="19">
        <v>50</v>
      </c>
      <c r="J162" s="4">
        <f>'Форма 2'!I576</f>
        <v>2813404.35</v>
      </c>
      <c r="K162" s="4">
        <v>0</v>
      </c>
      <c r="L162" s="4">
        <v>0</v>
      </c>
      <c r="M162" s="4">
        <v>0</v>
      </c>
      <c r="N162" s="4">
        <f t="shared" si="18"/>
        <v>2697365.8</v>
      </c>
      <c r="O162" s="4">
        <v>116038.55</v>
      </c>
      <c r="P162" s="4">
        <f t="shared" si="19"/>
        <v>2250.33</v>
      </c>
      <c r="Q162" s="4">
        <f>'Форма 2'!K576</f>
        <v>4728</v>
      </c>
      <c r="R162" s="53" t="s">
        <v>153</v>
      </c>
      <c r="S162" s="5">
        <v>1</v>
      </c>
      <c r="T162" s="1"/>
      <c r="V162" s="1"/>
      <c r="W162" s="1"/>
    </row>
    <row r="163" spans="1:23" s="2" customFormat="1" x14ac:dyDescent="0.35">
      <c r="A163" s="236" t="s">
        <v>323</v>
      </c>
      <c r="B163" s="236"/>
      <c r="C163" s="236"/>
      <c r="D163" s="60" t="s">
        <v>13</v>
      </c>
      <c r="E163" s="60" t="s">
        <v>13</v>
      </c>
      <c r="F163" s="60" t="s">
        <v>13</v>
      </c>
      <c r="G163" s="4">
        <f t="shared" ref="G163:O163" si="21">SUM(G164:G196)</f>
        <v>140435.29</v>
      </c>
      <c r="H163" s="4">
        <f t="shared" si="21"/>
        <v>126007.27</v>
      </c>
      <c r="I163" s="19">
        <f t="shared" si="21"/>
        <v>4683</v>
      </c>
      <c r="J163" s="4">
        <f t="shared" si="21"/>
        <v>102728498.3</v>
      </c>
      <c r="K163" s="4">
        <f t="shared" si="21"/>
        <v>0</v>
      </c>
      <c r="L163" s="4">
        <f t="shared" si="21"/>
        <v>0</v>
      </c>
      <c r="M163" s="4">
        <f t="shared" si="21"/>
        <v>0</v>
      </c>
      <c r="N163" s="4">
        <f t="shared" si="21"/>
        <v>99181621.939999998</v>
      </c>
      <c r="O163" s="4">
        <f t="shared" si="21"/>
        <v>3546876.36</v>
      </c>
      <c r="P163" s="60" t="s">
        <v>13</v>
      </c>
      <c r="Q163" s="60" t="s">
        <v>13</v>
      </c>
      <c r="R163" s="60" t="s">
        <v>13</v>
      </c>
      <c r="S163" s="60" t="s">
        <v>13</v>
      </c>
      <c r="T163" s="1"/>
    </row>
    <row r="164" spans="1:23" s="2" customFormat="1" x14ac:dyDescent="0.35">
      <c r="A164" s="20">
        <f>A162+1</f>
        <v>60</v>
      </c>
      <c r="B164" s="20">
        <v>1846</v>
      </c>
      <c r="C164" s="61" t="s">
        <v>324</v>
      </c>
      <c r="D164" s="60">
        <v>1972</v>
      </c>
      <c r="E164" s="25" t="s">
        <v>74</v>
      </c>
      <c r="F164" s="25" t="s">
        <v>160</v>
      </c>
      <c r="G164" s="4">
        <v>4294.7</v>
      </c>
      <c r="H164" s="4">
        <v>3875.5</v>
      </c>
      <c r="I164" s="19">
        <v>146</v>
      </c>
      <c r="J164" s="4">
        <f>'Форма 2'!I579</f>
        <v>4170881.81</v>
      </c>
      <c r="K164" s="4">
        <v>0</v>
      </c>
      <c r="L164" s="4">
        <v>0</v>
      </c>
      <c r="M164" s="4">
        <v>0</v>
      </c>
      <c r="N164" s="4">
        <f t="shared" ref="N164:N196" si="22">J164-K164-L164-M164-O164</f>
        <v>4027338.08</v>
      </c>
      <c r="O164" s="4">
        <v>143543.73000000001</v>
      </c>
      <c r="P164" s="4">
        <f t="shared" ref="P164:P196" si="23">J164/H164</f>
        <v>1076.22</v>
      </c>
      <c r="Q164" s="4">
        <f>'Форма 2'!K579</f>
        <v>3523</v>
      </c>
      <c r="R164" s="53" t="s">
        <v>161</v>
      </c>
      <c r="S164" s="5">
        <v>1</v>
      </c>
      <c r="T164" s="1"/>
      <c r="V164" s="1"/>
      <c r="W164" s="1"/>
    </row>
    <row r="165" spans="1:23" s="2" customFormat="1" x14ac:dyDescent="0.35">
      <c r="A165" s="20">
        <f t="shared" ref="A165:A196" si="24">A164+1</f>
        <v>61</v>
      </c>
      <c r="B165" s="20">
        <v>1938</v>
      </c>
      <c r="C165" s="61" t="s">
        <v>325</v>
      </c>
      <c r="D165" s="60">
        <v>1962</v>
      </c>
      <c r="E165" s="25" t="s">
        <v>74</v>
      </c>
      <c r="F165" s="25" t="s">
        <v>155</v>
      </c>
      <c r="G165" s="4">
        <v>1721.16</v>
      </c>
      <c r="H165" s="4">
        <v>1618</v>
      </c>
      <c r="I165" s="19">
        <v>48</v>
      </c>
      <c r="J165" s="4">
        <f>'Форма 2'!I582</f>
        <v>3557261.5</v>
      </c>
      <c r="K165" s="4">
        <v>0</v>
      </c>
      <c r="L165" s="4">
        <v>0</v>
      </c>
      <c r="M165" s="4">
        <v>0</v>
      </c>
      <c r="N165" s="4">
        <f t="shared" si="22"/>
        <v>3442088.4</v>
      </c>
      <c r="O165" s="4">
        <v>115173.1</v>
      </c>
      <c r="P165" s="4">
        <f t="shared" si="23"/>
        <v>2198.5500000000002</v>
      </c>
      <c r="Q165" s="4">
        <f>'Форма 2'!K582</f>
        <v>4728</v>
      </c>
      <c r="R165" s="53" t="s">
        <v>153</v>
      </c>
      <c r="S165" s="5">
        <v>1</v>
      </c>
      <c r="T165" s="1"/>
      <c r="V165" s="1"/>
      <c r="W165" s="1"/>
    </row>
    <row r="166" spans="1:23" s="2" customFormat="1" x14ac:dyDescent="0.35">
      <c r="A166" s="20">
        <f t="shared" si="24"/>
        <v>62</v>
      </c>
      <c r="B166" s="20">
        <v>1273</v>
      </c>
      <c r="C166" s="61" t="s">
        <v>326</v>
      </c>
      <c r="D166" s="60">
        <v>1961</v>
      </c>
      <c r="E166" s="25" t="s">
        <v>74</v>
      </c>
      <c r="F166" s="25" t="s">
        <v>155</v>
      </c>
      <c r="G166" s="4">
        <v>1375.1</v>
      </c>
      <c r="H166" s="4">
        <v>964</v>
      </c>
      <c r="I166" s="19">
        <v>6</v>
      </c>
      <c r="J166" s="4">
        <f>'Форма 2'!I585</f>
        <v>3115838.77</v>
      </c>
      <c r="K166" s="4">
        <v>0</v>
      </c>
      <c r="L166" s="4">
        <v>0</v>
      </c>
      <c r="M166" s="4">
        <v>0</v>
      </c>
      <c r="N166" s="4">
        <f t="shared" si="22"/>
        <v>3014213.3</v>
      </c>
      <c r="O166" s="4">
        <v>101625.47</v>
      </c>
      <c r="P166" s="4">
        <f t="shared" si="23"/>
        <v>3232.2</v>
      </c>
      <c r="Q166" s="4">
        <f>'Форма 2'!K585</f>
        <v>4728</v>
      </c>
      <c r="R166" s="53" t="s">
        <v>153</v>
      </c>
      <c r="S166" s="5">
        <v>1</v>
      </c>
      <c r="T166" s="1"/>
      <c r="V166" s="1"/>
      <c r="W166" s="1"/>
    </row>
    <row r="167" spans="1:23" s="2" customFormat="1" x14ac:dyDescent="0.35">
      <c r="A167" s="20">
        <f t="shared" si="24"/>
        <v>63</v>
      </c>
      <c r="B167" s="20">
        <v>1858</v>
      </c>
      <c r="C167" s="61" t="s">
        <v>327</v>
      </c>
      <c r="D167" s="60">
        <v>1974</v>
      </c>
      <c r="E167" s="25" t="s">
        <v>74</v>
      </c>
      <c r="F167" s="25" t="s">
        <v>160</v>
      </c>
      <c r="G167" s="4">
        <v>3716.4</v>
      </c>
      <c r="H167" s="4">
        <v>3498.4</v>
      </c>
      <c r="I167" s="19">
        <v>132</v>
      </c>
      <c r="J167" s="4">
        <f>'Форма 2'!I588</f>
        <v>3151244.99</v>
      </c>
      <c r="K167" s="4">
        <v>0</v>
      </c>
      <c r="L167" s="4">
        <v>0</v>
      </c>
      <c r="M167" s="4">
        <v>0</v>
      </c>
      <c r="N167" s="4">
        <f t="shared" si="22"/>
        <v>3040527.32</v>
      </c>
      <c r="O167" s="4">
        <v>110717.67</v>
      </c>
      <c r="P167" s="4">
        <f t="shared" si="23"/>
        <v>900.77</v>
      </c>
      <c r="Q167" s="4">
        <f>'Форма 2'!K588</f>
        <v>2936</v>
      </c>
      <c r="R167" s="53" t="s">
        <v>161</v>
      </c>
      <c r="S167" s="5">
        <v>1</v>
      </c>
      <c r="T167" s="1"/>
      <c r="V167" s="1"/>
      <c r="W167" s="1"/>
    </row>
    <row r="168" spans="1:23" s="2" customFormat="1" x14ac:dyDescent="0.35">
      <c r="A168" s="20">
        <f t="shared" si="24"/>
        <v>64</v>
      </c>
      <c r="B168" s="20">
        <v>1725</v>
      </c>
      <c r="C168" s="61" t="s">
        <v>328</v>
      </c>
      <c r="D168" s="60">
        <v>1832</v>
      </c>
      <c r="E168" s="25" t="s">
        <v>74</v>
      </c>
      <c r="F168" s="25" t="s">
        <v>160</v>
      </c>
      <c r="G168" s="4">
        <v>332.6</v>
      </c>
      <c r="H168" s="4">
        <v>299.2</v>
      </c>
      <c r="I168" s="19">
        <v>14</v>
      </c>
      <c r="J168" s="4">
        <f>'Форма 2'!I591</f>
        <v>661601.71</v>
      </c>
      <c r="K168" s="4">
        <v>0</v>
      </c>
      <c r="L168" s="4">
        <v>0</v>
      </c>
      <c r="M168" s="4">
        <v>0</v>
      </c>
      <c r="N168" s="4">
        <f t="shared" si="22"/>
        <v>644008.1</v>
      </c>
      <c r="O168" s="4">
        <v>17593.61</v>
      </c>
      <c r="P168" s="4">
        <f t="shared" si="23"/>
        <v>2211.2399999999998</v>
      </c>
      <c r="Q168" s="4">
        <f>'Форма 2'!K591</f>
        <v>7096</v>
      </c>
      <c r="R168" s="53" t="s">
        <v>161</v>
      </c>
      <c r="S168" s="5">
        <v>1</v>
      </c>
      <c r="T168" s="1"/>
      <c r="V168" s="1"/>
      <c r="W168" s="1"/>
    </row>
    <row r="169" spans="1:23" s="2" customFormat="1" x14ac:dyDescent="0.35">
      <c r="A169" s="20">
        <f t="shared" si="24"/>
        <v>65</v>
      </c>
      <c r="B169" s="20">
        <v>1557</v>
      </c>
      <c r="C169" s="61" t="s">
        <v>329</v>
      </c>
      <c r="D169" s="60">
        <v>1965</v>
      </c>
      <c r="E169" s="25" t="s">
        <v>289</v>
      </c>
      <c r="F169" s="25" t="s">
        <v>155</v>
      </c>
      <c r="G169" s="4">
        <v>2795.4</v>
      </c>
      <c r="H169" s="4">
        <v>2582.4</v>
      </c>
      <c r="I169" s="19">
        <v>98</v>
      </c>
      <c r="J169" s="4">
        <f>'Форма 2'!I594</f>
        <v>474541.47</v>
      </c>
      <c r="K169" s="4">
        <v>0</v>
      </c>
      <c r="L169" s="4">
        <v>0</v>
      </c>
      <c r="M169" s="4">
        <v>0</v>
      </c>
      <c r="N169" s="4">
        <f t="shared" si="22"/>
        <v>467240.03</v>
      </c>
      <c r="O169" s="4">
        <v>7301.44</v>
      </c>
      <c r="P169" s="4">
        <f t="shared" si="23"/>
        <v>183.76</v>
      </c>
      <c r="Q169" s="4">
        <f>'Форма 2'!K594</f>
        <v>277</v>
      </c>
      <c r="R169" s="53" t="s">
        <v>153</v>
      </c>
      <c r="S169" s="5">
        <v>1</v>
      </c>
      <c r="T169" s="1"/>
      <c r="V169" s="1"/>
      <c r="W169" s="1"/>
    </row>
    <row r="170" spans="1:23" s="64" customFormat="1" x14ac:dyDescent="0.35">
      <c r="A170" s="27">
        <f t="shared" si="24"/>
        <v>66</v>
      </c>
      <c r="B170" s="27">
        <v>1367</v>
      </c>
      <c r="C170" s="61" t="s">
        <v>330</v>
      </c>
      <c r="D170" s="25">
        <v>1978</v>
      </c>
      <c r="E170" s="25" t="s">
        <v>263</v>
      </c>
      <c r="F170" s="25" t="s">
        <v>160</v>
      </c>
      <c r="G170" s="35">
        <v>12315.6</v>
      </c>
      <c r="H170" s="35">
        <v>12279.6</v>
      </c>
      <c r="I170" s="36">
        <v>464</v>
      </c>
      <c r="J170" s="35">
        <f>'Форма 2'!I597</f>
        <v>7736167</v>
      </c>
      <c r="K170" s="35">
        <v>0</v>
      </c>
      <c r="L170" s="35">
        <v>0</v>
      </c>
      <c r="M170" s="35">
        <v>0</v>
      </c>
      <c r="N170" s="35">
        <f t="shared" si="22"/>
        <v>7615412.9500000002</v>
      </c>
      <c r="O170" s="35">
        <v>120754.05</v>
      </c>
      <c r="P170" s="35">
        <f t="shared" si="23"/>
        <v>630</v>
      </c>
      <c r="Q170" s="35">
        <f>'Форма 2'!K597</f>
        <v>2224</v>
      </c>
      <c r="R170" s="62" t="s">
        <v>161</v>
      </c>
      <c r="S170" s="63">
        <v>1</v>
      </c>
      <c r="T170" s="1"/>
      <c r="U170" s="2"/>
      <c r="V170" s="1"/>
      <c r="W170" s="1"/>
    </row>
    <row r="171" spans="1:23" s="2" customFormat="1" x14ac:dyDescent="0.35">
      <c r="A171" s="20">
        <f t="shared" si="24"/>
        <v>67</v>
      </c>
      <c r="B171" s="20">
        <v>1456</v>
      </c>
      <c r="C171" s="61" t="s">
        <v>331</v>
      </c>
      <c r="D171" s="60">
        <v>1991</v>
      </c>
      <c r="E171" s="25" t="s">
        <v>182</v>
      </c>
      <c r="F171" s="25" t="s">
        <v>183</v>
      </c>
      <c r="G171" s="4">
        <v>5681.2</v>
      </c>
      <c r="H171" s="4">
        <v>5088.2</v>
      </c>
      <c r="I171" s="19">
        <v>174</v>
      </c>
      <c r="J171" s="4">
        <f>'Форма 2'!I604</f>
        <v>5352255</v>
      </c>
      <c r="K171" s="4">
        <v>0</v>
      </c>
      <c r="L171" s="4">
        <v>0</v>
      </c>
      <c r="M171" s="4">
        <v>0</v>
      </c>
      <c r="N171" s="4">
        <f t="shared" si="22"/>
        <v>5202791.71</v>
      </c>
      <c r="O171" s="4">
        <v>149463.29</v>
      </c>
      <c r="P171" s="4">
        <f t="shared" si="23"/>
        <v>1051.9000000000001</v>
      </c>
      <c r="Q171" s="4">
        <f>'Форма 2'!K604</f>
        <v>1061.56</v>
      </c>
      <c r="R171" s="53" t="s">
        <v>153</v>
      </c>
      <c r="S171" s="5">
        <v>1</v>
      </c>
      <c r="T171" s="1"/>
      <c r="U171" s="64"/>
      <c r="V171" s="1"/>
      <c r="W171" s="1"/>
    </row>
    <row r="172" spans="1:23" s="2" customFormat="1" x14ac:dyDescent="0.35">
      <c r="A172" s="20">
        <f t="shared" si="24"/>
        <v>68</v>
      </c>
      <c r="B172" s="20">
        <v>1370</v>
      </c>
      <c r="C172" s="61" t="s">
        <v>332</v>
      </c>
      <c r="D172" s="60">
        <v>1972</v>
      </c>
      <c r="E172" s="25" t="s">
        <v>239</v>
      </c>
      <c r="F172" s="25" t="s">
        <v>160</v>
      </c>
      <c r="G172" s="4">
        <v>4603.3999999999996</v>
      </c>
      <c r="H172" s="4">
        <v>4201.3999999999996</v>
      </c>
      <c r="I172" s="19">
        <v>159</v>
      </c>
      <c r="J172" s="4">
        <f>'Форма 2'!I611</f>
        <v>704160.23</v>
      </c>
      <c r="K172" s="4">
        <v>0</v>
      </c>
      <c r="L172" s="4">
        <v>0</v>
      </c>
      <c r="M172" s="4">
        <v>0</v>
      </c>
      <c r="N172" s="4">
        <f t="shared" si="22"/>
        <v>677243.24</v>
      </c>
      <c r="O172" s="4">
        <v>26916.99</v>
      </c>
      <c r="P172" s="4">
        <f t="shared" si="23"/>
        <v>167.6</v>
      </c>
      <c r="Q172" s="4">
        <f>'Форма 2'!K611</f>
        <v>609</v>
      </c>
      <c r="R172" s="53" t="s">
        <v>161</v>
      </c>
      <c r="S172" s="5">
        <v>1</v>
      </c>
      <c r="T172" s="1"/>
      <c r="V172" s="1"/>
      <c r="W172" s="1"/>
    </row>
    <row r="173" spans="1:23" s="2" customFormat="1" x14ac:dyDescent="0.35">
      <c r="A173" s="20">
        <f t="shared" si="24"/>
        <v>69</v>
      </c>
      <c r="B173" s="20">
        <v>1445</v>
      </c>
      <c r="C173" s="61" t="s">
        <v>333</v>
      </c>
      <c r="D173" s="60">
        <v>1991</v>
      </c>
      <c r="E173" s="25" t="s">
        <v>74</v>
      </c>
      <c r="F173" s="25" t="s">
        <v>152</v>
      </c>
      <c r="G173" s="4">
        <v>1572.4</v>
      </c>
      <c r="H173" s="4">
        <v>1372.4</v>
      </c>
      <c r="I173" s="19">
        <v>52</v>
      </c>
      <c r="J173" s="4">
        <f>'Форма 2'!I614</f>
        <v>223790.41</v>
      </c>
      <c r="K173" s="4">
        <v>0</v>
      </c>
      <c r="L173" s="4">
        <v>0</v>
      </c>
      <c r="M173" s="4">
        <v>0</v>
      </c>
      <c r="N173" s="4">
        <f t="shared" si="22"/>
        <v>215816.6</v>
      </c>
      <c r="O173" s="4">
        <v>7973.81</v>
      </c>
      <c r="P173" s="4">
        <f t="shared" si="23"/>
        <v>163.07</v>
      </c>
      <c r="Q173" s="4">
        <f>'Форма 2'!K614</f>
        <v>164</v>
      </c>
      <c r="R173" s="53" t="s">
        <v>153</v>
      </c>
      <c r="S173" s="5">
        <v>1</v>
      </c>
      <c r="T173" s="1"/>
      <c r="V173" s="1"/>
      <c r="W173" s="1"/>
    </row>
    <row r="174" spans="1:23" s="2" customFormat="1" x14ac:dyDescent="0.35">
      <c r="A174" s="20">
        <f t="shared" si="24"/>
        <v>70</v>
      </c>
      <c r="B174" s="20">
        <v>1371</v>
      </c>
      <c r="C174" s="61" t="s">
        <v>334</v>
      </c>
      <c r="D174" s="60">
        <v>1972</v>
      </c>
      <c r="E174" s="25" t="s">
        <v>74</v>
      </c>
      <c r="F174" s="25" t="s">
        <v>155</v>
      </c>
      <c r="G174" s="4">
        <v>3759.3</v>
      </c>
      <c r="H174" s="4">
        <v>3039.3</v>
      </c>
      <c r="I174" s="19">
        <v>115</v>
      </c>
      <c r="J174" s="4">
        <f>'Форма 2'!I616</f>
        <v>6223360.8300000001</v>
      </c>
      <c r="K174" s="4">
        <v>0</v>
      </c>
      <c r="L174" s="4">
        <v>0</v>
      </c>
      <c r="M174" s="4">
        <v>0</v>
      </c>
      <c r="N174" s="4">
        <f t="shared" si="22"/>
        <v>5999623.9400000004</v>
      </c>
      <c r="O174" s="4">
        <v>223736.89</v>
      </c>
      <c r="P174" s="4">
        <f t="shared" si="23"/>
        <v>2047.63</v>
      </c>
      <c r="Q174" s="4">
        <f>'Форма 2'!K616</f>
        <v>2831</v>
      </c>
      <c r="R174" s="53" t="s">
        <v>153</v>
      </c>
      <c r="S174" s="5">
        <v>1</v>
      </c>
      <c r="T174" s="1"/>
      <c r="V174" s="1"/>
      <c r="W174" s="1"/>
    </row>
    <row r="175" spans="1:23" s="2" customFormat="1" x14ac:dyDescent="0.35">
      <c r="A175" s="20">
        <f t="shared" si="24"/>
        <v>71</v>
      </c>
      <c r="B175" s="20">
        <v>1372</v>
      </c>
      <c r="C175" s="61" t="s">
        <v>335</v>
      </c>
      <c r="D175" s="60">
        <v>1974</v>
      </c>
      <c r="E175" s="25" t="s">
        <v>74</v>
      </c>
      <c r="F175" s="25" t="s">
        <v>155</v>
      </c>
      <c r="G175" s="4">
        <v>2981.1</v>
      </c>
      <c r="H175" s="4">
        <v>2840.9</v>
      </c>
      <c r="I175" s="19">
        <v>107</v>
      </c>
      <c r="J175" s="4">
        <f>'Форма 2'!I619</f>
        <v>6264674.8200000003</v>
      </c>
      <c r="K175" s="4">
        <v>0</v>
      </c>
      <c r="L175" s="4">
        <v>0</v>
      </c>
      <c r="M175" s="4">
        <v>0</v>
      </c>
      <c r="N175" s="4">
        <f t="shared" si="22"/>
        <v>6039645.25</v>
      </c>
      <c r="O175" s="4">
        <v>225029.57</v>
      </c>
      <c r="P175" s="4">
        <f t="shared" si="23"/>
        <v>2205.17</v>
      </c>
      <c r="Q175" s="4">
        <f>'Форма 2'!K619</f>
        <v>2831</v>
      </c>
      <c r="R175" s="53" t="s">
        <v>153</v>
      </c>
      <c r="S175" s="5">
        <v>1</v>
      </c>
      <c r="T175" s="1"/>
      <c r="V175" s="1"/>
      <c r="W175" s="1"/>
    </row>
    <row r="176" spans="1:23" s="2" customFormat="1" x14ac:dyDescent="0.35">
      <c r="A176" s="20">
        <f t="shared" si="24"/>
        <v>72</v>
      </c>
      <c r="B176" s="20">
        <v>1373</v>
      </c>
      <c r="C176" s="61" t="s">
        <v>336</v>
      </c>
      <c r="D176" s="60">
        <v>1974</v>
      </c>
      <c r="E176" s="25" t="s">
        <v>74</v>
      </c>
      <c r="F176" s="25" t="s">
        <v>160</v>
      </c>
      <c r="G176" s="4">
        <v>3963.9</v>
      </c>
      <c r="H176" s="4">
        <v>3533.5</v>
      </c>
      <c r="I176" s="19">
        <v>133</v>
      </c>
      <c r="J176" s="4">
        <f>'Форма 2'!I622</f>
        <v>4071328.37</v>
      </c>
      <c r="K176" s="4">
        <v>0</v>
      </c>
      <c r="L176" s="4">
        <v>0</v>
      </c>
      <c r="M176" s="4">
        <v>0</v>
      </c>
      <c r="N176" s="4">
        <f t="shared" si="22"/>
        <v>3940451.9</v>
      </c>
      <c r="O176" s="4">
        <v>130876.47</v>
      </c>
      <c r="P176" s="4">
        <f t="shared" si="23"/>
        <v>1152.21</v>
      </c>
      <c r="Q176" s="4">
        <f>'Форма 2'!K622</f>
        <v>3523</v>
      </c>
      <c r="R176" s="53" t="s">
        <v>161</v>
      </c>
      <c r="S176" s="5">
        <v>1</v>
      </c>
      <c r="T176" s="1"/>
      <c r="V176" s="1"/>
      <c r="W176" s="1"/>
    </row>
    <row r="177" spans="1:23" s="2" customFormat="1" x14ac:dyDescent="0.35">
      <c r="A177" s="20">
        <f t="shared" si="24"/>
        <v>73</v>
      </c>
      <c r="B177" s="20">
        <v>1376</v>
      </c>
      <c r="C177" s="61" t="s">
        <v>337</v>
      </c>
      <c r="D177" s="60">
        <v>1974</v>
      </c>
      <c r="E177" s="25" t="s">
        <v>74</v>
      </c>
      <c r="F177" s="25" t="s">
        <v>160</v>
      </c>
      <c r="G177" s="4">
        <v>2661.35</v>
      </c>
      <c r="H177" s="4">
        <v>2451.35</v>
      </c>
      <c r="I177" s="19">
        <v>93</v>
      </c>
      <c r="J177" s="4">
        <f>'Форма 2'!I625</f>
        <v>2715275.2</v>
      </c>
      <c r="K177" s="4">
        <v>0</v>
      </c>
      <c r="L177" s="4">
        <v>0</v>
      </c>
      <c r="M177" s="4">
        <v>0</v>
      </c>
      <c r="N177" s="4">
        <f t="shared" si="22"/>
        <v>2624480.23</v>
      </c>
      <c r="O177" s="4">
        <v>90794.97</v>
      </c>
      <c r="P177" s="4">
        <f t="shared" si="23"/>
        <v>1107.67</v>
      </c>
      <c r="Q177" s="4">
        <f>'Форма 2'!K625</f>
        <v>3523</v>
      </c>
      <c r="R177" s="53" t="s">
        <v>161</v>
      </c>
      <c r="S177" s="5">
        <v>1</v>
      </c>
      <c r="T177" s="1"/>
      <c r="V177" s="1"/>
      <c r="W177" s="1"/>
    </row>
    <row r="178" spans="1:23" s="64" customFormat="1" x14ac:dyDescent="0.35">
      <c r="A178" s="27">
        <f t="shared" si="24"/>
        <v>74</v>
      </c>
      <c r="B178" s="27">
        <v>1377</v>
      </c>
      <c r="C178" s="61" t="s">
        <v>338</v>
      </c>
      <c r="D178" s="25">
        <v>1978</v>
      </c>
      <c r="E178" s="25" t="s">
        <v>263</v>
      </c>
      <c r="F178" s="25" t="s">
        <v>160</v>
      </c>
      <c r="G178" s="35">
        <v>16113.5</v>
      </c>
      <c r="H178" s="35">
        <v>14235.2</v>
      </c>
      <c r="I178" s="36">
        <v>466</v>
      </c>
      <c r="J178" s="35">
        <f>'Форма 2'!I628</f>
        <v>8946021.8100000005</v>
      </c>
      <c r="K178" s="35">
        <v>0</v>
      </c>
      <c r="L178" s="35">
        <v>0</v>
      </c>
      <c r="M178" s="35">
        <v>0</v>
      </c>
      <c r="N178" s="35">
        <f t="shared" si="22"/>
        <v>8824766.2400000002</v>
      </c>
      <c r="O178" s="35">
        <v>121255.57</v>
      </c>
      <c r="P178" s="35">
        <f t="shared" si="23"/>
        <v>628.44000000000005</v>
      </c>
      <c r="Q178" s="35">
        <f>'Форма 2'!K628</f>
        <v>2224</v>
      </c>
      <c r="R178" s="62" t="s">
        <v>161</v>
      </c>
      <c r="S178" s="63">
        <v>1</v>
      </c>
      <c r="T178" s="1"/>
      <c r="U178" s="2"/>
      <c r="V178" s="1"/>
      <c r="W178" s="1"/>
    </row>
    <row r="179" spans="1:23" s="2" customFormat="1" x14ac:dyDescent="0.35">
      <c r="A179" s="20">
        <f t="shared" si="24"/>
        <v>75</v>
      </c>
      <c r="B179" s="20">
        <v>1378</v>
      </c>
      <c r="C179" s="61" t="s">
        <v>339</v>
      </c>
      <c r="D179" s="60">
        <v>1975</v>
      </c>
      <c r="E179" s="25" t="s">
        <v>74</v>
      </c>
      <c r="F179" s="25" t="s">
        <v>160</v>
      </c>
      <c r="G179" s="4">
        <v>5279.8</v>
      </c>
      <c r="H179" s="4">
        <v>4687.8</v>
      </c>
      <c r="I179" s="19">
        <v>177</v>
      </c>
      <c r="J179" s="4">
        <f>'Форма 2'!I635</f>
        <v>5356590.1500000004</v>
      </c>
      <c r="K179" s="4">
        <v>0</v>
      </c>
      <c r="L179" s="4">
        <v>0</v>
      </c>
      <c r="M179" s="4">
        <v>0</v>
      </c>
      <c r="N179" s="4">
        <f t="shared" si="22"/>
        <v>5182959.84</v>
      </c>
      <c r="O179" s="4">
        <v>173630.31</v>
      </c>
      <c r="P179" s="4">
        <f t="shared" si="23"/>
        <v>1142.67</v>
      </c>
      <c r="Q179" s="4">
        <f>'Форма 2'!K635</f>
        <v>3523</v>
      </c>
      <c r="R179" s="53" t="s">
        <v>161</v>
      </c>
      <c r="S179" s="5">
        <v>1</v>
      </c>
      <c r="T179" s="1"/>
      <c r="U179" s="64"/>
      <c r="V179" s="1"/>
      <c r="W179" s="1"/>
    </row>
    <row r="180" spans="1:23" s="2" customFormat="1" x14ac:dyDescent="0.35">
      <c r="A180" s="20">
        <f t="shared" si="24"/>
        <v>76</v>
      </c>
      <c r="B180" s="20">
        <v>1379</v>
      </c>
      <c r="C180" s="61" t="s">
        <v>340</v>
      </c>
      <c r="D180" s="60">
        <v>1971</v>
      </c>
      <c r="E180" s="25" t="s">
        <v>74</v>
      </c>
      <c r="F180" s="25" t="s">
        <v>160</v>
      </c>
      <c r="G180" s="4">
        <v>2694</v>
      </c>
      <c r="H180" s="4">
        <v>2659.6</v>
      </c>
      <c r="I180" s="19">
        <v>100</v>
      </c>
      <c r="J180" s="4">
        <f>'Форма 2'!I638</f>
        <v>2745062.19</v>
      </c>
      <c r="K180" s="4">
        <v>0</v>
      </c>
      <c r="L180" s="4">
        <v>0</v>
      </c>
      <c r="M180" s="4">
        <v>0</v>
      </c>
      <c r="N180" s="4">
        <f t="shared" si="22"/>
        <v>2646553.9</v>
      </c>
      <c r="O180" s="4">
        <v>98508.29</v>
      </c>
      <c r="P180" s="4">
        <f t="shared" si="23"/>
        <v>1032.1300000000001</v>
      </c>
      <c r="Q180" s="4">
        <f>'Форма 2'!K638</f>
        <v>3523</v>
      </c>
      <c r="R180" s="53" t="s">
        <v>161</v>
      </c>
      <c r="S180" s="5">
        <v>1</v>
      </c>
      <c r="T180" s="1"/>
      <c r="V180" s="1"/>
      <c r="W180" s="1"/>
    </row>
    <row r="181" spans="1:23" s="2" customFormat="1" x14ac:dyDescent="0.35">
      <c r="A181" s="20">
        <f t="shared" si="24"/>
        <v>77</v>
      </c>
      <c r="B181" s="20">
        <v>1787</v>
      </c>
      <c r="C181" s="61" t="s">
        <v>341</v>
      </c>
      <c r="D181" s="60">
        <v>1973</v>
      </c>
      <c r="E181" s="25" t="s">
        <v>74</v>
      </c>
      <c r="F181" s="25" t="s">
        <v>160</v>
      </c>
      <c r="G181" s="4">
        <v>3254.1</v>
      </c>
      <c r="H181" s="4">
        <v>2886.9</v>
      </c>
      <c r="I181" s="19">
        <v>109</v>
      </c>
      <c r="J181" s="4">
        <f>'Форма 2'!I641</f>
        <v>2810735.09</v>
      </c>
      <c r="K181" s="4">
        <v>0</v>
      </c>
      <c r="L181" s="4">
        <v>0</v>
      </c>
      <c r="M181" s="4">
        <v>0</v>
      </c>
      <c r="N181" s="4">
        <f t="shared" si="22"/>
        <v>2719370.23</v>
      </c>
      <c r="O181" s="4">
        <v>91364.86</v>
      </c>
      <c r="P181" s="4">
        <f t="shared" si="23"/>
        <v>973.62</v>
      </c>
      <c r="Q181" s="4">
        <f>'Форма 2'!K641</f>
        <v>2936</v>
      </c>
      <c r="R181" s="53" t="s">
        <v>161</v>
      </c>
      <c r="S181" s="5">
        <v>1</v>
      </c>
      <c r="T181" s="1"/>
      <c r="V181" s="1"/>
      <c r="W181" s="1"/>
    </row>
    <row r="182" spans="1:23" s="2" customFormat="1" x14ac:dyDescent="0.35">
      <c r="A182" s="20">
        <f t="shared" si="24"/>
        <v>78</v>
      </c>
      <c r="B182" s="20">
        <v>1263</v>
      </c>
      <c r="C182" s="61" t="s">
        <v>87</v>
      </c>
      <c r="D182" s="60">
        <v>1960</v>
      </c>
      <c r="E182" s="25" t="s">
        <v>74</v>
      </c>
      <c r="F182" s="25" t="s">
        <v>155</v>
      </c>
      <c r="G182" s="4">
        <v>2225.4</v>
      </c>
      <c r="H182" s="4">
        <v>2040.56</v>
      </c>
      <c r="I182" s="19">
        <v>84</v>
      </c>
      <c r="J182" s="4">
        <f>'Форма 2'!I644</f>
        <v>4241742.1900000004</v>
      </c>
      <c r="K182" s="4">
        <v>0</v>
      </c>
      <c r="L182" s="4">
        <v>0</v>
      </c>
      <c r="M182" s="4">
        <v>0</v>
      </c>
      <c r="N182" s="4">
        <f t="shared" si="22"/>
        <v>3941984.3</v>
      </c>
      <c r="O182" s="4">
        <v>299757.89</v>
      </c>
      <c r="P182" s="4">
        <f t="shared" si="23"/>
        <v>2078.71</v>
      </c>
      <c r="Q182" s="4">
        <f>'Форма 2'!K644</f>
        <v>4728</v>
      </c>
      <c r="R182" s="53" t="s">
        <v>153</v>
      </c>
      <c r="S182" s="5">
        <v>1</v>
      </c>
      <c r="T182" s="1"/>
      <c r="V182" s="1"/>
      <c r="W182" s="1"/>
    </row>
    <row r="183" spans="1:23" s="2" customFormat="1" x14ac:dyDescent="0.35">
      <c r="A183" s="20">
        <f t="shared" si="24"/>
        <v>79</v>
      </c>
      <c r="B183" s="20">
        <v>1265</v>
      </c>
      <c r="C183" s="61" t="s">
        <v>342</v>
      </c>
      <c r="D183" s="60">
        <v>1995</v>
      </c>
      <c r="E183" s="25" t="s">
        <v>74</v>
      </c>
      <c r="F183" s="25" t="s">
        <v>152</v>
      </c>
      <c r="G183" s="4">
        <v>4827.8</v>
      </c>
      <c r="H183" s="4">
        <v>4275.8</v>
      </c>
      <c r="I183" s="19">
        <v>162</v>
      </c>
      <c r="J183" s="4">
        <f>'Форма 2'!I647</f>
        <v>387243.3</v>
      </c>
      <c r="K183" s="4">
        <v>0</v>
      </c>
      <c r="L183" s="4">
        <v>0</v>
      </c>
      <c r="M183" s="4">
        <v>0</v>
      </c>
      <c r="N183" s="4">
        <f t="shared" si="22"/>
        <v>362400.37</v>
      </c>
      <c r="O183" s="4">
        <v>24842.93</v>
      </c>
      <c r="P183" s="4">
        <f t="shared" si="23"/>
        <v>90.57</v>
      </c>
      <c r="Q183" s="4">
        <f>'Форма 2'!K647</f>
        <v>164</v>
      </c>
      <c r="R183" s="53" t="s">
        <v>153</v>
      </c>
      <c r="S183" s="5">
        <v>1</v>
      </c>
      <c r="T183" s="1"/>
      <c r="V183" s="1"/>
      <c r="W183" s="1"/>
    </row>
    <row r="184" spans="1:23" s="2" customFormat="1" x14ac:dyDescent="0.35">
      <c r="A184" s="20">
        <f>A183+1</f>
        <v>80</v>
      </c>
      <c r="B184" s="20">
        <v>1353</v>
      </c>
      <c r="C184" s="61" t="s">
        <v>88</v>
      </c>
      <c r="D184" s="60">
        <v>1970</v>
      </c>
      <c r="E184" s="25" t="s">
        <v>74</v>
      </c>
      <c r="F184" s="25" t="s">
        <v>155</v>
      </c>
      <c r="G184" s="4">
        <v>7408.5</v>
      </c>
      <c r="H184" s="4">
        <v>6993.5</v>
      </c>
      <c r="I184" s="19">
        <v>264</v>
      </c>
      <c r="J184" s="4">
        <f>'Форма 2'!I649</f>
        <v>10643470.74</v>
      </c>
      <c r="K184" s="4">
        <v>0</v>
      </c>
      <c r="L184" s="4">
        <v>0</v>
      </c>
      <c r="M184" s="4">
        <v>0</v>
      </c>
      <c r="N184" s="4">
        <f t="shared" si="22"/>
        <v>10250588.77</v>
      </c>
      <c r="O184" s="4">
        <v>392881.97</v>
      </c>
      <c r="P184" s="4">
        <f t="shared" si="23"/>
        <v>1521.91</v>
      </c>
      <c r="Q184" s="4">
        <f>'Форма 2'!K649</f>
        <v>2831</v>
      </c>
      <c r="R184" s="53" t="s">
        <v>153</v>
      </c>
      <c r="S184" s="5">
        <v>1</v>
      </c>
      <c r="T184" s="1"/>
      <c r="V184" s="1"/>
      <c r="W184" s="1"/>
    </row>
    <row r="185" spans="1:23" s="2" customFormat="1" x14ac:dyDescent="0.35">
      <c r="A185" s="20">
        <f t="shared" si="24"/>
        <v>81</v>
      </c>
      <c r="B185" s="20">
        <v>1421</v>
      </c>
      <c r="C185" s="61" t="s">
        <v>345</v>
      </c>
      <c r="D185" s="60">
        <v>1975</v>
      </c>
      <c r="E185" s="25" t="s">
        <v>74</v>
      </c>
      <c r="F185" s="25" t="s">
        <v>152</v>
      </c>
      <c r="G185" s="4">
        <v>4331.6000000000004</v>
      </c>
      <c r="H185" s="4">
        <v>3894.6</v>
      </c>
      <c r="I185" s="19">
        <v>147</v>
      </c>
      <c r="J185" s="4">
        <f>'Форма 2'!I652</f>
        <v>503076.85</v>
      </c>
      <c r="K185" s="4">
        <v>0</v>
      </c>
      <c r="L185" s="4">
        <v>0</v>
      </c>
      <c r="M185" s="4">
        <v>0</v>
      </c>
      <c r="N185" s="4">
        <f t="shared" si="22"/>
        <v>481416.79</v>
      </c>
      <c r="O185" s="4">
        <v>21660.06</v>
      </c>
      <c r="P185" s="4">
        <f t="shared" si="23"/>
        <v>129.16999999999999</v>
      </c>
      <c r="Q185" s="4">
        <f>'Форма 2'!K652</f>
        <v>146</v>
      </c>
      <c r="R185" s="53" t="s">
        <v>153</v>
      </c>
      <c r="S185" s="5">
        <v>1</v>
      </c>
      <c r="T185" s="1"/>
      <c r="V185" s="1"/>
      <c r="W185" s="1"/>
    </row>
    <row r="186" spans="1:23" s="2" customFormat="1" x14ac:dyDescent="0.35">
      <c r="A186" s="20">
        <f t="shared" si="24"/>
        <v>82</v>
      </c>
      <c r="B186" s="20">
        <v>1030</v>
      </c>
      <c r="C186" s="61" t="s">
        <v>346</v>
      </c>
      <c r="D186" s="60">
        <v>1985</v>
      </c>
      <c r="E186" s="25" t="s">
        <v>74</v>
      </c>
      <c r="F186" s="25" t="s">
        <v>152</v>
      </c>
      <c r="G186" s="4">
        <v>2705.2</v>
      </c>
      <c r="H186" s="4">
        <v>2345.1999999999998</v>
      </c>
      <c r="I186" s="19">
        <v>89</v>
      </c>
      <c r="J186" s="4">
        <f>'Форма 2'!I654</f>
        <v>313013.92</v>
      </c>
      <c r="K186" s="4">
        <v>0</v>
      </c>
      <c r="L186" s="4">
        <v>0</v>
      </c>
      <c r="M186" s="4">
        <v>0</v>
      </c>
      <c r="N186" s="4">
        <f t="shared" si="22"/>
        <v>299970.94</v>
      </c>
      <c r="O186" s="4">
        <v>13042.98</v>
      </c>
      <c r="P186" s="4">
        <f t="shared" si="23"/>
        <v>133.47</v>
      </c>
      <c r="Q186" s="4">
        <f>'Форма 2'!K654</f>
        <v>146</v>
      </c>
      <c r="R186" s="53" t="s">
        <v>153</v>
      </c>
      <c r="S186" s="5">
        <v>1</v>
      </c>
      <c r="T186" s="1"/>
      <c r="V186" s="1"/>
      <c r="W186" s="1"/>
    </row>
    <row r="187" spans="1:23" s="2" customFormat="1" x14ac:dyDescent="0.35">
      <c r="A187" s="20">
        <f t="shared" si="24"/>
        <v>83</v>
      </c>
      <c r="B187" s="20">
        <v>1354</v>
      </c>
      <c r="C187" s="61" t="s">
        <v>347</v>
      </c>
      <c r="D187" s="60">
        <v>1978</v>
      </c>
      <c r="E187" s="25" t="s">
        <v>239</v>
      </c>
      <c r="F187" s="25" t="s">
        <v>160</v>
      </c>
      <c r="G187" s="4">
        <v>4337</v>
      </c>
      <c r="H187" s="4">
        <v>3816</v>
      </c>
      <c r="I187" s="19">
        <v>144</v>
      </c>
      <c r="J187" s="4">
        <f>'Форма 2'!I656</f>
        <v>429381.4</v>
      </c>
      <c r="K187" s="4">
        <v>0</v>
      </c>
      <c r="L187" s="4">
        <v>0</v>
      </c>
      <c r="M187" s="4">
        <v>0</v>
      </c>
      <c r="N187" s="4">
        <f t="shared" si="22"/>
        <v>404933.54</v>
      </c>
      <c r="O187" s="4">
        <v>24447.86</v>
      </c>
      <c r="P187" s="4">
        <f t="shared" si="23"/>
        <v>112.52</v>
      </c>
      <c r="Q187" s="4">
        <f>'Форма 2'!K656</f>
        <v>609</v>
      </c>
      <c r="R187" s="53" t="s">
        <v>161</v>
      </c>
      <c r="S187" s="5">
        <v>1</v>
      </c>
      <c r="T187" s="1"/>
      <c r="V187" s="1"/>
      <c r="W187" s="1"/>
    </row>
    <row r="188" spans="1:23" s="2" customFormat="1" x14ac:dyDescent="0.35">
      <c r="A188" s="20">
        <f t="shared" si="24"/>
        <v>84</v>
      </c>
      <c r="B188" s="20">
        <v>1357</v>
      </c>
      <c r="C188" s="61" t="s">
        <v>348</v>
      </c>
      <c r="D188" s="60">
        <v>1982</v>
      </c>
      <c r="E188" s="25" t="s">
        <v>239</v>
      </c>
      <c r="F188" s="25" t="s">
        <v>160</v>
      </c>
      <c r="G188" s="4">
        <v>4117.8999999999996</v>
      </c>
      <c r="H188" s="4">
        <v>3930.8</v>
      </c>
      <c r="I188" s="19">
        <v>148</v>
      </c>
      <c r="J188" s="4">
        <f>'Форма 2'!I659</f>
        <v>508104.81</v>
      </c>
      <c r="K188" s="4">
        <v>0</v>
      </c>
      <c r="L188" s="4">
        <v>0</v>
      </c>
      <c r="M188" s="4">
        <v>0</v>
      </c>
      <c r="N188" s="4">
        <f t="shared" si="22"/>
        <v>482921.47</v>
      </c>
      <c r="O188" s="4">
        <v>25183.34</v>
      </c>
      <c r="P188" s="4">
        <f t="shared" si="23"/>
        <v>129.26</v>
      </c>
      <c r="Q188" s="4">
        <f>'Форма 2'!K659</f>
        <v>609</v>
      </c>
      <c r="R188" s="53" t="s">
        <v>161</v>
      </c>
      <c r="S188" s="5">
        <v>1</v>
      </c>
      <c r="T188" s="1"/>
      <c r="V188" s="1"/>
      <c r="W188" s="1"/>
    </row>
    <row r="189" spans="1:23" s="2" customFormat="1" x14ac:dyDescent="0.35">
      <c r="A189" s="20">
        <f t="shared" si="24"/>
        <v>85</v>
      </c>
      <c r="B189" s="20">
        <v>1358</v>
      </c>
      <c r="C189" s="61" t="s">
        <v>349</v>
      </c>
      <c r="D189" s="60">
        <v>1985</v>
      </c>
      <c r="E189" s="25" t="s">
        <v>239</v>
      </c>
      <c r="F189" s="25" t="s">
        <v>152</v>
      </c>
      <c r="G189" s="4">
        <f>69.65*14.46*5</f>
        <v>5035.7</v>
      </c>
      <c r="H189" s="4">
        <v>3186.9</v>
      </c>
      <c r="I189" s="19">
        <v>101</v>
      </c>
      <c r="J189" s="4">
        <f>'Форма 2'!I662</f>
        <v>67015</v>
      </c>
      <c r="K189" s="4">
        <v>0</v>
      </c>
      <c r="L189" s="4">
        <v>0</v>
      </c>
      <c r="M189" s="4">
        <v>0</v>
      </c>
      <c r="N189" s="4">
        <f t="shared" si="22"/>
        <v>64433.11</v>
      </c>
      <c r="O189" s="4">
        <v>2581.89</v>
      </c>
      <c r="P189" s="4">
        <f t="shared" si="23"/>
        <v>21.03</v>
      </c>
      <c r="Q189" s="4">
        <f>'Форма 2'!K662</f>
        <v>25</v>
      </c>
      <c r="R189" s="53" t="s">
        <v>153</v>
      </c>
      <c r="S189" s="5">
        <v>1</v>
      </c>
      <c r="T189" s="1"/>
      <c r="V189" s="1"/>
      <c r="W189" s="1"/>
    </row>
    <row r="190" spans="1:23" s="2" customFormat="1" x14ac:dyDescent="0.35">
      <c r="A190" s="20">
        <f t="shared" si="24"/>
        <v>86</v>
      </c>
      <c r="B190" s="20">
        <v>1361</v>
      </c>
      <c r="C190" s="61" t="s">
        <v>350</v>
      </c>
      <c r="D190" s="60">
        <v>1976</v>
      </c>
      <c r="E190" s="25" t="s">
        <v>74</v>
      </c>
      <c r="F190" s="25" t="s">
        <v>160</v>
      </c>
      <c r="G190" s="4">
        <v>5398.8</v>
      </c>
      <c r="H190" s="4">
        <v>4296</v>
      </c>
      <c r="I190" s="19">
        <v>162</v>
      </c>
      <c r="J190" s="4">
        <f>'Форма 2'!I664</f>
        <v>4979493.59</v>
      </c>
      <c r="K190" s="4">
        <v>0</v>
      </c>
      <c r="L190" s="4">
        <v>0</v>
      </c>
      <c r="M190" s="4">
        <v>0</v>
      </c>
      <c r="N190" s="4">
        <f t="shared" si="22"/>
        <v>4820375.0599999996</v>
      </c>
      <c r="O190" s="4">
        <v>159118.53</v>
      </c>
      <c r="P190" s="4">
        <f t="shared" si="23"/>
        <v>1159.0999999999999</v>
      </c>
      <c r="Q190" s="4">
        <f>'Форма 2'!K664</f>
        <v>3523</v>
      </c>
      <c r="R190" s="53" t="s">
        <v>161</v>
      </c>
      <c r="S190" s="5">
        <v>1</v>
      </c>
      <c r="T190" s="1"/>
      <c r="V190" s="1"/>
      <c r="W190" s="1"/>
    </row>
    <row r="191" spans="1:23" s="2" customFormat="1" x14ac:dyDescent="0.35">
      <c r="A191" s="20">
        <f t="shared" si="24"/>
        <v>87</v>
      </c>
      <c r="B191" s="20">
        <v>1818</v>
      </c>
      <c r="C191" s="61" t="s">
        <v>351</v>
      </c>
      <c r="D191" s="60">
        <v>1961</v>
      </c>
      <c r="E191" s="25" t="s">
        <v>74</v>
      </c>
      <c r="F191" s="25" t="s">
        <v>155</v>
      </c>
      <c r="G191" s="4">
        <v>1384.48</v>
      </c>
      <c r="H191" s="4">
        <v>1284.2</v>
      </c>
      <c r="I191" s="19">
        <v>73</v>
      </c>
      <c r="J191" s="4">
        <f>'Форма 2'!I667</f>
        <v>3070049.02</v>
      </c>
      <c r="K191" s="4">
        <v>0</v>
      </c>
      <c r="L191" s="4">
        <v>0</v>
      </c>
      <c r="M191" s="4">
        <v>0</v>
      </c>
      <c r="N191" s="4">
        <f t="shared" si="22"/>
        <v>2950601.25</v>
      </c>
      <c r="O191" s="4">
        <v>119447.77</v>
      </c>
      <c r="P191" s="4">
        <f t="shared" si="23"/>
        <v>2390.63</v>
      </c>
      <c r="Q191" s="4">
        <f>'Форма 2'!K667</f>
        <v>4728</v>
      </c>
      <c r="R191" s="53" t="s">
        <v>153</v>
      </c>
      <c r="S191" s="5">
        <v>1</v>
      </c>
      <c r="T191" s="1"/>
      <c r="V191" s="1"/>
      <c r="W191" s="1"/>
    </row>
    <row r="192" spans="1:23" s="2" customFormat="1" x14ac:dyDescent="0.35">
      <c r="A192" s="20">
        <f t="shared" si="24"/>
        <v>88</v>
      </c>
      <c r="B192" s="20">
        <v>1271</v>
      </c>
      <c r="C192" s="61" t="s">
        <v>352</v>
      </c>
      <c r="D192" s="60">
        <v>1977</v>
      </c>
      <c r="E192" s="25" t="s">
        <v>74</v>
      </c>
      <c r="F192" s="25" t="s">
        <v>152</v>
      </c>
      <c r="G192" s="4">
        <v>5773.6</v>
      </c>
      <c r="H192" s="4">
        <v>5305.3</v>
      </c>
      <c r="I192" s="19">
        <v>200</v>
      </c>
      <c r="J192" s="4">
        <f>'Форма 2'!I670</f>
        <v>185002.91</v>
      </c>
      <c r="K192" s="4">
        <v>0</v>
      </c>
      <c r="L192" s="4">
        <v>0</v>
      </c>
      <c r="M192" s="4">
        <v>0</v>
      </c>
      <c r="N192" s="4">
        <f t="shared" si="22"/>
        <v>154178.46</v>
      </c>
      <c r="O192" s="4">
        <v>30824.45</v>
      </c>
      <c r="P192" s="4">
        <f t="shared" si="23"/>
        <v>34.869999999999997</v>
      </c>
      <c r="Q192" s="4">
        <f>'Форма 2'!K670</f>
        <v>164</v>
      </c>
      <c r="R192" s="53" t="s">
        <v>153</v>
      </c>
      <c r="S192" s="5">
        <v>1</v>
      </c>
      <c r="T192" s="1"/>
      <c r="V192" s="1"/>
      <c r="W192" s="1"/>
    </row>
    <row r="193" spans="1:23" s="64" customFormat="1" ht="46.5" x14ac:dyDescent="0.35">
      <c r="A193" s="27">
        <f t="shared" si="24"/>
        <v>89</v>
      </c>
      <c r="B193" s="27">
        <v>1296</v>
      </c>
      <c r="C193" s="61" t="s">
        <v>353</v>
      </c>
      <c r="D193" s="25">
        <v>1963</v>
      </c>
      <c r="E193" s="25" t="s">
        <v>704</v>
      </c>
      <c r="F193" s="25" t="s">
        <v>155</v>
      </c>
      <c r="G193" s="35">
        <v>1477.4</v>
      </c>
      <c r="H193" s="35">
        <v>1278.3</v>
      </c>
      <c r="I193" s="36">
        <v>34</v>
      </c>
      <c r="J193" s="35">
        <f>'Форма 2'!I672</f>
        <v>3442319.11</v>
      </c>
      <c r="K193" s="35">
        <v>0</v>
      </c>
      <c r="L193" s="35">
        <v>0</v>
      </c>
      <c r="M193" s="35">
        <v>0</v>
      </c>
      <c r="N193" s="35">
        <f t="shared" si="22"/>
        <v>3302860</v>
      </c>
      <c r="O193" s="35">
        <v>139459.10999999999</v>
      </c>
      <c r="P193" s="35">
        <f t="shared" si="23"/>
        <v>2692.89</v>
      </c>
      <c r="Q193" s="35">
        <f>'Форма 2'!K672</f>
        <v>5895</v>
      </c>
      <c r="R193" s="62" t="s">
        <v>153</v>
      </c>
      <c r="S193" s="63">
        <v>1</v>
      </c>
      <c r="T193" s="1"/>
      <c r="U193" s="2"/>
      <c r="V193" s="1"/>
      <c r="W193" s="1"/>
    </row>
    <row r="194" spans="1:23" s="2" customFormat="1" x14ac:dyDescent="0.35">
      <c r="A194" s="20">
        <f t="shared" si="24"/>
        <v>90</v>
      </c>
      <c r="B194" s="20">
        <v>1628</v>
      </c>
      <c r="C194" s="61" t="s">
        <v>354</v>
      </c>
      <c r="D194" s="60">
        <v>1978</v>
      </c>
      <c r="E194" s="25" t="s">
        <v>707</v>
      </c>
      <c r="F194" s="25" t="s">
        <v>155</v>
      </c>
      <c r="G194" s="4">
        <v>6619.2</v>
      </c>
      <c r="H194" s="4">
        <v>6113.76</v>
      </c>
      <c r="I194" s="19">
        <v>288</v>
      </c>
      <c r="J194" s="4">
        <f>'Форма 2'!I685</f>
        <v>210346.09</v>
      </c>
      <c r="K194" s="4">
        <v>0</v>
      </c>
      <c r="L194" s="4">
        <v>0</v>
      </c>
      <c r="M194" s="4">
        <v>0</v>
      </c>
      <c r="N194" s="4">
        <f t="shared" si="22"/>
        <v>128475.21</v>
      </c>
      <c r="O194" s="4">
        <v>81870.880000000005</v>
      </c>
      <c r="P194" s="4">
        <f t="shared" si="23"/>
        <v>34.409999999999997</v>
      </c>
      <c r="Q194" s="4">
        <f>'Форма 2'!K685</f>
        <v>1201</v>
      </c>
      <c r="R194" s="53" t="s">
        <v>153</v>
      </c>
      <c r="S194" s="5">
        <v>1</v>
      </c>
      <c r="T194" s="1"/>
      <c r="U194" s="64"/>
      <c r="V194" s="1"/>
      <c r="W194" s="1"/>
    </row>
    <row r="195" spans="1:23" s="2" customFormat="1" x14ac:dyDescent="0.35">
      <c r="A195" s="20">
        <f t="shared" si="24"/>
        <v>91</v>
      </c>
      <c r="B195" s="20">
        <v>1630</v>
      </c>
      <c r="C195" s="61" t="s">
        <v>355</v>
      </c>
      <c r="D195" s="60">
        <v>1980</v>
      </c>
      <c r="E195" s="25" t="s">
        <v>74</v>
      </c>
      <c r="F195" s="25" t="s">
        <v>152</v>
      </c>
      <c r="G195" s="4">
        <v>2355</v>
      </c>
      <c r="H195" s="4">
        <v>2043</v>
      </c>
      <c r="I195" s="19">
        <v>77</v>
      </c>
      <c r="J195" s="4">
        <f>'Форма 2'!I688</f>
        <v>234912.75</v>
      </c>
      <c r="K195" s="4">
        <v>0</v>
      </c>
      <c r="L195" s="4">
        <v>0</v>
      </c>
      <c r="M195" s="4">
        <v>0</v>
      </c>
      <c r="N195" s="4">
        <f t="shared" si="22"/>
        <v>223042.67</v>
      </c>
      <c r="O195" s="4">
        <v>11870.08</v>
      </c>
      <c r="P195" s="4">
        <f t="shared" si="23"/>
        <v>114.98</v>
      </c>
      <c r="Q195" s="4">
        <f>'Форма 2'!K688</f>
        <v>164</v>
      </c>
      <c r="R195" s="53" t="s">
        <v>153</v>
      </c>
      <c r="S195" s="5">
        <v>1</v>
      </c>
      <c r="T195" s="1"/>
      <c r="V195" s="1"/>
      <c r="W195" s="1"/>
    </row>
    <row r="196" spans="1:23" s="2" customFormat="1" x14ac:dyDescent="0.35">
      <c r="A196" s="20">
        <f t="shared" si="24"/>
        <v>92</v>
      </c>
      <c r="B196" s="20">
        <v>1468</v>
      </c>
      <c r="C196" s="61" t="s">
        <v>356</v>
      </c>
      <c r="D196" s="60">
        <v>1962</v>
      </c>
      <c r="E196" s="25" t="s">
        <v>74</v>
      </c>
      <c r="F196" s="25" t="s">
        <v>155</v>
      </c>
      <c r="G196" s="4">
        <v>3322.7</v>
      </c>
      <c r="H196" s="4">
        <v>3089.7</v>
      </c>
      <c r="I196" s="19">
        <v>117</v>
      </c>
      <c r="J196" s="4">
        <f>'Форма 2'!I690</f>
        <v>5232535.2699999996</v>
      </c>
      <c r="K196" s="4">
        <v>0</v>
      </c>
      <c r="L196" s="4">
        <v>0</v>
      </c>
      <c r="M196" s="4">
        <v>0</v>
      </c>
      <c r="N196" s="4">
        <f t="shared" si="22"/>
        <v>4988908.74</v>
      </c>
      <c r="O196" s="4">
        <v>243626.53</v>
      </c>
      <c r="P196" s="4">
        <f t="shared" si="23"/>
        <v>1693.54</v>
      </c>
      <c r="Q196" s="4">
        <f>'Форма 2'!K690</f>
        <v>2831</v>
      </c>
      <c r="R196" s="53" t="s">
        <v>153</v>
      </c>
      <c r="S196" s="5">
        <v>1</v>
      </c>
      <c r="T196" s="1"/>
      <c r="V196" s="1"/>
      <c r="W196" s="1"/>
    </row>
    <row r="197" spans="1:23" s="2" customFormat="1" x14ac:dyDescent="0.35">
      <c r="A197" s="236" t="s">
        <v>357</v>
      </c>
      <c r="B197" s="236"/>
      <c r="C197" s="236"/>
      <c r="D197" s="60" t="s">
        <v>13</v>
      </c>
      <c r="E197" s="60" t="s">
        <v>13</v>
      </c>
      <c r="F197" s="60" t="s">
        <v>13</v>
      </c>
      <c r="G197" s="4">
        <f t="shared" ref="G197:O197" si="25">SUM(G198:G228)</f>
        <v>185983.68</v>
      </c>
      <c r="H197" s="4">
        <f t="shared" si="25"/>
        <v>161817.53</v>
      </c>
      <c r="I197" s="19">
        <f t="shared" si="25"/>
        <v>7290</v>
      </c>
      <c r="J197" s="4">
        <f t="shared" si="25"/>
        <v>196011306.69</v>
      </c>
      <c r="K197" s="4">
        <f t="shared" si="25"/>
        <v>0</v>
      </c>
      <c r="L197" s="4">
        <f t="shared" si="25"/>
        <v>0</v>
      </c>
      <c r="M197" s="4">
        <f t="shared" si="25"/>
        <v>0</v>
      </c>
      <c r="N197" s="4">
        <f t="shared" si="25"/>
        <v>189124037.09</v>
      </c>
      <c r="O197" s="4">
        <f t="shared" si="25"/>
        <v>6887269.5999999996</v>
      </c>
      <c r="P197" s="60" t="s">
        <v>13</v>
      </c>
      <c r="Q197" s="60" t="s">
        <v>13</v>
      </c>
      <c r="R197" s="60" t="s">
        <v>13</v>
      </c>
      <c r="S197" s="60" t="s">
        <v>13</v>
      </c>
      <c r="T197" s="1"/>
      <c r="V197" s="1"/>
      <c r="W197" s="1"/>
    </row>
    <row r="198" spans="1:23" s="2" customFormat="1" x14ac:dyDescent="0.35">
      <c r="A198" s="20">
        <f>A196+1</f>
        <v>93</v>
      </c>
      <c r="B198" s="20">
        <v>4282</v>
      </c>
      <c r="C198" s="61" t="s">
        <v>358</v>
      </c>
      <c r="D198" s="60">
        <v>1992</v>
      </c>
      <c r="E198" s="25" t="s">
        <v>182</v>
      </c>
      <c r="F198" s="25" t="s">
        <v>183</v>
      </c>
      <c r="G198" s="4">
        <v>5243.02</v>
      </c>
      <c r="H198" s="4">
        <v>4517.62</v>
      </c>
      <c r="I198" s="19">
        <v>184</v>
      </c>
      <c r="J198" s="4">
        <f>'Форма 2'!I693</f>
        <v>3445996.26</v>
      </c>
      <c r="K198" s="4">
        <v>0</v>
      </c>
      <c r="L198" s="4">
        <v>0</v>
      </c>
      <c r="M198" s="4">
        <v>0</v>
      </c>
      <c r="N198" s="4">
        <f t="shared" ref="N198:N228" si="26">J198-K198-L198-M198-O198</f>
        <v>3335972.21</v>
      </c>
      <c r="O198" s="4">
        <v>110024.05</v>
      </c>
      <c r="P198" s="4">
        <f t="shared" ref="P198:P228" si="27">J198/H198</f>
        <v>762.79</v>
      </c>
      <c r="Q198" s="4">
        <f>'Форма 2'!K693</f>
        <v>783.59</v>
      </c>
      <c r="R198" s="53" t="s">
        <v>153</v>
      </c>
      <c r="S198" s="5">
        <v>1</v>
      </c>
      <c r="T198" s="1"/>
      <c r="V198" s="1"/>
      <c r="W198" s="1"/>
    </row>
    <row r="199" spans="1:23" s="2" customFormat="1" x14ac:dyDescent="0.35">
      <c r="A199" s="20">
        <f t="shared" ref="A199:A227" si="28">A198+1</f>
        <v>94</v>
      </c>
      <c r="B199" s="20">
        <v>4285</v>
      </c>
      <c r="C199" s="61" t="s">
        <v>359</v>
      </c>
      <c r="D199" s="60">
        <v>1989</v>
      </c>
      <c r="E199" s="25" t="s">
        <v>182</v>
      </c>
      <c r="F199" s="25" t="s">
        <v>183</v>
      </c>
      <c r="G199" s="4">
        <v>3329.76</v>
      </c>
      <c r="H199" s="4">
        <v>2969.76</v>
      </c>
      <c r="I199" s="19">
        <v>118</v>
      </c>
      <c r="J199" s="4">
        <f>'Форма 2'!I700</f>
        <v>1721904.68</v>
      </c>
      <c r="K199" s="4">
        <v>0</v>
      </c>
      <c r="L199" s="4">
        <v>0</v>
      </c>
      <c r="M199" s="4">
        <v>0</v>
      </c>
      <c r="N199" s="4">
        <f t="shared" si="26"/>
        <v>1666892.66</v>
      </c>
      <c r="O199" s="4">
        <v>55012.02</v>
      </c>
      <c r="P199" s="4">
        <f t="shared" si="27"/>
        <v>579.80999999999995</v>
      </c>
      <c r="Q199" s="4">
        <f>'Форма 2'!K700</f>
        <v>596</v>
      </c>
      <c r="R199" s="53" t="s">
        <v>153</v>
      </c>
      <c r="S199" s="5">
        <v>1</v>
      </c>
      <c r="T199" s="1"/>
      <c r="V199" s="1"/>
      <c r="W199" s="1"/>
    </row>
    <row r="200" spans="1:23" s="2" customFormat="1" x14ac:dyDescent="0.35">
      <c r="A200" s="20">
        <f t="shared" si="28"/>
        <v>95</v>
      </c>
      <c r="B200" s="20">
        <v>3514</v>
      </c>
      <c r="C200" s="61" t="s">
        <v>360</v>
      </c>
      <c r="D200" s="60">
        <v>1990</v>
      </c>
      <c r="E200" s="25" t="s">
        <v>182</v>
      </c>
      <c r="F200" s="25" t="s">
        <v>183</v>
      </c>
      <c r="G200" s="4">
        <v>16173.4</v>
      </c>
      <c r="H200" s="4">
        <v>13650.4</v>
      </c>
      <c r="I200" s="19">
        <v>376</v>
      </c>
      <c r="J200" s="4">
        <f>'Форма 2'!I704</f>
        <v>6942406.0800000001</v>
      </c>
      <c r="K200" s="4">
        <v>0</v>
      </c>
      <c r="L200" s="4">
        <v>0</v>
      </c>
      <c r="M200" s="4">
        <v>0</v>
      </c>
      <c r="N200" s="4">
        <f t="shared" si="26"/>
        <v>6722357.9800000004</v>
      </c>
      <c r="O200" s="4">
        <v>220048.1</v>
      </c>
      <c r="P200" s="4">
        <f t="shared" si="27"/>
        <v>508.59</v>
      </c>
      <c r="Q200" s="4">
        <f>'Форма 2'!K704</f>
        <v>518.66</v>
      </c>
      <c r="R200" s="53" t="s">
        <v>153</v>
      </c>
      <c r="S200" s="5">
        <v>1</v>
      </c>
      <c r="T200" s="1"/>
      <c r="V200" s="1"/>
      <c r="W200" s="1"/>
    </row>
    <row r="201" spans="1:23" s="2" customFormat="1" x14ac:dyDescent="0.35">
      <c r="A201" s="20">
        <f>A200+1</f>
        <v>96</v>
      </c>
      <c r="B201" s="20">
        <v>3060</v>
      </c>
      <c r="C201" s="61" t="s">
        <v>361</v>
      </c>
      <c r="D201" s="60">
        <v>1966</v>
      </c>
      <c r="E201" s="25" t="s">
        <v>74</v>
      </c>
      <c r="F201" s="25" t="s">
        <v>155</v>
      </c>
      <c r="G201" s="4">
        <v>3436.7</v>
      </c>
      <c r="H201" s="4">
        <v>3179.5</v>
      </c>
      <c r="I201" s="19">
        <v>119</v>
      </c>
      <c r="J201" s="4">
        <f>'Форма 2'!I717</f>
        <v>7672501.5899999999</v>
      </c>
      <c r="K201" s="4">
        <v>0</v>
      </c>
      <c r="L201" s="4">
        <v>0</v>
      </c>
      <c r="M201" s="4">
        <v>0</v>
      </c>
      <c r="N201" s="4">
        <f t="shared" si="26"/>
        <v>7392833.7800000003</v>
      </c>
      <c r="O201" s="4">
        <v>279667.81</v>
      </c>
      <c r="P201" s="4">
        <f t="shared" si="27"/>
        <v>2413.12</v>
      </c>
      <c r="Q201" s="4">
        <f>'Форма 2'!K717</f>
        <v>2831</v>
      </c>
      <c r="R201" s="53" t="s">
        <v>153</v>
      </c>
      <c r="S201" s="5">
        <v>1</v>
      </c>
      <c r="T201" s="1"/>
      <c r="V201" s="1"/>
      <c r="W201" s="1"/>
    </row>
    <row r="202" spans="1:23" s="2" customFormat="1" x14ac:dyDescent="0.35">
      <c r="A202" s="20">
        <f t="shared" si="28"/>
        <v>97</v>
      </c>
      <c r="B202" s="20">
        <v>3061</v>
      </c>
      <c r="C202" s="61" t="s">
        <v>362</v>
      </c>
      <c r="D202" s="60">
        <v>1965</v>
      </c>
      <c r="E202" s="25" t="s">
        <v>74</v>
      </c>
      <c r="F202" s="25" t="s">
        <v>155</v>
      </c>
      <c r="G202" s="4">
        <v>4073.9</v>
      </c>
      <c r="H202" s="4">
        <v>3146.9</v>
      </c>
      <c r="I202" s="19">
        <v>128</v>
      </c>
      <c r="J202" s="4">
        <f>'Форма 2'!I720</f>
        <v>8861987.0899999999</v>
      </c>
      <c r="K202" s="4">
        <v>0</v>
      </c>
      <c r="L202" s="4">
        <v>0</v>
      </c>
      <c r="M202" s="4">
        <v>0</v>
      </c>
      <c r="N202" s="4">
        <f t="shared" si="26"/>
        <v>8585186.7599999998</v>
      </c>
      <c r="O202" s="4">
        <v>276800.33</v>
      </c>
      <c r="P202" s="4">
        <f t="shared" si="27"/>
        <v>2816.1</v>
      </c>
      <c r="Q202" s="4">
        <f>'Форма 2'!K720</f>
        <v>2831</v>
      </c>
      <c r="R202" s="53" t="s">
        <v>153</v>
      </c>
      <c r="S202" s="5">
        <v>1</v>
      </c>
      <c r="T202" s="1"/>
      <c r="V202" s="1"/>
      <c r="W202" s="1"/>
    </row>
    <row r="203" spans="1:23" s="2" customFormat="1" x14ac:dyDescent="0.35">
      <c r="A203" s="20">
        <f t="shared" si="28"/>
        <v>98</v>
      </c>
      <c r="B203" s="20">
        <v>3199</v>
      </c>
      <c r="C203" s="61" t="s">
        <v>363</v>
      </c>
      <c r="D203" s="60">
        <v>1964</v>
      </c>
      <c r="E203" s="25" t="s">
        <v>74</v>
      </c>
      <c r="F203" s="25" t="s">
        <v>155</v>
      </c>
      <c r="G203" s="4">
        <v>1756.1</v>
      </c>
      <c r="H203" s="4">
        <v>1522.1</v>
      </c>
      <c r="I203" s="19">
        <v>61</v>
      </c>
      <c r="J203" s="4">
        <f>'Форма 2'!I723</f>
        <v>3728232.76</v>
      </c>
      <c r="K203" s="4">
        <v>0</v>
      </c>
      <c r="L203" s="4">
        <v>0</v>
      </c>
      <c r="M203" s="4">
        <v>0</v>
      </c>
      <c r="N203" s="4">
        <f t="shared" si="26"/>
        <v>3601140.45</v>
      </c>
      <c r="O203" s="4">
        <v>127092.31</v>
      </c>
      <c r="P203" s="4">
        <f t="shared" si="27"/>
        <v>2449.4</v>
      </c>
      <c r="Q203" s="4">
        <f>'Форма 2'!K723</f>
        <v>2831</v>
      </c>
      <c r="R203" s="53" t="s">
        <v>153</v>
      </c>
      <c r="S203" s="5">
        <v>1</v>
      </c>
      <c r="T203" s="1"/>
      <c r="V203" s="1"/>
      <c r="W203" s="1"/>
    </row>
    <row r="204" spans="1:23" s="2" customFormat="1" x14ac:dyDescent="0.35">
      <c r="A204" s="20">
        <f t="shared" si="28"/>
        <v>99</v>
      </c>
      <c r="B204" s="20">
        <v>3342</v>
      </c>
      <c r="C204" s="61" t="s">
        <v>364</v>
      </c>
      <c r="D204" s="60">
        <v>1989</v>
      </c>
      <c r="E204" s="25" t="s">
        <v>182</v>
      </c>
      <c r="F204" s="25" t="s">
        <v>183</v>
      </c>
      <c r="G204" s="4">
        <v>14643.6</v>
      </c>
      <c r="H204" s="4">
        <v>12396.3</v>
      </c>
      <c r="I204" s="19">
        <v>594</v>
      </c>
      <c r="J204" s="4">
        <f>'Форма 2'!I726</f>
        <v>10470157.859999999</v>
      </c>
      <c r="K204" s="4">
        <v>0</v>
      </c>
      <c r="L204" s="4">
        <v>0</v>
      </c>
      <c r="M204" s="4">
        <v>0</v>
      </c>
      <c r="N204" s="4">
        <f t="shared" si="26"/>
        <v>10140085.710000001</v>
      </c>
      <c r="O204" s="4">
        <v>330072.15000000002</v>
      </c>
      <c r="P204" s="4">
        <f t="shared" si="27"/>
        <v>844.62</v>
      </c>
      <c r="Q204" s="4">
        <f>'Форма 2'!K726</f>
        <v>856.69</v>
      </c>
      <c r="R204" s="53" t="s">
        <v>153</v>
      </c>
      <c r="S204" s="5">
        <v>1</v>
      </c>
      <c r="T204" s="1"/>
      <c r="V204" s="1"/>
      <c r="W204" s="1"/>
    </row>
    <row r="205" spans="1:23" s="64" customFormat="1" ht="31" x14ac:dyDescent="0.35">
      <c r="A205" s="27">
        <f t="shared" si="28"/>
        <v>100</v>
      </c>
      <c r="B205" s="27">
        <v>3278</v>
      </c>
      <c r="C205" s="61" t="s">
        <v>365</v>
      </c>
      <c r="D205" s="25">
        <v>1978</v>
      </c>
      <c r="E205" s="25" t="s">
        <v>366</v>
      </c>
      <c r="F205" s="25" t="s">
        <v>160</v>
      </c>
      <c r="G205" s="35">
        <v>4824.5</v>
      </c>
      <c r="H205" s="35">
        <v>4404.5</v>
      </c>
      <c r="I205" s="36">
        <v>224</v>
      </c>
      <c r="J205" s="35">
        <f>'Форма 2'!I745</f>
        <v>4285929.38</v>
      </c>
      <c r="K205" s="35">
        <v>0</v>
      </c>
      <c r="L205" s="35">
        <v>0</v>
      </c>
      <c r="M205" s="35">
        <v>0</v>
      </c>
      <c r="N205" s="35">
        <f t="shared" si="26"/>
        <v>4157934.87</v>
      </c>
      <c r="O205" s="35">
        <v>127994.51</v>
      </c>
      <c r="P205" s="35">
        <f t="shared" si="27"/>
        <v>973.08</v>
      </c>
      <c r="Q205" s="35">
        <f>'Форма 2'!K745</f>
        <v>3589</v>
      </c>
      <c r="R205" s="62" t="s">
        <v>161</v>
      </c>
      <c r="S205" s="63">
        <v>1</v>
      </c>
      <c r="T205" s="1"/>
      <c r="U205" s="2"/>
      <c r="V205" s="1"/>
      <c r="W205" s="1"/>
    </row>
    <row r="206" spans="1:23" s="64" customFormat="1" ht="31" x14ac:dyDescent="0.35">
      <c r="A206" s="27">
        <f t="shared" si="28"/>
        <v>101</v>
      </c>
      <c r="B206" s="27">
        <v>3280</v>
      </c>
      <c r="C206" s="61" t="s">
        <v>367</v>
      </c>
      <c r="D206" s="25">
        <v>1978</v>
      </c>
      <c r="E206" s="25" t="s">
        <v>366</v>
      </c>
      <c r="F206" s="25" t="s">
        <v>152</v>
      </c>
      <c r="G206" s="35">
        <v>4732.6000000000004</v>
      </c>
      <c r="H206" s="35">
        <v>4328.8</v>
      </c>
      <c r="I206" s="36">
        <v>224</v>
      </c>
      <c r="J206" s="35">
        <f>'Форма 2'!I754</f>
        <v>408759.43</v>
      </c>
      <c r="K206" s="35">
        <v>0</v>
      </c>
      <c r="L206" s="35">
        <v>0</v>
      </c>
      <c r="M206" s="35">
        <v>0</v>
      </c>
      <c r="N206" s="35">
        <f t="shared" si="26"/>
        <v>282964.76</v>
      </c>
      <c r="O206" s="35">
        <v>125794.67</v>
      </c>
      <c r="P206" s="35">
        <f t="shared" si="27"/>
        <v>94.43</v>
      </c>
      <c r="Q206" s="35">
        <f>'Форма 2'!K754</f>
        <v>150</v>
      </c>
      <c r="R206" s="62" t="s">
        <v>161</v>
      </c>
      <c r="S206" s="63">
        <v>1</v>
      </c>
      <c r="T206" s="1"/>
      <c r="U206" s="2"/>
      <c r="V206" s="1"/>
      <c r="W206" s="1"/>
    </row>
    <row r="207" spans="1:23" s="64" customFormat="1" ht="31" x14ac:dyDescent="0.35">
      <c r="A207" s="27">
        <f t="shared" si="28"/>
        <v>102</v>
      </c>
      <c r="B207" s="27">
        <v>3281</v>
      </c>
      <c r="C207" s="61" t="s">
        <v>368</v>
      </c>
      <c r="D207" s="25">
        <v>1971</v>
      </c>
      <c r="E207" s="25" t="s">
        <v>366</v>
      </c>
      <c r="F207" s="25" t="s">
        <v>152</v>
      </c>
      <c r="G207" s="35">
        <v>4719</v>
      </c>
      <c r="H207" s="35">
        <v>4302</v>
      </c>
      <c r="I207" s="36">
        <v>220</v>
      </c>
      <c r="J207" s="35">
        <f>'Форма 2'!I759</f>
        <v>408076.74</v>
      </c>
      <c r="K207" s="35">
        <v>0</v>
      </c>
      <c r="L207" s="35">
        <v>0</v>
      </c>
      <c r="M207" s="35">
        <v>0</v>
      </c>
      <c r="N207" s="35">
        <f t="shared" si="26"/>
        <v>283060.88</v>
      </c>
      <c r="O207" s="35">
        <v>125015.86</v>
      </c>
      <c r="P207" s="35">
        <f t="shared" si="27"/>
        <v>94.86</v>
      </c>
      <c r="Q207" s="35">
        <f>'Форма 2'!K759</f>
        <v>150</v>
      </c>
      <c r="R207" s="62" t="s">
        <v>161</v>
      </c>
      <c r="S207" s="63">
        <v>1</v>
      </c>
      <c r="T207" s="1"/>
      <c r="V207" s="1"/>
      <c r="W207" s="1"/>
    </row>
    <row r="208" spans="1:23" s="2" customFormat="1" x14ac:dyDescent="0.35">
      <c r="A208" s="20">
        <f t="shared" si="28"/>
        <v>103</v>
      </c>
      <c r="B208" s="20">
        <v>4053</v>
      </c>
      <c r="C208" s="61" t="s">
        <v>369</v>
      </c>
      <c r="D208" s="60">
        <v>1972</v>
      </c>
      <c r="E208" s="25" t="s">
        <v>74</v>
      </c>
      <c r="F208" s="25" t="s">
        <v>160</v>
      </c>
      <c r="G208" s="4">
        <v>2862.3</v>
      </c>
      <c r="H208" s="4">
        <v>2642</v>
      </c>
      <c r="I208" s="19">
        <v>116</v>
      </c>
      <c r="J208" s="4">
        <f>'Форма 2'!I764</f>
        <v>2706613.74</v>
      </c>
      <c r="K208" s="4">
        <v>0</v>
      </c>
      <c r="L208" s="4">
        <v>0</v>
      </c>
      <c r="M208" s="4">
        <v>0</v>
      </c>
      <c r="N208" s="4">
        <f t="shared" si="26"/>
        <v>2608757.33</v>
      </c>
      <c r="O208" s="4">
        <v>97856.41</v>
      </c>
      <c r="P208" s="4">
        <f t="shared" si="27"/>
        <v>1024.46</v>
      </c>
      <c r="Q208" s="4">
        <f>'Форма 2'!K764</f>
        <v>3523</v>
      </c>
      <c r="R208" s="53" t="s">
        <v>161</v>
      </c>
      <c r="S208" s="5">
        <v>1</v>
      </c>
      <c r="T208" s="1"/>
      <c r="U208" s="64"/>
      <c r="V208" s="1"/>
      <c r="W208" s="1"/>
    </row>
    <row r="209" spans="1:23" s="2" customFormat="1" x14ac:dyDescent="0.35">
      <c r="A209" s="20">
        <f t="shared" si="28"/>
        <v>104</v>
      </c>
      <c r="B209" s="20">
        <v>4058</v>
      </c>
      <c r="C209" s="61" t="s">
        <v>370</v>
      </c>
      <c r="D209" s="60">
        <v>1987</v>
      </c>
      <c r="E209" s="25" t="s">
        <v>182</v>
      </c>
      <c r="F209" s="25" t="s">
        <v>183</v>
      </c>
      <c r="G209" s="4">
        <v>9554.2000000000007</v>
      </c>
      <c r="H209" s="4">
        <v>8847.6</v>
      </c>
      <c r="I209" s="19">
        <v>454</v>
      </c>
      <c r="J209" s="4">
        <f>'Форма 2'!I767</f>
        <v>8592843.0800000001</v>
      </c>
      <c r="K209" s="4">
        <v>0</v>
      </c>
      <c r="L209" s="4">
        <v>0</v>
      </c>
      <c r="M209" s="4">
        <v>0</v>
      </c>
      <c r="N209" s="4">
        <f t="shared" si="26"/>
        <v>8317782.96</v>
      </c>
      <c r="O209" s="4">
        <v>275060.12</v>
      </c>
      <c r="P209" s="4">
        <f t="shared" si="27"/>
        <v>971.21</v>
      </c>
      <c r="Q209" s="4">
        <f>'Форма 2'!K767</f>
        <v>1000.26</v>
      </c>
      <c r="R209" s="53" t="s">
        <v>153</v>
      </c>
      <c r="S209" s="5">
        <v>1</v>
      </c>
      <c r="T209" s="1"/>
      <c r="U209" s="64"/>
      <c r="V209" s="1"/>
      <c r="W209" s="1"/>
    </row>
    <row r="210" spans="1:23" s="2" customFormat="1" x14ac:dyDescent="0.35">
      <c r="A210" s="20">
        <f t="shared" si="28"/>
        <v>105</v>
      </c>
      <c r="B210" s="20">
        <v>4059</v>
      </c>
      <c r="C210" s="61" t="s">
        <v>371</v>
      </c>
      <c r="D210" s="60">
        <v>1990</v>
      </c>
      <c r="E210" s="25" t="s">
        <v>182</v>
      </c>
      <c r="F210" s="25" t="s">
        <v>183</v>
      </c>
      <c r="G210" s="4">
        <v>18818</v>
      </c>
      <c r="H210" s="4">
        <v>17452.2</v>
      </c>
      <c r="I210" s="19">
        <v>787</v>
      </c>
      <c r="J210" s="4">
        <f>'Форма 2'!I783</f>
        <v>13705848.02</v>
      </c>
      <c r="K210" s="4">
        <v>0</v>
      </c>
      <c r="L210" s="4">
        <v>0</v>
      </c>
      <c r="M210" s="4">
        <v>0</v>
      </c>
      <c r="N210" s="4">
        <f t="shared" si="26"/>
        <v>13210739.800000001</v>
      </c>
      <c r="O210" s="4">
        <v>495108.22</v>
      </c>
      <c r="P210" s="4">
        <f t="shared" si="27"/>
        <v>785.34</v>
      </c>
      <c r="Q210" s="4">
        <f>'Форма 2'!K783</f>
        <v>912.76</v>
      </c>
      <c r="R210" s="53" t="s">
        <v>153</v>
      </c>
      <c r="S210" s="5">
        <v>1</v>
      </c>
      <c r="T210" s="1"/>
      <c r="V210" s="1"/>
      <c r="W210" s="1"/>
    </row>
    <row r="211" spans="1:23" s="2" customFormat="1" x14ac:dyDescent="0.35">
      <c r="A211" s="20">
        <f t="shared" si="28"/>
        <v>106</v>
      </c>
      <c r="B211" s="20">
        <v>4371</v>
      </c>
      <c r="C211" s="61" t="s">
        <v>372</v>
      </c>
      <c r="D211" s="60">
        <v>1988</v>
      </c>
      <c r="E211" s="25" t="s">
        <v>182</v>
      </c>
      <c r="F211" s="25" t="s">
        <v>183</v>
      </c>
      <c r="G211" s="4">
        <v>11211.5</v>
      </c>
      <c r="H211" s="4">
        <v>9043.4</v>
      </c>
      <c r="I211" s="19">
        <v>359</v>
      </c>
      <c r="J211" s="4">
        <f>'Форма 2'!I811</f>
        <v>7610421.6299999999</v>
      </c>
      <c r="K211" s="4">
        <v>0</v>
      </c>
      <c r="L211" s="4">
        <v>0</v>
      </c>
      <c r="M211" s="4">
        <v>0</v>
      </c>
      <c r="N211" s="4">
        <f t="shared" si="26"/>
        <v>7335361.5099999998</v>
      </c>
      <c r="O211" s="4">
        <v>275060.12</v>
      </c>
      <c r="P211" s="4">
        <f t="shared" si="27"/>
        <v>841.54</v>
      </c>
      <c r="Q211" s="4">
        <f>'Форма 2'!K811</f>
        <v>978.6</v>
      </c>
      <c r="R211" s="53" t="s">
        <v>153</v>
      </c>
      <c r="S211" s="5">
        <v>1</v>
      </c>
      <c r="T211" s="1"/>
      <c r="V211" s="1"/>
      <c r="W211" s="1"/>
    </row>
    <row r="212" spans="1:23" s="2" customFormat="1" x14ac:dyDescent="0.35">
      <c r="A212" s="20">
        <f t="shared" si="28"/>
        <v>107</v>
      </c>
      <c r="B212" s="20">
        <v>4329</v>
      </c>
      <c r="C212" s="61" t="s">
        <v>373</v>
      </c>
      <c r="D212" s="60">
        <v>1989</v>
      </c>
      <c r="E212" s="25" t="s">
        <v>182</v>
      </c>
      <c r="F212" s="25" t="s">
        <v>183</v>
      </c>
      <c r="G212" s="4">
        <v>8517.23</v>
      </c>
      <c r="H212" s="4">
        <v>6684.43</v>
      </c>
      <c r="I212" s="19">
        <v>273</v>
      </c>
      <c r="J212" s="4">
        <f>'Форма 2'!I827</f>
        <v>5094901</v>
      </c>
      <c r="K212" s="4">
        <v>0</v>
      </c>
      <c r="L212" s="4">
        <v>0</v>
      </c>
      <c r="M212" s="4">
        <v>0</v>
      </c>
      <c r="N212" s="4">
        <f t="shared" si="26"/>
        <v>4929864.93</v>
      </c>
      <c r="O212" s="4">
        <v>165036.07</v>
      </c>
      <c r="P212" s="4">
        <f t="shared" si="27"/>
        <v>762.2</v>
      </c>
      <c r="Q212" s="4">
        <f>'Форма 2'!K827</f>
        <v>794.37</v>
      </c>
      <c r="R212" s="53" t="s">
        <v>153</v>
      </c>
      <c r="S212" s="5">
        <v>1</v>
      </c>
      <c r="T212" s="1"/>
      <c r="V212" s="1"/>
      <c r="W212" s="1"/>
    </row>
    <row r="213" spans="1:23" s="2" customFormat="1" x14ac:dyDescent="0.35">
      <c r="A213" s="20">
        <f t="shared" si="28"/>
        <v>108</v>
      </c>
      <c r="B213" s="20">
        <v>3367</v>
      </c>
      <c r="C213" s="61" t="s">
        <v>374</v>
      </c>
      <c r="D213" s="60">
        <v>1966</v>
      </c>
      <c r="E213" s="25" t="s">
        <v>74</v>
      </c>
      <c r="F213" s="25" t="s">
        <v>155</v>
      </c>
      <c r="G213" s="4">
        <v>2945.15</v>
      </c>
      <c r="H213" s="4">
        <v>2875.15</v>
      </c>
      <c r="I213" s="19">
        <v>132</v>
      </c>
      <c r="J213" s="4">
        <f>'Форма 2'!I837</f>
        <v>5335146.21</v>
      </c>
      <c r="K213" s="4">
        <v>0</v>
      </c>
      <c r="L213" s="4">
        <v>0</v>
      </c>
      <c r="M213" s="4">
        <v>0</v>
      </c>
      <c r="N213" s="4">
        <f t="shared" si="26"/>
        <v>5125997.2300000004</v>
      </c>
      <c r="O213" s="4">
        <v>209148.98</v>
      </c>
      <c r="P213" s="4">
        <f t="shared" si="27"/>
        <v>1855.61</v>
      </c>
      <c r="Q213" s="4">
        <f>'Форма 2'!K837</f>
        <v>2831</v>
      </c>
      <c r="R213" s="53" t="s">
        <v>153</v>
      </c>
      <c r="S213" s="5">
        <v>1</v>
      </c>
      <c r="T213" s="1"/>
      <c r="V213" s="1"/>
      <c r="W213" s="1"/>
    </row>
    <row r="214" spans="1:23" s="2" customFormat="1" x14ac:dyDescent="0.35">
      <c r="A214" s="20">
        <f t="shared" si="28"/>
        <v>109</v>
      </c>
      <c r="B214" s="20">
        <v>8192</v>
      </c>
      <c r="C214" s="61" t="s">
        <v>375</v>
      </c>
      <c r="D214" s="60">
        <v>1970</v>
      </c>
      <c r="E214" s="25" t="s">
        <v>74</v>
      </c>
      <c r="F214" s="25" t="s">
        <v>155</v>
      </c>
      <c r="G214" s="4">
        <v>3834.35</v>
      </c>
      <c r="H214" s="4">
        <v>3552.8</v>
      </c>
      <c r="I214" s="19">
        <v>194</v>
      </c>
      <c r="J214" s="4">
        <f>'Форма 2'!I840</f>
        <v>7833565.3399999999</v>
      </c>
      <c r="K214" s="4">
        <v>0</v>
      </c>
      <c r="L214" s="4">
        <v>0</v>
      </c>
      <c r="M214" s="4">
        <v>0</v>
      </c>
      <c r="N214" s="4">
        <f t="shared" si="26"/>
        <v>7589797.71</v>
      </c>
      <c r="O214" s="4">
        <v>243767.63</v>
      </c>
      <c r="P214" s="4">
        <f t="shared" si="27"/>
        <v>2204.9</v>
      </c>
      <c r="Q214" s="4">
        <f>'Форма 2'!K840</f>
        <v>2831</v>
      </c>
      <c r="R214" s="53" t="s">
        <v>153</v>
      </c>
      <c r="S214" s="5">
        <v>1</v>
      </c>
      <c r="T214" s="1"/>
      <c r="V214" s="1"/>
      <c r="W214" s="1"/>
    </row>
    <row r="215" spans="1:23" s="2" customFormat="1" x14ac:dyDescent="0.35">
      <c r="A215" s="20">
        <f t="shared" si="28"/>
        <v>110</v>
      </c>
      <c r="B215" s="20">
        <v>3297</v>
      </c>
      <c r="C215" s="61" t="s">
        <v>376</v>
      </c>
      <c r="D215" s="60">
        <v>1970</v>
      </c>
      <c r="E215" s="25" t="s">
        <v>74</v>
      </c>
      <c r="F215" s="25" t="s">
        <v>155</v>
      </c>
      <c r="G215" s="4">
        <v>3818.6</v>
      </c>
      <c r="H215" s="4">
        <v>3538.6</v>
      </c>
      <c r="I215" s="19">
        <v>147</v>
      </c>
      <c r="J215" s="4">
        <f>'Форма 2'!I843</f>
        <v>7152676.7699999996</v>
      </c>
      <c r="K215" s="4">
        <v>0</v>
      </c>
      <c r="L215" s="4">
        <v>0</v>
      </c>
      <c r="M215" s="4">
        <v>0</v>
      </c>
      <c r="N215" s="4">
        <f t="shared" si="26"/>
        <v>6908909.1399999997</v>
      </c>
      <c r="O215" s="4">
        <v>243767.63</v>
      </c>
      <c r="P215" s="4">
        <f t="shared" si="27"/>
        <v>2021.33</v>
      </c>
      <c r="Q215" s="4">
        <f>'Форма 2'!K843</f>
        <v>2831</v>
      </c>
      <c r="R215" s="53" t="s">
        <v>153</v>
      </c>
      <c r="S215" s="5">
        <v>1</v>
      </c>
      <c r="T215" s="1"/>
      <c r="V215" s="1"/>
      <c r="W215" s="1"/>
    </row>
    <row r="216" spans="1:23" s="2" customFormat="1" x14ac:dyDescent="0.35">
      <c r="A216" s="20">
        <f t="shared" si="28"/>
        <v>111</v>
      </c>
      <c r="B216" s="20">
        <v>4341</v>
      </c>
      <c r="C216" s="61" t="s">
        <v>377</v>
      </c>
      <c r="D216" s="60">
        <v>1968</v>
      </c>
      <c r="E216" s="25" t="s">
        <v>74</v>
      </c>
      <c r="F216" s="25" t="s">
        <v>155</v>
      </c>
      <c r="G216" s="4">
        <v>4652.6000000000004</v>
      </c>
      <c r="H216" s="4">
        <v>3554.2</v>
      </c>
      <c r="I216" s="19">
        <v>191</v>
      </c>
      <c r="J216" s="4">
        <f>'Форма 2'!I846</f>
        <v>8160654.8899999997</v>
      </c>
      <c r="K216" s="4">
        <v>0</v>
      </c>
      <c r="L216" s="4">
        <v>0</v>
      </c>
      <c r="M216" s="4">
        <v>0</v>
      </c>
      <c r="N216" s="4">
        <f t="shared" si="26"/>
        <v>7896668.4400000004</v>
      </c>
      <c r="O216" s="4">
        <v>263986.45</v>
      </c>
      <c r="P216" s="4">
        <f t="shared" si="27"/>
        <v>2296.06</v>
      </c>
      <c r="Q216" s="4">
        <f>'Форма 2'!K846</f>
        <v>3449</v>
      </c>
      <c r="R216" s="53" t="s">
        <v>153</v>
      </c>
      <c r="S216" s="5">
        <v>1</v>
      </c>
      <c r="T216" s="1"/>
      <c r="V216" s="1"/>
      <c r="W216" s="1"/>
    </row>
    <row r="217" spans="1:23" s="2" customFormat="1" x14ac:dyDescent="0.35">
      <c r="A217" s="20">
        <f t="shared" si="28"/>
        <v>112</v>
      </c>
      <c r="B217" s="20">
        <v>3134</v>
      </c>
      <c r="C217" s="61" t="s">
        <v>378</v>
      </c>
      <c r="D217" s="60">
        <v>1960</v>
      </c>
      <c r="E217" s="25" t="s">
        <v>74</v>
      </c>
      <c r="F217" s="25" t="s">
        <v>155</v>
      </c>
      <c r="G217" s="4">
        <v>1110.4000000000001</v>
      </c>
      <c r="H217" s="4">
        <v>1040.0999999999999</v>
      </c>
      <c r="I217" s="19">
        <v>44</v>
      </c>
      <c r="J217" s="4">
        <f>'Форма 2'!I849</f>
        <v>3190320.79</v>
      </c>
      <c r="K217" s="4">
        <v>0</v>
      </c>
      <c r="L217" s="4">
        <v>0</v>
      </c>
      <c r="M217" s="4">
        <v>0</v>
      </c>
      <c r="N217" s="4">
        <f t="shared" si="26"/>
        <v>3077939.39</v>
      </c>
      <c r="O217" s="4">
        <v>112381.4</v>
      </c>
      <c r="P217" s="4">
        <f t="shared" si="27"/>
        <v>3067.32</v>
      </c>
      <c r="Q217" s="4">
        <f>'Форма 2'!K849</f>
        <v>4728</v>
      </c>
      <c r="R217" s="53" t="s">
        <v>153</v>
      </c>
      <c r="S217" s="5">
        <v>1</v>
      </c>
      <c r="T217" s="1"/>
      <c r="V217" s="1"/>
      <c r="W217" s="1"/>
    </row>
    <row r="218" spans="1:23" s="2" customFormat="1" x14ac:dyDescent="0.35">
      <c r="A218" s="20">
        <f t="shared" si="28"/>
        <v>113</v>
      </c>
      <c r="B218" s="20">
        <v>3178</v>
      </c>
      <c r="C218" s="61" t="s">
        <v>379</v>
      </c>
      <c r="D218" s="60">
        <v>1970</v>
      </c>
      <c r="E218" s="25" t="s">
        <v>74</v>
      </c>
      <c r="F218" s="25" t="s">
        <v>155</v>
      </c>
      <c r="G218" s="4">
        <v>9174.2000000000007</v>
      </c>
      <c r="H218" s="4">
        <v>7031.9</v>
      </c>
      <c r="I218" s="19">
        <v>332</v>
      </c>
      <c r="J218" s="4">
        <f>'Форма 2'!I852</f>
        <v>14383585.99</v>
      </c>
      <c r="K218" s="4">
        <v>0</v>
      </c>
      <c r="L218" s="4">
        <v>0</v>
      </c>
      <c r="M218" s="4">
        <v>0</v>
      </c>
      <c r="N218" s="4">
        <f t="shared" si="26"/>
        <v>13870577.24</v>
      </c>
      <c r="O218" s="4">
        <v>513008.75</v>
      </c>
      <c r="P218" s="4">
        <f t="shared" si="27"/>
        <v>2045.48</v>
      </c>
      <c r="Q218" s="4">
        <f>'Форма 2'!K852</f>
        <v>2831</v>
      </c>
      <c r="R218" s="53" t="s">
        <v>153</v>
      </c>
      <c r="S218" s="5">
        <v>1</v>
      </c>
      <c r="T218" s="1"/>
      <c r="V218" s="1"/>
      <c r="W218" s="1"/>
    </row>
    <row r="219" spans="1:23" s="2" customFormat="1" x14ac:dyDescent="0.35">
      <c r="A219" s="20">
        <f t="shared" si="28"/>
        <v>114</v>
      </c>
      <c r="B219" s="20">
        <v>3179</v>
      </c>
      <c r="C219" s="61" t="s">
        <v>380</v>
      </c>
      <c r="D219" s="60">
        <v>1970</v>
      </c>
      <c r="E219" s="25" t="s">
        <v>74</v>
      </c>
      <c r="F219" s="25" t="s">
        <v>155</v>
      </c>
      <c r="G219" s="4">
        <v>3074.4</v>
      </c>
      <c r="H219" s="4">
        <v>2834.4</v>
      </c>
      <c r="I219" s="19">
        <v>139</v>
      </c>
      <c r="J219" s="4">
        <f>'Форма 2'!I855</f>
        <v>5798671.0700000003</v>
      </c>
      <c r="K219" s="4">
        <v>0</v>
      </c>
      <c r="L219" s="4">
        <v>0</v>
      </c>
      <c r="M219" s="4">
        <v>0</v>
      </c>
      <c r="N219" s="4">
        <f t="shared" si="26"/>
        <v>5593009.8300000001</v>
      </c>
      <c r="O219" s="4">
        <v>205661.24</v>
      </c>
      <c r="P219" s="4">
        <f t="shared" si="27"/>
        <v>2045.82</v>
      </c>
      <c r="Q219" s="4">
        <f>'Форма 2'!K855</f>
        <v>2831</v>
      </c>
      <c r="R219" s="53" t="s">
        <v>153</v>
      </c>
      <c r="S219" s="5">
        <v>1</v>
      </c>
      <c r="T219" s="1"/>
      <c r="V219" s="1"/>
      <c r="W219" s="1"/>
    </row>
    <row r="220" spans="1:23" s="2" customFormat="1" x14ac:dyDescent="0.35">
      <c r="A220" s="20">
        <f t="shared" si="28"/>
        <v>115</v>
      </c>
      <c r="B220" s="20">
        <v>3182</v>
      </c>
      <c r="C220" s="61" t="s">
        <v>381</v>
      </c>
      <c r="D220" s="60">
        <v>1970</v>
      </c>
      <c r="E220" s="25" t="s">
        <v>74</v>
      </c>
      <c r="F220" s="25" t="s">
        <v>155</v>
      </c>
      <c r="G220" s="4">
        <v>4631.3</v>
      </c>
      <c r="H220" s="4">
        <v>3552.6</v>
      </c>
      <c r="I220" s="19">
        <v>174</v>
      </c>
      <c r="J220" s="4">
        <f>'Форма 2'!I858</f>
        <v>8031131.5599999996</v>
      </c>
      <c r="K220" s="4">
        <v>0</v>
      </c>
      <c r="L220" s="4">
        <v>0</v>
      </c>
      <c r="M220" s="4">
        <v>0</v>
      </c>
      <c r="N220" s="4">
        <f t="shared" si="26"/>
        <v>7771913.0899999999</v>
      </c>
      <c r="O220" s="4">
        <v>259218.47</v>
      </c>
      <c r="P220" s="4">
        <f t="shared" si="27"/>
        <v>2260.63</v>
      </c>
      <c r="Q220" s="4">
        <f>'Форма 2'!K858</f>
        <v>2831</v>
      </c>
      <c r="R220" s="53" t="s">
        <v>153</v>
      </c>
      <c r="S220" s="5">
        <v>1</v>
      </c>
      <c r="T220" s="1"/>
      <c r="V220" s="1"/>
      <c r="W220" s="1"/>
    </row>
    <row r="221" spans="1:23" s="2" customFormat="1" x14ac:dyDescent="0.35">
      <c r="A221" s="20">
        <f t="shared" si="28"/>
        <v>116</v>
      </c>
      <c r="B221" s="20">
        <v>3185</v>
      </c>
      <c r="C221" s="61" t="s">
        <v>382</v>
      </c>
      <c r="D221" s="60">
        <v>1970</v>
      </c>
      <c r="E221" s="25" t="s">
        <v>74</v>
      </c>
      <c r="F221" s="25" t="s">
        <v>155</v>
      </c>
      <c r="G221" s="4">
        <v>7718.6</v>
      </c>
      <c r="H221" s="4">
        <v>7158.6</v>
      </c>
      <c r="I221" s="19">
        <v>359</v>
      </c>
      <c r="J221" s="4">
        <f>'Форма 2'!I861</f>
        <v>18369514</v>
      </c>
      <c r="K221" s="4">
        <v>0</v>
      </c>
      <c r="L221" s="4">
        <v>0</v>
      </c>
      <c r="M221" s="4">
        <v>0</v>
      </c>
      <c r="N221" s="4">
        <f t="shared" si="26"/>
        <v>17790314.120000001</v>
      </c>
      <c r="O221" s="4">
        <v>579199.88</v>
      </c>
      <c r="P221" s="4">
        <f t="shared" si="27"/>
        <v>2566.08</v>
      </c>
      <c r="Q221" s="4">
        <f>'Форма 2'!K861</f>
        <v>2831</v>
      </c>
      <c r="R221" s="53" t="s">
        <v>153</v>
      </c>
      <c r="S221" s="5">
        <v>1</v>
      </c>
      <c r="T221" s="1"/>
      <c r="V221" s="1"/>
      <c r="W221" s="1"/>
    </row>
    <row r="222" spans="1:23" s="2" customFormat="1" x14ac:dyDescent="0.35">
      <c r="A222" s="20">
        <f t="shared" si="28"/>
        <v>117</v>
      </c>
      <c r="B222" s="20">
        <v>3138</v>
      </c>
      <c r="C222" s="61" t="s">
        <v>383</v>
      </c>
      <c r="D222" s="60">
        <v>1971</v>
      </c>
      <c r="E222" s="25" t="s">
        <v>74</v>
      </c>
      <c r="F222" s="25" t="s">
        <v>160</v>
      </c>
      <c r="G222" s="4">
        <v>3540</v>
      </c>
      <c r="H222" s="4">
        <v>3244</v>
      </c>
      <c r="I222" s="19">
        <v>174</v>
      </c>
      <c r="J222" s="4">
        <f>'Форма 2'!I864</f>
        <v>3206403.31</v>
      </c>
      <c r="K222" s="4">
        <v>0</v>
      </c>
      <c r="L222" s="4">
        <v>0</v>
      </c>
      <c r="M222" s="4">
        <v>0</v>
      </c>
      <c r="N222" s="4">
        <f t="shared" si="26"/>
        <v>3103736.92</v>
      </c>
      <c r="O222" s="4">
        <v>102666.39</v>
      </c>
      <c r="P222" s="4">
        <f t="shared" si="27"/>
        <v>988.41</v>
      </c>
      <c r="Q222" s="4">
        <f>'Форма 2'!K864</f>
        <v>2936</v>
      </c>
      <c r="R222" s="53" t="s">
        <v>161</v>
      </c>
      <c r="S222" s="5">
        <v>1</v>
      </c>
      <c r="T222" s="1"/>
      <c r="V222" s="1"/>
      <c r="W222" s="1"/>
    </row>
    <row r="223" spans="1:23" s="2" customFormat="1" x14ac:dyDescent="0.35">
      <c r="A223" s="20">
        <f t="shared" si="28"/>
        <v>118</v>
      </c>
      <c r="B223" s="20">
        <v>3139</v>
      </c>
      <c r="C223" s="61" t="s">
        <v>384</v>
      </c>
      <c r="D223" s="60">
        <v>1970</v>
      </c>
      <c r="E223" s="25" t="s">
        <v>74</v>
      </c>
      <c r="F223" s="25" t="s">
        <v>160</v>
      </c>
      <c r="G223" s="4">
        <v>3566</v>
      </c>
      <c r="H223" s="4">
        <v>3270</v>
      </c>
      <c r="I223" s="19">
        <v>191</v>
      </c>
      <c r="J223" s="4">
        <f>'Форма 2'!I867</f>
        <v>3255612</v>
      </c>
      <c r="K223" s="4">
        <v>0</v>
      </c>
      <c r="L223" s="4">
        <v>0</v>
      </c>
      <c r="M223" s="4">
        <v>0</v>
      </c>
      <c r="N223" s="4">
        <f t="shared" si="26"/>
        <v>3152122.76</v>
      </c>
      <c r="O223" s="4">
        <v>103489.24</v>
      </c>
      <c r="P223" s="4">
        <f t="shared" si="27"/>
        <v>995.6</v>
      </c>
      <c r="Q223" s="4">
        <f>'Форма 2'!K867</f>
        <v>2936</v>
      </c>
      <c r="R223" s="53" t="s">
        <v>161</v>
      </c>
      <c r="S223" s="5">
        <v>1</v>
      </c>
      <c r="T223" s="1"/>
      <c r="V223" s="1"/>
      <c r="W223" s="1"/>
    </row>
    <row r="224" spans="1:23" s="2" customFormat="1" x14ac:dyDescent="0.35">
      <c r="A224" s="20">
        <f t="shared" si="28"/>
        <v>119</v>
      </c>
      <c r="B224" s="20">
        <v>3140</v>
      </c>
      <c r="C224" s="61" t="s">
        <v>385</v>
      </c>
      <c r="D224" s="60">
        <v>1970</v>
      </c>
      <c r="E224" s="25" t="s">
        <v>74</v>
      </c>
      <c r="F224" s="25" t="s">
        <v>160</v>
      </c>
      <c r="G224" s="4">
        <v>3562</v>
      </c>
      <c r="H224" s="4">
        <v>3278</v>
      </c>
      <c r="I224" s="19">
        <v>153</v>
      </c>
      <c r="J224" s="4">
        <f>'Форма 2'!I870</f>
        <v>3260428.43</v>
      </c>
      <c r="K224" s="4">
        <v>0</v>
      </c>
      <c r="L224" s="4">
        <v>0</v>
      </c>
      <c r="M224" s="4">
        <v>0</v>
      </c>
      <c r="N224" s="4">
        <f t="shared" si="26"/>
        <v>3156686</v>
      </c>
      <c r="O224" s="4">
        <v>103742.43</v>
      </c>
      <c r="P224" s="4">
        <f t="shared" si="27"/>
        <v>994.64</v>
      </c>
      <c r="Q224" s="4">
        <f>'Форма 2'!K870</f>
        <v>2936</v>
      </c>
      <c r="R224" s="53" t="s">
        <v>161</v>
      </c>
      <c r="S224" s="5">
        <v>1</v>
      </c>
      <c r="T224" s="1"/>
      <c r="V224" s="1"/>
      <c r="W224" s="1"/>
    </row>
    <row r="225" spans="1:23" s="2" customFormat="1" x14ac:dyDescent="0.35">
      <c r="A225" s="20">
        <f t="shared" si="28"/>
        <v>120</v>
      </c>
      <c r="B225" s="20">
        <v>3192</v>
      </c>
      <c r="C225" s="61" t="s">
        <v>386</v>
      </c>
      <c r="D225" s="60">
        <v>1971</v>
      </c>
      <c r="E225" s="25" t="s">
        <v>74</v>
      </c>
      <c r="F225" s="25" t="s">
        <v>160</v>
      </c>
      <c r="G225" s="4">
        <v>6233</v>
      </c>
      <c r="H225" s="4">
        <v>5806.9</v>
      </c>
      <c r="I225" s="19">
        <v>295</v>
      </c>
      <c r="J225" s="4">
        <f>'Форма 2'!I873</f>
        <v>5732656.8600000003</v>
      </c>
      <c r="K225" s="4">
        <v>0</v>
      </c>
      <c r="L225" s="4">
        <v>0</v>
      </c>
      <c r="M225" s="4">
        <v>0</v>
      </c>
      <c r="N225" s="4">
        <f t="shared" si="26"/>
        <v>5548879.5899999999</v>
      </c>
      <c r="O225" s="4">
        <v>183777.27</v>
      </c>
      <c r="P225" s="4">
        <f t="shared" si="27"/>
        <v>987.21</v>
      </c>
      <c r="Q225" s="4">
        <f>'Форма 2'!K873</f>
        <v>2936</v>
      </c>
      <c r="R225" s="53" t="s">
        <v>161</v>
      </c>
      <c r="S225" s="5">
        <v>1</v>
      </c>
      <c r="T225" s="1"/>
      <c r="V225" s="1"/>
      <c r="W225" s="1"/>
    </row>
    <row r="226" spans="1:23" s="2" customFormat="1" x14ac:dyDescent="0.35">
      <c r="A226" s="20">
        <f t="shared" si="28"/>
        <v>121</v>
      </c>
      <c r="B226" s="20">
        <v>4350</v>
      </c>
      <c r="C226" s="61" t="s">
        <v>387</v>
      </c>
      <c r="D226" s="60">
        <v>1963</v>
      </c>
      <c r="E226" s="25" t="s">
        <v>74</v>
      </c>
      <c r="F226" s="25" t="s">
        <v>155</v>
      </c>
      <c r="G226" s="4">
        <v>3804</v>
      </c>
      <c r="H226" s="4">
        <v>3201.6</v>
      </c>
      <c r="I226" s="19">
        <v>134</v>
      </c>
      <c r="J226" s="4">
        <f>'Форма 2'!I876</f>
        <v>6185776.1200000001</v>
      </c>
      <c r="K226" s="4">
        <v>0</v>
      </c>
      <c r="L226" s="4">
        <v>0</v>
      </c>
      <c r="M226" s="4">
        <v>0</v>
      </c>
      <c r="N226" s="4">
        <f t="shared" si="26"/>
        <v>5967631.71</v>
      </c>
      <c r="O226" s="4">
        <v>218144.41</v>
      </c>
      <c r="P226" s="4">
        <f t="shared" si="27"/>
        <v>1932.09</v>
      </c>
      <c r="Q226" s="4">
        <f>'Форма 2'!K876</f>
        <v>2831</v>
      </c>
      <c r="R226" s="53" t="s">
        <v>153</v>
      </c>
      <c r="S226" s="5">
        <v>1</v>
      </c>
      <c r="T226" s="1"/>
      <c r="V226" s="1"/>
      <c r="W226" s="1"/>
    </row>
    <row r="227" spans="1:23" s="2" customFormat="1" x14ac:dyDescent="0.35">
      <c r="A227" s="20">
        <f t="shared" si="28"/>
        <v>122</v>
      </c>
      <c r="B227" s="20">
        <v>3389</v>
      </c>
      <c r="C227" s="61" t="s">
        <v>388</v>
      </c>
      <c r="D227" s="60">
        <v>1945</v>
      </c>
      <c r="E227" s="25" t="s">
        <v>74</v>
      </c>
      <c r="F227" s="25" t="s">
        <v>155</v>
      </c>
      <c r="G227" s="4">
        <v>1837.27</v>
      </c>
      <c r="H227" s="4">
        <v>1631.17</v>
      </c>
      <c r="I227" s="19">
        <v>47</v>
      </c>
      <c r="J227" s="4">
        <f>'Форма 2'!I879</f>
        <v>3682203.18</v>
      </c>
      <c r="K227" s="4">
        <v>0</v>
      </c>
      <c r="L227" s="4">
        <v>0</v>
      </c>
      <c r="M227" s="4">
        <v>0</v>
      </c>
      <c r="N227" s="4">
        <f t="shared" si="26"/>
        <v>3442584.6</v>
      </c>
      <c r="O227" s="4">
        <v>239618.58</v>
      </c>
      <c r="P227" s="4">
        <f t="shared" si="27"/>
        <v>2257.4</v>
      </c>
      <c r="Q227" s="4">
        <f>'Форма 2'!K879</f>
        <v>4728</v>
      </c>
      <c r="R227" s="53" t="s">
        <v>153</v>
      </c>
      <c r="S227" s="5">
        <v>1</v>
      </c>
      <c r="T227" s="1"/>
      <c r="V227" s="1"/>
      <c r="W227" s="1"/>
    </row>
    <row r="228" spans="1:23" s="2" customFormat="1" x14ac:dyDescent="0.35">
      <c r="A228" s="20">
        <f>A227+1</f>
        <v>123</v>
      </c>
      <c r="B228" s="20">
        <v>3147</v>
      </c>
      <c r="C228" s="61" t="s">
        <v>392</v>
      </c>
      <c r="D228" s="60">
        <v>1988</v>
      </c>
      <c r="E228" s="25" t="s">
        <v>182</v>
      </c>
      <c r="F228" s="25" t="s">
        <v>183</v>
      </c>
      <c r="G228" s="4">
        <v>8586</v>
      </c>
      <c r="H228" s="4">
        <v>7160</v>
      </c>
      <c r="I228" s="19">
        <v>347</v>
      </c>
      <c r="J228" s="4">
        <f>'Форма 2'!I882</f>
        <v>6776380.8300000001</v>
      </c>
      <c r="K228" s="4">
        <v>0</v>
      </c>
      <c r="L228" s="4">
        <v>0</v>
      </c>
      <c r="M228" s="4">
        <v>0</v>
      </c>
      <c r="N228" s="4">
        <f t="shared" si="26"/>
        <v>6556332.7300000004</v>
      </c>
      <c r="O228" s="4">
        <v>220048.1</v>
      </c>
      <c r="P228" s="4">
        <f t="shared" si="27"/>
        <v>946.42</v>
      </c>
      <c r="Q228" s="4">
        <f>'Форма 2'!K882</f>
        <v>988.81</v>
      </c>
      <c r="R228" s="53" t="s">
        <v>153</v>
      </c>
      <c r="S228" s="5">
        <v>1</v>
      </c>
      <c r="T228" s="1"/>
      <c r="V228" s="1"/>
      <c r="W228" s="1"/>
    </row>
    <row r="229" spans="1:23" s="2" customFormat="1" x14ac:dyDescent="0.35">
      <c r="A229" s="236" t="s">
        <v>393</v>
      </c>
      <c r="B229" s="236"/>
      <c r="C229" s="236"/>
      <c r="D229" s="60" t="s">
        <v>13</v>
      </c>
      <c r="E229" s="60" t="s">
        <v>13</v>
      </c>
      <c r="F229" s="60" t="s">
        <v>13</v>
      </c>
      <c r="G229" s="4">
        <f>SUM(G230:G262)</f>
        <v>159304.29999999999</v>
      </c>
      <c r="H229" s="4">
        <f t="shared" ref="H229:O229" si="29">SUM(H230:H262)</f>
        <v>135648</v>
      </c>
      <c r="I229" s="19">
        <f t="shared" si="29"/>
        <v>6490</v>
      </c>
      <c r="J229" s="4">
        <f t="shared" si="29"/>
        <v>93050202.370000005</v>
      </c>
      <c r="K229" s="4">
        <f t="shared" si="29"/>
        <v>0</v>
      </c>
      <c r="L229" s="4">
        <f t="shared" si="29"/>
        <v>0</v>
      </c>
      <c r="M229" s="4">
        <f t="shared" si="29"/>
        <v>0</v>
      </c>
      <c r="N229" s="4">
        <f t="shared" si="29"/>
        <v>89982720.200000003</v>
      </c>
      <c r="O229" s="4">
        <f t="shared" si="29"/>
        <v>3067482.17</v>
      </c>
      <c r="P229" s="60" t="s">
        <v>13</v>
      </c>
      <c r="Q229" s="60" t="s">
        <v>13</v>
      </c>
      <c r="R229" s="60" t="s">
        <v>13</v>
      </c>
      <c r="S229" s="60" t="s">
        <v>13</v>
      </c>
      <c r="T229" s="1"/>
    </row>
    <row r="230" spans="1:23" s="2" customFormat="1" x14ac:dyDescent="0.35">
      <c r="A230" s="20">
        <f>A228+1</f>
        <v>124</v>
      </c>
      <c r="B230" s="20">
        <v>2258</v>
      </c>
      <c r="C230" s="61" t="s">
        <v>394</v>
      </c>
      <c r="D230" s="60">
        <v>1968</v>
      </c>
      <c r="E230" s="25" t="s">
        <v>74</v>
      </c>
      <c r="F230" s="25" t="s">
        <v>160</v>
      </c>
      <c r="G230" s="4">
        <v>4958.3</v>
      </c>
      <c r="H230" s="4">
        <v>4516</v>
      </c>
      <c r="I230" s="19">
        <v>193</v>
      </c>
      <c r="J230" s="4">
        <f>'Форма 2'!I895</f>
        <v>3265963.02</v>
      </c>
      <c r="K230" s="4">
        <v>0</v>
      </c>
      <c r="L230" s="4">
        <v>0</v>
      </c>
      <c r="M230" s="4">
        <v>0</v>
      </c>
      <c r="N230" s="4">
        <f t="shared" ref="N230:N262" si="30">J230-K230-L230-M230-O230</f>
        <v>3121033.77</v>
      </c>
      <c r="O230" s="4">
        <v>144929.25</v>
      </c>
      <c r="P230" s="4">
        <f t="shared" ref="P230:P262" si="31">J230/H230</f>
        <v>723.2</v>
      </c>
      <c r="Q230" s="4">
        <f>'Форма 2'!K895</f>
        <v>2936</v>
      </c>
      <c r="R230" s="53" t="s">
        <v>161</v>
      </c>
      <c r="S230" s="5">
        <v>1</v>
      </c>
      <c r="T230" s="1"/>
      <c r="V230" s="1"/>
      <c r="W230" s="1"/>
    </row>
    <row r="231" spans="1:23" s="2" customFormat="1" x14ac:dyDescent="0.35">
      <c r="A231" s="20">
        <f t="shared" ref="A231:A262" si="32">A230+1</f>
        <v>125</v>
      </c>
      <c r="B231" s="20">
        <v>2333</v>
      </c>
      <c r="C231" s="61" t="s">
        <v>395</v>
      </c>
      <c r="D231" s="60">
        <v>1988</v>
      </c>
      <c r="E231" s="25" t="s">
        <v>182</v>
      </c>
      <c r="F231" s="25" t="s">
        <v>183</v>
      </c>
      <c r="G231" s="4">
        <v>5724.4</v>
      </c>
      <c r="H231" s="4">
        <v>4882.3999999999996</v>
      </c>
      <c r="I231" s="19">
        <v>230</v>
      </c>
      <c r="J231" s="4">
        <f>'Форма 2'!I898</f>
        <v>1671941.4</v>
      </c>
      <c r="K231" s="4">
        <v>0</v>
      </c>
      <c r="L231" s="4">
        <v>0</v>
      </c>
      <c r="M231" s="4">
        <v>0</v>
      </c>
      <c r="N231" s="4">
        <f t="shared" si="30"/>
        <v>1616929.38</v>
      </c>
      <c r="O231" s="4">
        <v>55012.02</v>
      </c>
      <c r="P231" s="4">
        <f t="shared" si="31"/>
        <v>342.44</v>
      </c>
      <c r="Q231" s="4">
        <f>'Форма 2'!K898</f>
        <v>362.52</v>
      </c>
      <c r="R231" s="53" t="s">
        <v>153</v>
      </c>
      <c r="S231" s="5">
        <v>1</v>
      </c>
      <c r="T231" s="1"/>
      <c r="V231" s="1"/>
      <c r="W231" s="1"/>
    </row>
    <row r="232" spans="1:23" s="2" customFormat="1" x14ac:dyDescent="0.35">
      <c r="A232" s="20">
        <f t="shared" si="32"/>
        <v>126</v>
      </c>
      <c r="B232" s="20">
        <v>2343</v>
      </c>
      <c r="C232" s="61" t="s">
        <v>396</v>
      </c>
      <c r="D232" s="60">
        <v>1989</v>
      </c>
      <c r="E232" s="25" t="s">
        <v>182</v>
      </c>
      <c r="F232" s="25" t="s">
        <v>183</v>
      </c>
      <c r="G232" s="4">
        <v>9379.9</v>
      </c>
      <c r="H232" s="4">
        <v>8262.9</v>
      </c>
      <c r="I232" s="19">
        <v>362</v>
      </c>
      <c r="J232" s="4">
        <f>'Форма 2'!I902</f>
        <v>3420199.9</v>
      </c>
      <c r="K232" s="4">
        <v>0</v>
      </c>
      <c r="L232" s="4">
        <v>0</v>
      </c>
      <c r="M232" s="4">
        <v>0</v>
      </c>
      <c r="N232" s="4">
        <f t="shared" si="30"/>
        <v>3310175.85</v>
      </c>
      <c r="O232" s="4">
        <v>110024.05</v>
      </c>
      <c r="P232" s="4">
        <f t="shared" si="31"/>
        <v>413.92</v>
      </c>
      <c r="Q232" s="4">
        <f>'Форма 2'!K902</f>
        <v>428.41</v>
      </c>
      <c r="R232" s="53" t="s">
        <v>153</v>
      </c>
      <c r="S232" s="5">
        <v>1</v>
      </c>
      <c r="T232" s="1"/>
      <c r="V232" s="1"/>
      <c r="W232" s="1"/>
    </row>
    <row r="233" spans="1:23" s="2" customFormat="1" x14ac:dyDescent="0.35">
      <c r="A233" s="20">
        <f t="shared" si="32"/>
        <v>127</v>
      </c>
      <c r="B233" s="20">
        <v>2345</v>
      </c>
      <c r="C233" s="61" t="s">
        <v>397</v>
      </c>
      <c r="D233" s="60">
        <v>1966</v>
      </c>
      <c r="E233" s="25" t="s">
        <v>74</v>
      </c>
      <c r="F233" s="25" t="s">
        <v>160</v>
      </c>
      <c r="G233" s="4">
        <v>3070.7</v>
      </c>
      <c r="H233" s="4">
        <v>2866.7</v>
      </c>
      <c r="I233" s="19">
        <v>128</v>
      </c>
      <c r="J233" s="4">
        <f>'Форма 2'!I909</f>
        <v>2887711.15</v>
      </c>
      <c r="K233" s="4">
        <v>0</v>
      </c>
      <c r="L233" s="4">
        <v>0</v>
      </c>
      <c r="M233" s="4">
        <v>0</v>
      </c>
      <c r="N233" s="4">
        <f t="shared" si="30"/>
        <v>2781532.13</v>
      </c>
      <c r="O233" s="4">
        <v>106179.02</v>
      </c>
      <c r="P233" s="4">
        <f t="shared" si="31"/>
        <v>1007.33</v>
      </c>
      <c r="Q233" s="4">
        <f>'Форма 2'!K909</f>
        <v>3523</v>
      </c>
      <c r="R233" s="53" t="s">
        <v>161</v>
      </c>
      <c r="S233" s="5">
        <v>1</v>
      </c>
      <c r="T233" s="1"/>
      <c r="V233" s="1"/>
      <c r="W233" s="1"/>
    </row>
    <row r="234" spans="1:23" s="2" customFormat="1" x14ac:dyDescent="0.35">
      <c r="A234" s="20">
        <f t="shared" si="32"/>
        <v>128</v>
      </c>
      <c r="B234" s="20">
        <v>2213</v>
      </c>
      <c r="C234" s="61" t="s">
        <v>398</v>
      </c>
      <c r="D234" s="60">
        <v>1967</v>
      </c>
      <c r="E234" s="25" t="s">
        <v>74</v>
      </c>
      <c r="F234" s="25" t="s">
        <v>160</v>
      </c>
      <c r="G234" s="4">
        <v>3514</v>
      </c>
      <c r="H234" s="4">
        <v>3314</v>
      </c>
      <c r="I234" s="19">
        <v>120</v>
      </c>
      <c r="J234" s="4">
        <f>'Форма 2'!I912</f>
        <v>3681292.09</v>
      </c>
      <c r="K234" s="4">
        <v>0</v>
      </c>
      <c r="L234" s="4">
        <v>0</v>
      </c>
      <c r="M234" s="4">
        <v>0</v>
      </c>
      <c r="N234" s="4">
        <f t="shared" si="30"/>
        <v>3558545.63</v>
      </c>
      <c r="O234" s="4">
        <v>122746.46</v>
      </c>
      <c r="P234" s="4">
        <f t="shared" si="31"/>
        <v>1110.83</v>
      </c>
      <c r="Q234" s="4">
        <f>'Форма 2'!K912</f>
        <v>3523</v>
      </c>
      <c r="R234" s="53" t="s">
        <v>161</v>
      </c>
      <c r="S234" s="5">
        <v>1</v>
      </c>
      <c r="T234" s="1"/>
      <c r="V234" s="1"/>
      <c r="W234" s="1"/>
    </row>
    <row r="235" spans="1:23" s="2" customFormat="1" x14ac:dyDescent="0.35">
      <c r="A235" s="20">
        <f t="shared" si="32"/>
        <v>129</v>
      </c>
      <c r="B235" s="20">
        <v>2215</v>
      </c>
      <c r="C235" s="61" t="s">
        <v>399</v>
      </c>
      <c r="D235" s="60">
        <v>1967</v>
      </c>
      <c r="E235" s="60" t="s">
        <v>74</v>
      </c>
      <c r="F235" s="60" t="s">
        <v>160</v>
      </c>
      <c r="G235" s="4">
        <v>3903.5</v>
      </c>
      <c r="H235" s="4">
        <v>3550.3</v>
      </c>
      <c r="I235" s="19">
        <v>178</v>
      </c>
      <c r="J235" s="4">
        <f>'Форма 2'!I915</f>
        <v>3415959.86</v>
      </c>
      <c r="K235" s="4">
        <v>0</v>
      </c>
      <c r="L235" s="4">
        <v>0</v>
      </c>
      <c r="M235" s="4">
        <v>0</v>
      </c>
      <c r="N235" s="4">
        <f t="shared" si="30"/>
        <v>3316258.89</v>
      </c>
      <c r="O235" s="4">
        <v>99700.97</v>
      </c>
      <c r="P235" s="4">
        <f t="shared" si="31"/>
        <v>962.16</v>
      </c>
      <c r="Q235" s="4">
        <f>'Форма 2'!K915</f>
        <v>2936</v>
      </c>
      <c r="R235" s="53" t="s">
        <v>161</v>
      </c>
      <c r="S235" s="5">
        <v>1</v>
      </c>
      <c r="T235" s="1"/>
      <c r="V235" s="1"/>
      <c r="W235" s="1"/>
    </row>
    <row r="236" spans="1:23" s="2" customFormat="1" x14ac:dyDescent="0.35">
      <c r="A236" s="20">
        <f t="shared" si="32"/>
        <v>130</v>
      </c>
      <c r="B236" s="20">
        <v>2217</v>
      </c>
      <c r="C236" s="61" t="s">
        <v>400</v>
      </c>
      <c r="D236" s="60">
        <v>1967</v>
      </c>
      <c r="E236" s="60" t="s">
        <v>74</v>
      </c>
      <c r="F236" s="60" t="s">
        <v>160</v>
      </c>
      <c r="G236" s="4">
        <v>3899.4</v>
      </c>
      <c r="H236" s="4">
        <v>3563</v>
      </c>
      <c r="I236" s="19">
        <v>172</v>
      </c>
      <c r="J236" s="4">
        <f>'Форма 2'!I918</f>
        <v>3418118.17</v>
      </c>
      <c r="K236" s="4">
        <v>0</v>
      </c>
      <c r="L236" s="4">
        <v>0</v>
      </c>
      <c r="M236" s="4">
        <v>0</v>
      </c>
      <c r="N236" s="4">
        <f t="shared" si="30"/>
        <v>3317999.45</v>
      </c>
      <c r="O236" s="4">
        <v>100118.72</v>
      </c>
      <c r="P236" s="4">
        <f t="shared" si="31"/>
        <v>959.34</v>
      </c>
      <c r="Q236" s="4">
        <f>'Форма 2'!K918</f>
        <v>2936</v>
      </c>
      <c r="R236" s="53" t="s">
        <v>161</v>
      </c>
      <c r="S236" s="5">
        <v>1</v>
      </c>
      <c r="T236" s="1"/>
      <c r="V236" s="1"/>
      <c r="W236" s="1"/>
    </row>
    <row r="237" spans="1:23" s="2" customFormat="1" x14ac:dyDescent="0.35">
      <c r="A237" s="20">
        <f t="shared" si="32"/>
        <v>131</v>
      </c>
      <c r="B237" s="20">
        <v>2479</v>
      </c>
      <c r="C237" s="61" t="s">
        <v>401</v>
      </c>
      <c r="D237" s="60">
        <v>1962</v>
      </c>
      <c r="E237" s="25" t="s">
        <v>402</v>
      </c>
      <c r="F237" s="25" t="s">
        <v>155</v>
      </c>
      <c r="G237" s="4">
        <v>2781.13</v>
      </c>
      <c r="H237" s="4">
        <v>2528.3000000000002</v>
      </c>
      <c r="I237" s="19">
        <v>117</v>
      </c>
      <c r="J237" s="4">
        <f>'Форма 2'!I921</f>
        <v>1026256.84</v>
      </c>
      <c r="K237" s="4">
        <v>0</v>
      </c>
      <c r="L237" s="4">
        <v>0</v>
      </c>
      <c r="M237" s="4">
        <v>0</v>
      </c>
      <c r="N237" s="4">
        <f t="shared" si="30"/>
        <v>994367.5</v>
      </c>
      <c r="O237" s="4">
        <v>31889.34</v>
      </c>
      <c r="P237" s="4">
        <f t="shared" si="31"/>
        <v>405.91</v>
      </c>
      <c r="Q237" s="4">
        <f>'Форма 2'!K921</f>
        <v>891</v>
      </c>
      <c r="R237" s="53" t="s">
        <v>153</v>
      </c>
      <c r="S237" s="5">
        <v>1</v>
      </c>
      <c r="T237" s="1"/>
      <c r="V237" s="1"/>
      <c r="W237" s="1"/>
    </row>
    <row r="238" spans="1:23" s="2" customFormat="1" x14ac:dyDescent="0.35">
      <c r="A238" s="20">
        <f t="shared" si="32"/>
        <v>132</v>
      </c>
      <c r="B238" s="20">
        <v>2222</v>
      </c>
      <c r="C238" s="61" t="s">
        <v>403</v>
      </c>
      <c r="D238" s="60">
        <v>1974</v>
      </c>
      <c r="E238" s="25" t="s">
        <v>74</v>
      </c>
      <c r="F238" s="25" t="s">
        <v>160</v>
      </c>
      <c r="G238" s="4">
        <v>6206.42</v>
      </c>
      <c r="H238" s="4">
        <v>5780.42</v>
      </c>
      <c r="I238" s="19">
        <v>271</v>
      </c>
      <c r="J238" s="4">
        <f>'Форма 2'!I926</f>
        <v>6625388.1399999997</v>
      </c>
      <c r="K238" s="4">
        <v>0</v>
      </c>
      <c r="L238" s="4">
        <v>0</v>
      </c>
      <c r="M238" s="4">
        <v>0</v>
      </c>
      <c r="N238" s="4">
        <f t="shared" si="30"/>
        <v>6411288.5300000003</v>
      </c>
      <c r="O238" s="4">
        <v>214099.61</v>
      </c>
      <c r="P238" s="4">
        <f t="shared" si="31"/>
        <v>1146.18</v>
      </c>
      <c r="Q238" s="4">
        <f>'Форма 2'!K926</f>
        <v>3523</v>
      </c>
      <c r="R238" s="53" t="s">
        <v>161</v>
      </c>
      <c r="S238" s="5">
        <v>1</v>
      </c>
      <c r="T238" s="1"/>
      <c r="V238" s="1"/>
      <c r="W238" s="1"/>
    </row>
    <row r="239" spans="1:23" s="2" customFormat="1" x14ac:dyDescent="0.35">
      <c r="A239" s="20">
        <f t="shared" si="32"/>
        <v>133</v>
      </c>
      <c r="B239" s="20">
        <v>2223</v>
      </c>
      <c r="C239" s="61" t="s">
        <v>404</v>
      </c>
      <c r="D239" s="60">
        <v>1971</v>
      </c>
      <c r="E239" s="25" t="s">
        <v>74</v>
      </c>
      <c r="F239" s="25" t="s">
        <v>160</v>
      </c>
      <c r="G239" s="4">
        <v>4950.6000000000004</v>
      </c>
      <c r="H239" s="4">
        <v>4630</v>
      </c>
      <c r="I239" s="19">
        <v>232</v>
      </c>
      <c r="J239" s="4">
        <f>'Форма 2'!I929</f>
        <v>4169451.01</v>
      </c>
      <c r="K239" s="4">
        <v>0</v>
      </c>
      <c r="L239" s="4">
        <v>0</v>
      </c>
      <c r="M239" s="4">
        <v>0</v>
      </c>
      <c r="N239" s="4">
        <f t="shared" si="30"/>
        <v>4022920.37</v>
      </c>
      <c r="O239" s="4">
        <v>146530.64000000001</v>
      </c>
      <c r="P239" s="4">
        <f t="shared" si="31"/>
        <v>900.53</v>
      </c>
      <c r="Q239" s="4">
        <f>'Форма 2'!K929</f>
        <v>2936</v>
      </c>
      <c r="R239" s="53" t="s">
        <v>161</v>
      </c>
      <c r="S239" s="5">
        <v>1</v>
      </c>
      <c r="T239" s="1"/>
      <c r="V239" s="1"/>
      <c r="W239" s="1"/>
    </row>
    <row r="240" spans="1:23" s="2" customFormat="1" x14ac:dyDescent="0.35">
      <c r="A240" s="20">
        <f t="shared" si="32"/>
        <v>134</v>
      </c>
      <c r="B240" s="20">
        <v>2103</v>
      </c>
      <c r="C240" s="61" t="s">
        <v>405</v>
      </c>
      <c r="D240" s="60">
        <v>1967</v>
      </c>
      <c r="E240" s="60" t="s">
        <v>74</v>
      </c>
      <c r="F240" s="60" t="s">
        <v>160</v>
      </c>
      <c r="G240" s="4">
        <f>3273.5+249.6</f>
        <v>3523.1</v>
      </c>
      <c r="H240" s="4">
        <v>3273.5</v>
      </c>
      <c r="I240" s="19">
        <v>137</v>
      </c>
      <c r="J240" s="4">
        <f>'Форма 2'!I932</f>
        <v>3159344.49</v>
      </c>
      <c r="K240" s="4">
        <v>0</v>
      </c>
      <c r="L240" s="4">
        <v>0</v>
      </c>
      <c r="M240" s="4">
        <v>0</v>
      </c>
      <c r="N240" s="4">
        <f t="shared" si="30"/>
        <v>3077840.69</v>
      </c>
      <c r="O240" s="4">
        <v>81503.8</v>
      </c>
      <c r="P240" s="4">
        <f t="shared" si="31"/>
        <v>965.13</v>
      </c>
      <c r="Q240" s="4">
        <f>'Форма 2'!K932</f>
        <v>3523</v>
      </c>
      <c r="R240" s="53" t="s">
        <v>161</v>
      </c>
      <c r="S240" s="5">
        <v>1</v>
      </c>
      <c r="T240" s="1"/>
      <c r="V240" s="1"/>
      <c r="W240" s="1"/>
    </row>
    <row r="241" spans="1:23" s="2" customFormat="1" x14ac:dyDescent="0.35">
      <c r="A241" s="20">
        <f t="shared" si="32"/>
        <v>135</v>
      </c>
      <c r="B241" s="20">
        <v>2367</v>
      </c>
      <c r="C241" s="61" t="s">
        <v>406</v>
      </c>
      <c r="D241" s="60">
        <v>1971</v>
      </c>
      <c r="E241" s="25" t="s">
        <v>289</v>
      </c>
      <c r="F241" s="25" t="s">
        <v>155</v>
      </c>
      <c r="G241" s="4">
        <v>2670.7</v>
      </c>
      <c r="H241" s="4">
        <v>1819.1</v>
      </c>
      <c r="I241" s="19">
        <v>145</v>
      </c>
      <c r="J241" s="4">
        <f>'Форма 2'!I935</f>
        <v>468192.44</v>
      </c>
      <c r="K241" s="4">
        <v>0</v>
      </c>
      <c r="L241" s="4">
        <v>0</v>
      </c>
      <c r="M241" s="4">
        <v>0</v>
      </c>
      <c r="N241" s="4">
        <f t="shared" si="30"/>
        <v>463049.14</v>
      </c>
      <c r="O241" s="4">
        <v>5143.3</v>
      </c>
      <c r="P241" s="4">
        <f t="shared" si="31"/>
        <v>257.38</v>
      </c>
      <c r="Q241" s="4">
        <f>'Форма 2'!K935</f>
        <v>277</v>
      </c>
      <c r="R241" s="53" t="s">
        <v>153</v>
      </c>
      <c r="S241" s="5">
        <v>1</v>
      </c>
      <c r="T241" s="1"/>
      <c r="V241" s="1"/>
      <c r="W241" s="1"/>
    </row>
    <row r="242" spans="1:23" s="2" customFormat="1" x14ac:dyDescent="0.35">
      <c r="A242" s="20">
        <f t="shared" si="32"/>
        <v>136</v>
      </c>
      <c r="B242" s="20">
        <v>2368</v>
      </c>
      <c r="C242" s="61" t="s">
        <v>407</v>
      </c>
      <c r="D242" s="60">
        <v>1975</v>
      </c>
      <c r="E242" s="60" t="s">
        <v>74</v>
      </c>
      <c r="F242" s="60" t="s">
        <v>160</v>
      </c>
      <c r="G242" s="4">
        <f>4326+870.7+(82.8)*5</f>
        <v>5610.7</v>
      </c>
      <c r="H242" s="4">
        <v>4326</v>
      </c>
      <c r="I242" s="19">
        <v>211</v>
      </c>
      <c r="J242" s="4">
        <f>'Форма 2'!I938</f>
        <v>4603652.2300000004</v>
      </c>
      <c r="K242" s="4">
        <v>0</v>
      </c>
      <c r="L242" s="4">
        <v>0</v>
      </c>
      <c r="M242" s="4">
        <v>0</v>
      </c>
      <c r="N242" s="4">
        <f t="shared" si="30"/>
        <v>4493143.38</v>
      </c>
      <c r="O242" s="4">
        <v>110508.85</v>
      </c>
      <c r="P242" s="4">
        <f t="shared" si="31"/>
        <v>1064.18</v>
      </c>
      <c r="Q242" s="4">
        <f>'Форма 2'!K938</f>
        <v>3523</v>
      </c>
      <c r="R242" s="53" t="s">
        <v>161</v>
      </c>
      <c r="S242" s="5">
        <v>1</v>
      </c>
      <c r="T242" s="1"/>
      <c r="V242" s="1"/>
      <c r="W242" s="1"/>
    </row>
    <row r="243" spans="1:23" s="2" customFormat="1" x14ac:dyDescent="0.35">
      <c r="A243" s="20">
        <f t="shared" si="32"/>
        <v>137</v>
      </c>
      <c r="B243" s="20">
        <v>2486</v>
      </c>
      <c r="C243" s="61" t="s">
        <v>408</v>
      </c>
      <c r="D243" s="60">
        <v>1961</v>
      </c>
      <c r="E243" s="25" t="s">
        <v>239</v>
      </c>
      <c r="F243" s="25" t="s">
        <v>155</v>
      </c>
      <c r="G243" s="4">
        <v>1423.59</v>
      </c>
      <c r="H243" s="4">
        <v>1314</v>
      </c>
      <c r="I243" s="19">
        <v>46</v>
      </c>
      <c r="J243" s="4">
        <f>'Форма 2'!I941</f>
        <v>457100.01</v>
      </c>
      <c r="K243" s="4">
        <v>0</v>
      </c>
      <c r="L243" s="4">
        <v>0</v>
      </c>
      <c r="M243" s="4">
        <v>0</v>
      </c>
      <c r="N243" s="4">
        <f t="shared" si="30"/>
        <v>441552.03</v>
      </c>
      <c r="O243" s="4">
        <v>15547.98</v>
      </c>
      <c r="P243" s="4">
        <f t="shared" si="31"/>
        <v>347.87</v>
      </c>
      <c r="Q243" s="4">
        <f>'Форма 2'!K941</f>
        <v>596</v>
      </c>
      <c r="R243" s="53" t="s">
        <v>153</v>
      </c>
      <c r="S243" s="5">
        <v>1</v>
      </c>
      <c r="T243" s="1"/>
      <c r="V243" s="1"/>
      <c r="W243" s="1"/>
    </row>
    <row r="244" spans="1:23" s="64" customFormat="1" x14ac:dyDescent="0.35">
      <c r="A244" s="27">
        <f t="shared" si="32"/>
        <v>138</v>
      </c>
      <c r="B244" s="27">
        <v>2236</v>
      </c>
      <c r="C244" s="61" t="s">
        <v>409</v>
      </c>
      <c r="D244" s="25">
        <v>1992</v>
      </c>
      <c r="E244" s="25" t="s">
        <v>235</v>
      </c>
      <c r="F244" s="25" t="s">
        <v>152</v>
      </c>
      <c r="G244" s="35">
        <v>1955.2</v>
      </c>
      <c r="H244" s="35">
        <v>1767.2</v>
      </c>
      <c r="I244" s="36">
        <v>90</v>
      </c>
      <c r="J244" s="35">
        <f>'Форма 2'!I944</f>
        <v>206762.4</v>
      </c>
      <c r="K244" s="35">
        <v>0</v>
      </c>
      <c r="L244" s="35">
        <v>0</v>
      </c>
      <c r="M244" s="35">
        <v>0</v>
      </c>
      <c r="N244" s="35">
        <f t="shared" si="30"/>
        <v>202699.27</v>
      </c>
      <c r="O244" s="35">
        <v>4063.13</v>
      </c>
      <c r="P244" s="35">
        <f t="shared" si="31"/>
        <v>117</v>
      </c>
      <c r="Q244" s="35">
        <f>'Форма 2'!K944</f>
        <v>117</v>
      </c>
      <c r="R244" s="62" t="s">
        <v>153</v>
      </c>
      <c r="S244" s="63">
        <v>1</v>
      </c>
      <c r="T244" s="1"/>
      <c r="U244" s="2"/>
      <c r="V244" s="1"/>
      <c r="W244" s="1"/>
    </row>
    <row r="245" spans="1:23" s="2" customFormat="1" x14ac:dyDescent="0.35">
      <c r="A245" s="20">
        <f t="shared" si="32"/>
        <v>139</v>
      </c>
      <c r="B245" s="20">
        <v>2488</v>
      </c>
      <c r="C245" s="61" t="s">
        <v>410</v>
      </c>
      <c r="D245" s="60">
        <v>1990</v>
      </c>
      <c r="E245" s="25" t="s">
        <v>182</v>
      </c>
      <c r="F245" s="25" t="s">
        <v>183</v>
      </c>
      <c r="G245" s="4">
        <v>5457.63</v>
      </c>
      <c r="H245" s="4">
        <v>5037.5</v>
      </c>
      <c r="I245" s="19">
        <v>229</v>
      </c>
      <c r="J245" s="4">
        <f>'Форма 2'!I946</f>
        <v>3454215</v>
      </c>
      <c r="K245" s="4">
        <v>0</v>
      </c>
      <c r="L245" s="4">
        <v>0</v>
      </c>
      <c r="M245" s="4">
        <v>0</v>
      </c>
      <c r="N245" s="4">
        <f t="shared" si="30"/>
        <v>3344190.95</v>
      </c>
      <c r="O245" s="4">
        <v>110024.05</v>
      </c>
      <c r="P245" s="4">
        <f t="shared" si="31"/>
        <v>685.7</v>
      </c>
      <c r="Q245" s="4">
        <f>'Форма 2'!K946</f>
        <v>702.72</v>
      </c>
      <c r="R245" s="53" t="s">
        <v>153</v>
      </c>
      <c r="S245" s="5">
        <v>1</v>
      </c>
      <c r="T245" s="1"/>
      <c r="V245" s="1"/>
      <c r="W245" s="1"/>
    </row>
    <row r="246" spans="1:23" s="2" customFormat="1" x14ac:dyDescent="0.35">
      <c r="A246" s="20">
        <f t="shared" si="32"/>
        <v>140</v>
      </c>
      <c r="B246" s="20">
        <v>2138</v>
      </c>
      <c r="C246" s="61" t="s">
        <v>411</v>
      </c>
      <c r="D246" s="60">
        <v>1989</v>
      </c>
      <c r="E246" s="25" t="s">
        <v>182</v>
      </c>
      <c r="F246" s="25" t="s">
        <v>183</v>
      </c>
      <c r="G246" s="4">
        <v>6360.61</v>
      </c>
      <c r="H246" s="4">
        <v>6167</v>
      </c>
      <c r="I246" s="19">
        <v>105</v>
      </c>
      <c r="J246" s="4">
        <f>'Форма 2'!I953</f>
        <v>6849690</v>
      </c>
      <c r="K246" s="4">
        <v>0</v>
      </c>
      <c r="L246" s="4">
        <v>0</v>
      </c>
      <c r="M246" s="4">
        <v>0</v>
      </c>
      <c r="N246" s="4">
        <f t="shared" si="30"/>
        <v>6629641.9000000004</v>
      </c>
      <c r="O246" s="4">
        <v>220048.1</v>
      </c>
      <c r="P246" s="4">
        <f t="shared" si="31"/>
        <v>1110.7</v>
      </c>
      <c r="Q246" s="4">
        <f>'Форма 2'!K953</f>
        <v>1148.03</v>
      </c>
      <c r="R246" s="53" t="s">
        <v>153</v>
      </c>
      <c r="S246" s="5">
        <v>1</v>
      </c>
      <c r="T246" s="1"/>
      <c r="V246" s="1"/>
      <c r="W246" s="1"/>
    </row>
    <row r="247" spans="1:23" s="2" customFormat="1" x14ac:dyDescent="0.35">
      <c r="A247" s="20">
        <f t="shared" si="32"/>
        <v>141</v>
      </c>
      <c r="B247" s="20">
        <v>8060</v>
      </c>
      <c r="C247" s="61" t="s">
        <v>412</v>
      </c>
      <c r="D247" s="60">
        <v>1987</v>
      </c>
      <c r="E247" s="25" t="s">
        <v>182</v>
      </c>
      <c r="F247" s="25" t="s">
        <v>183</v>
      </c>
      <c r="G247" s="4">
        <v>3304.81</v>
      </c>
      <c r="H247" s="4">
        <v>3009.11</v>
      </c>
      <c r="I247" s="19">
        <v>210</v>
      </c>
      <c r="J247" s="4">
        <f>'Форма 2'!I966</f>
        <v>1718556.24</v>
      </c>
      <c r="K247" s="4">
        <v>0</v>
      </c>
      <c r="L247" s="4">
        <v>0</v>
      </c>
      <c r="M247" s="4">
        <v>0</v>
      </c>
      <c r="N247" s="4">
        <f t="shared" si="30"/>
        <v>1663544.22</v>
      </c>
      <c r="O247" s="4">
        <v>55012.02</v>
      </c>
      <c r="P247" s="4">
        <f t="shared" si="31"/>
        <v>571.12</v>
      </c>
      <c r="Q247" s="4">
        <f>'Форма 2'!K966</f>
        <v>588.20000000000005</v>
      </c>
      <c r="R247" s="53" t="s">
        <v>153</v>
      </c>
      <c r="S247" s="5">
        <v>1</v>
      </c>
      <c r="T247" s="1"/>
      <c r="U247" s="64"/>
      <c r="V247" s="1"/>
      <c r="W247" s="1"/>
    </row>
    <row r="248" spans="1:23" s="64" customFormat="1" ht="31" x14ac:dyDescent="0.35">
      <c r="A248" s="27">
        <f t="shared" si="32"/>
        <v>142</v>
      </c>
      <c r="B248" s="27">
        <v>2654</v>
      </c>
      <c r="C248" s="61" t="s">
        <v>413</v>
      </c>
      <c r="D248" s="25">
        <v>1900</v>
      </c>
      <c r="E248" s="25" t="s">
        <v>414</v>
      </c>
      <c r="F248" s="25" t="s">
        <v>155</v>
      </c>
      <c r="G248" s="35">
        <v>659.7</v>
      </c>
      <c r="H248" s="35">
        <v>619.4</v>
      </c>
      <c r="I248" s="36">
        <v>20</v>
      </c>
      <c r="J248" s="35">
        <f>'Форма 2'!I970</f>
        <v>2213895.79</v>
      </c>
      <c r="K248" s="35">
        <v>0</v>
      </c>
      <c r="L248" s="35">
        <v>0</v>
      </c>
      <c r="M248" s="35">
        <v>0</v>
      </c>
      <c r="N248" s="35">
        <f t="shared" si="30"/>
        <v>2115939.4</v>
      </c>
      <c r="O248" s="35">
        <v>97956.39</v>
      </c>
      <c r="P248" s="35">
        <f t="shared" si="31"/>
        <v>3574.26</v>
      </c>
      <c r="Q248" s="35">
        <f>'Форма 2'!K970</f>
        <v>7245</v>
      </c>
      <c r="R248" s="62" t="s">
        <v>153</v>
      </c>
      <c r="S248" s="63">
        <v>1</v>
      </c>
      <c r="T248" s="1"/>
      <c r="U248" s="2"/>
      <c r="V248" s="1"/>
      <c r="W248" s="1"/>
    </row>
    <row r="249" spans="1:23" s="2" customFormat="1" ht="31" x14ac:dyDescent="0.35">
      <c r="A249" s="20">
        <f t="shared" si="32"/>
        <v>143</v>
      </c>
      <c r="B249" s="20">
        <v>2247</v>
      </c>
      <c r="C249" s="61" t="s">
        <v>415</v>
      </c>
      <c r="D249" s="25" t="s">
        <v>416</v>
      </c>
      <c r="E249" s="25" t="s">
        <v>182</v>
      </c>
      <c r="F249" s="25" t="s">
        <v>183</v>
      </c>
      <c r="G249" s="4">
        <v>10762.5</v>
      </c>
      <c r="H249" s="4">
        <v>8946.5</v>
      </c>
      <c r="I249" s="19">
        <v>356</v>
      </c>
      <c r="J249" s="4">
        <f>'Форма 2'!I979</f>
        <v>2635380.86</v>
      </c>
      <c r="K249" s="4">
        <v>0</v>
      </c>
      <c r="L249" s="4">
        <v>0</v>
      </c>
      <c r="M249" s="4">
        <v>0</v>
      </c>
      <c r="N249" s="4">
        <f t="shared" si="30"/>
        <v>2525356.81</v>
      </c>
      <c r="O249" s="4">
        <v>110024.05</v>
      </c>
      <c r="P249" s="4">
        <f t="shared" si="31"/>
        <v>294.57</v>
      </c>
      <c r="Q249" s="4">
        <f>'Форма 2'!K979</f>
        <v>395.68</v>
      </c>
      <c r="R249" s="53" t="s">
        <v>153</v>
      </c>
      <c r="S249" s="5">
        <v>1</v>
      </c>
      <c r="T249" s="1"/>
      <c r="V249" s="1"/>
      <c r="W249" s="1"/>
    </row>
    <row r="250" spans="1:23" s="2" customFormat="1" x14ac:dyDescent="0.35">
      <c r="A250" s="20">
        <f t="shared" si="32"/>
        <v>144</v>
      </c>
      <c r="B250" s="20">
        <v>2733</v>
      </c>
      <c r="C250" s="61" t="s">
        <v>417</v>
      </c>
      <c r="D250" s="60">
        <v>1910</v>
      </c>
      <c r="E250" s="25" t="s">
        <v>74</v>
      </c>
      <c r="F250" s="25" t="s">
        <v>152</v>
      </c>
      <c r="G250" s="4">
        <v>906.2</v>
      </c>
      <c r="H250" s="4">
        <v>822.4</v>
      </c>
      <c r="I250" s="19">
        <v>55</v>
      </c>
      <c r="J250" s="4">
        <f>'Форма 2'!I986</f>
        <v>914508.80000000005</v>
      </c>
      <c r="K250" s="4">
        <v>0</v>
      </c>
      <c r="L250" s="4">
        <v>0</v>
      </c>
      <c r="M250" s="4">
        <v>0</v>
      </c>
      <c r="N250" s="4">
        <f t="shared" si="30"/>
        <v>872329.92</v>
      </c>
      <c r="O250" s="4">
        <v>42178.879999999997</v>
      </c>
      <c r="P250" s="4">
        <f t="shared" si="31"/>
        <v>1112</v>
      </c>
      <c r="Q250" s="4">
        <f>'Форма 2'!K986</f>
        <v>1112</v>
      </c>
      <c r="R250" s="53" t="s">
        <v>153</v>
      </c>
      <c r="S250" s="5">
        <v>1</v>
      </c>
      <c r="T250" s="1"/>
      <c r="V250" s="1"/>
      <c r="W250" s="1"/>
    </row>
    <row r="251" spans="1:23" s="2" customFormat="1" x14ac:dyDescent="0.35">
      <c r="A251" s="20">
        <f t="shared" si="32"/>
        <v>145</v>
      </c>
      <c r="B251" s="20">
        <v>2268</v>
      </c>
      <c r="C251" s="61" t="s">
        <v>418</v>
      </c>
      <c r="D251" s="60">
        <v>1967</v>
      </c>
      <c r="E251" s="25" t="s">
        <v>74</v>
      </c>
      <c r="F251" s="25" t="s">
        <v>160</v>
      </c>
      <c r="G251" s="4">
        <v>3783.2</v>
      </c>
      <c r="H251" s="4">
        <v>3547.2</v>
      </c>
      <c r="I251" s="19">
        <v>180</v>
      </c>
      <c r="J251" s="4">
        <f>'Форма 2'!I989</f>
        <v>3632456.97</v>
      </c>
      <c r="K251" s="4">
        <v>0</v>
      </c>
      <c r="L251" s="4">
        <v>0</v>
      </c>
      <c r="M251" s="4">
        <v>0</v>
      </c>
      <c r="N251" s="4">
        <f t="shared" si="30"/>
        <v>3501073.07</v>
      </c>
      <c r="O251" s="4">
        <v>131383.9</v>
      </c>
      <c r="P251" s="4">
        <f t="shared" si="31"/>
        <v>1024.04</v>
      </c>
      <c r="Q251" s="4">
        <f>'Форма 2'!K989</f>
        <v>3523</v>
      </c>
      <c r="R251" s="53" t="s">
        <v>161</v>
      </c>
      <c r="S251" s="5">
        <v>1</v>
      </c>
      <c r="T251" s="1"/>
      <c r="U251" s="64"/>
      <c r="V251" s="1"/>
      <c r="W251" s="1"/>
    </row>
    <row r="252" spans="1:23" s="2" customFormat="1" x14ac:dyDescent="0.35">
      <c r="A252" s="20">
        <f t="shared" si="32"/>
        <v>146</v>
      </c>
      <c r="B252" s="20">
        <v>2269</v>
      </c>
      <c r="C252" s="61" t="s">
        <v>419</v>
      </c>
      <c r="D252" s="60">
        <v>1969</v>
      </c>
      <c r="E252" s="25" t="s">
        <v>74</v>
      </c>
      <c r="F252" s="25" t="s">
        <v>160</v>
      </c>
      <c r="G252" s="4">
        <v>3904.87</v>
      </c>
      <c r="H252" s="4">
        <v>3668.87</v>
      </c>
      <c r="I252" s="19">
        <v>164</v>
      </c>
      <c r="J252" s="4">
        <f>'Форма 2'!I992</f>
        <v>2503295.39</v>
      </c>
      <c r="K252" s="4">
        <v>0</v>
      </c>
      <c r="L252" s="4">
        <v>0</v>
      </c>
      <c r="M252" s="4">
        <v>0</v>
      </c>
      <c r="N252" s="4">
        <f t="shared" si="30"/>
        <v>2367404.98</v>
      </c>
      <c r="O252" s="4">
        <v>135890.41</v>
      </c>
      <c r="P252" s="4">
        <f t="shared" si="31"/>
        <v>682.31</v>
      </c>
      <c r="Q252" s="4">
        <f>'Форма 2'!K992</f>
        <v>2936</v>
      </c>
      <c r="R252" s="53" t="s">
        <v>161</v>
      </c>
      <c r="S252" s="5">
        <v>1</v>
      </c>
      <c r="T252" s="1"/>
      <c r="V252" s="1"/>
      <c r="W252" s="1"/>
    </row>
    <row r="253" spans="1:23" s="2" customFormat="1" x14ac:dyDescent="0.35">
      <c r="A253" s="20">
        <f>A252+1</f>
        <v>147</v>
      </c>
      <c r="B253" s="20">
        <v>2285</v>
      </c>
      <c r="C253" s="61" t="s">
        <v>421</v>
      </c>
      <c r="D253" s="60">
        <v>1990</v>
      </c>
      <c r="E253" s="25" t="s">
        <v>182</v>
      </c>
      <c r="F253" s="25" t="s">
        <v>183</v>
      </c>
      <c r="G253" s="4">
        <v>22289.7</v>
      </c>
      <c r="H253" s="4">
        <v>18629</v>
      </c>
      <c r="I253" s="19">
        <v>866</v>
      </c>
      <c r="J253" s="4">
        <f>'Форма 2'!I995</f>
        <v>6864616.1299999999</v>
      </c>
      <c r="K253" s="4">
        <v>0</v>
      </c>
      <c r="L253" s="4">
        <v>0</v>
      </c>
      <c r="M253" s="4">
        <v>0</v>
      </c>
      <c r="N253" s="4">
        <f t="shared" si="30"/>
        <v>6644568.0300000003</v>
      </c>
      <c r="O253" s="4">
        <v>220048.1</v>
      </c>
      <c r="P253" s="4">
        <f t="shared" si="31"/>
        <v>368.49</v>
      </c>
      <c r="Q253" s="4">
        <f>'Форма 2'!K995</f>
        <v>380.05</v>
      </c>
      <c r="R253" s="53" t="s">
        <v>153</v>
      </c>
      <c r="S253" s="5">
        <v>1</v>
      </c>
      <c r="T253" s="1"/>
      <c r="V253" s="1"/>
      <c r="W253" s="1"/>
    </row>
    <row r="254" spans="1:23" s="2" customFormat="1" x14ac:dyDescent="0.35">
      <c r="A254" s="20">
        <f t="shared" si="32"/>
        <v>148</v>
      </c>
      <c r="B254" s="20">
        <v>2449</v>
      </c>
      <c r="C254" s="61" t="s">
        <v>422</v>
      </c>
      <c r="D254" s="60">
        <v>1972</v>
      </c>
      <c r="E254" s="25" t="s">
        <v>74</v>
      </c>
      <c r="F254" s="25" t="s">
        <v>160</v>
      </c>
      <c r="G254" s="4">
        <v>3264.3</v>
      </c>
      <c r="H254" s="4">
        <v>2723.4</v>
      </c>
      <c r="I254" s="19">
        <v>145</v>
      </c>
      <c r="J254" s="4">
        <f>'Форма 2'!I1008</f>
        <v>2467782</v>
      </c>
      <c r="K254" s="4">
        <v>0</v>
      </c>
      <c r="L254" s="4">
        <v>0</v>
      </c>
      <c r="M254" s="4">
        <v>0</v>
      </c>
      <c r="N254" s="4">
        <f t="shared" si="30"/>
        <v>2381591.6</v>
      </c>
      <c r="O254" s="4">
        <v>86190.399999999994</v>
      </c>
      <c r="P254" s="4">
        <f t="shared" si="31"/>
        <v>906.14</v>
      </c>
      <c r="Q254" s="4">
        <f>'Форма 2'!K1008</f>
        <v>2936</v>
      </c>
      <c r="R254" s="53" t="s">
        <v>161</v>
      </c>
      <c r="S254" s="5">
        <v>1</v>
      </c>
      <c r="T254" s="1"/>
      <c r="V254" s="1"/>
      <c r="W254" s="1"/>
    </row>
    <row r="255" spans="1:23" s="2" customFormat="1" x14ac:dyDescent="0.35">
      <c r="A255" s="20">
        <f t="shared" si="32"/>
        <v>149</v>
      </c>
      <c r="B255" s="20">
        <v>2307</v>
      </c>
      <c r="C255" s="61" t="s">
        <v>423</v>
      </c>
      <c r="D255" s="60">
        <v>1973</v>
      </c>
      <c r="E255" s="25" t="s">
        <v>74</v>
      </c>
      <c r="F255" s="25" t="s">
        <v>160</v>
      </c>
      <c r="G255" s="4">
        <v>3135.2</v>
      </c>
      <c r="H255" s="4">
        <v>2904.2</v>
      </c>
      <c r="I255" s="19">
        <v>132</v>
      </c>
      <c r="J255" s="4">
        <f>'Форма 2'!I1011</f>
        <v>2871601.81</v>
      </c>
      <c r="K255" s="4">
        <v>0</v>
      </c>
      <c r="L255" s="4">
        <v>0</v>
      </c>
      <c r="M255" s="4">
        <v>0</v>
      </c>
      <c r="N255" s="4">
        <f t="shared" si="30"/>
        <v>2779689.44</v>
      </c>
      <c r="O255" s="4">
        <v>91912.37</v>
      </c>
      <c r="P255" s="4">
        <f t="shared" si="31"/>
        <v>988.78</v>
      </c>
      <c r="Q255" s="4">
        <f>'Форма 2'!K1011</f>
        <v>2936</v>
      </c>
      <c r="R255" s="53" t="s">
        <v>161</v>
      </c>
      <c r="S255" s="5">
        <v>1</v>
      </c>
      <c r="T255" s="1"/>
      <c r="V255" s="1"/>
      <c r="W255" s="1"/>
    </row>
    <row r="256" spans="1:23" s="2" customFormat="1" x14ac:dyDescent="0.35">
      <c r="A256" s="20">
        <f t="shared" si="32"/>
        <v>150</v>
      </c>
      <c r="B256" s="20">
        <v>2387</v>
      </c>
      <c r="C256" s="61" t="s">
        <v>424</v>
      </c>
      <c r="D256" s="60">
        <v>1989</v>
      </c>
      <c r="E256" s="25" t="s">
        <v>182</v>
      </c>
      <c r="F256" s="25" t="s">
        <v>183</v>
      </c>
      <c r="G256" s="4">
        <v>13798.7</v>
      </c>
      <c r="H256" s="4">
        <v>7583.4</v>
      </c>
      <c r="I256" s="19">
        <v>618</v>
      </c>
      <c r="J256" s="4">
        <f>'Форма 2'!I1014</f>
        <v>5175909.93</v>
      </c>
      <c r="K256" s="4">
        <v>0</v>
      </c>
      <c r="L256" s="4">
        <v>0</v>
      </c>
      <c r="M256" s="4">
        <v>0</v>
      </c>
      <c r="N256" s="4">
        <f t="shared" si="30"/>
        <v>5010873.8600000003</v>
      </c>
      <c r="O256" s="4">
        <v>165036.07</v>
      </c>
      <c r="P256" s="4">
        <f t="shared" si="31"/>
        <v>682.53</v>
      </c>
      <c r="Q256" s="4">
        <f>'Форма 2'!K1014</f>
        <v>700.2</v>
      </c>
      <c r="R256" s="53" t="s">
        <v>153</v>
      </c>
      <c r="S256" s="5">
        <v>1</v>
      </c>
      <c r="T256" s="1"/>
      <c r="V256" s="1"/>
      <c r="W256" s="1"/>
    </row>
    <row r="257" spans="1:23" s="2" customFormat="1" x14ac:dyDescent="0.35">
      <c r="A257" s="20">
        <f t="shared" si="32"/>
        <v>151</v>
      </c>
      <c r="B257" s="20">
        <v>2880</v>
      </c>
      <c r="C257" s="61" t="s">
        <v>425</v>
      </c>
      <c r="D257" s="60">
        <v>1917</v>
      </c>
      <c r="E257" s="25" t="s">
        <v>74</v>
      </c>
      <c r="F257" s="25" t="s">
        <v>160</v>
      </c>
      <c r="G257" s="4">
        <v>245.6</v>
      </c>
      <c r="H257" s="4">
        <v>222.1</v>
      </c>
      <c r="I257" s="19">
        <v>18</v>
      </c>
      <c r="J257" s="4">
        <f>'Форма 2'!I1024</f>
        <v>500480.14</v>
      </c>
      <c r="K257" s="4">
        <v>0</v>
      </c>
      <c r="L257" s="4">
        <v>0</v>
      </c>
      <c r="M257" s="4">
        <v>0</v>
      </c>
      <c r="N257" s="4">
        <f t="shared" si="30"/>
        <v>484405.68</v>
      </c>
      <c r="O257" s="4">
        <v>16074.46</v>
      </c>
      <c r="P257" s="4">
        <f t="shared" si="31"/>
        <v>2253.4</v>
      </c>
      <c r="Q257" s="4">
        <f>'Форма 2'!K1024</f>
        <v>7096</v>
      </c>
      <c r="R257" s="53" t="s">
        <v>161</v>
      </c>
      <c r="S257" s="5">
        <v>1</v>
      </c>
      <c r="T257" s="1"/>
      <c r="V257" s="1"/>
      <c r="W257" s="1"/>
    </row>
    <row r="258" spans="1:23" s="2" customFormat="1" x14ac:dyDescent="0.35">
      <c r="A258" s="20">
        <f t="shared" si="32"/>
        <v>152</v>
      </c>
      <c r="B258" s="20">
        <v>2911</v>
      </c>
      <c r="C258" s="61" t="s">
        <v>426</v>
      </c>
      <c r="D258" s="60">
        <v>1900</v>
      </c>
      <c r="E258" s="25" t="s">
        <v>74</v>
      </c>
      <c r="F258" s="25" t="s">
        <v>152</v>
      </c>
      <c r="G258" s="4">
        <v>208.24</v>
      </c>
      <c r="H258" s="4">
        <v>170.5</v>
      </c>
      <c r="I258" s="19">
        <v>9</v>
      </c>
      <c r="J258" s="4">
        <f>'Форма 2'!I1027</f>
        <v>664950</v>
      </c>
      <c r="K258" s="4">
        <v>0</v>
      </c>
      <c r="L258" s="4">
        <v>0</v>
      </c>
      <c r="M258" s="4">
        <v>0</v>
      </c>
      <c r="N258" s="4">
        <f t="shared" si="30"/>
        <v>663313.07999999996</v>
      </c>
      <c r="O258" s="4">
        <v>1636.92</v>
      </c>
      <c r="P258" s="4">
        <f t="shared" si="31"/>
        <v>3900</v>
      </c>
      <c r="Q258" s="4">
        <f>'Форма 2'!K1027</f>
        <v>3900</v>
      </c>
      <c r="R258" s="53" t="s">
        <v>153</v>
      </c>
      <c r="S258" s="5">
        <v>1</v>
      </c>
      <c r="T258" s="1"/>
      <c r="V258" s="1"/>
      <c r="W258" s="1"/>
    </row>
    <row r="259" spans="1:23" s="2" customFormat="1" x14ac:dyDescent="0.35">
      <c r="A259" s="20">
        <f t="shared" si="32"/>
        <v>153</v>
      </c>
      <c r="B259" s="20">
        <v>2330</v>
      </c>
      <c r="C259" s="61" t="s">
        <v>427</v>
      </c>
      <c r="D259" s="60">
        <v>1990</v>
      </c>
      <c r="E259" s="25" t="s">
        <v>182</v>
      </c>
      <c r="F259" s="25" t="s">
        <v>183</v>
      </c>
      <c r="G259" s="4">
        <v>7088.5</v>
      </c>
      <c r="H259" s="4">
        <v>6425.5</v>
      </c>
      <c r="I259" s="19">
        <v>287</v>
      </c>
      <c r="J259" s="4">
        <f>'Форма 2'!I1030</f>
        <v>5193257.8</v>
      </c>
      <c r="K259" s="4">
        <v>0</v>
      </c>
      <c r="L259" s="4">
        <v>0</v>
      </c>
      <c r="M259" s="4">
        <v>0</v>
      </c>
      <c r="N259" s="4">
        <f t="shared" si="30"/>
        <v>5028221.7300000004</v>
      </c>
      <c r="O259" s="4">
        <v>165036.07</v>
      </c>
      <c r="P259" s="4">
        <f t="shared" si="31"/>
        <v>808.23</v>
      </c>
      <c r="Q259" s="4">
        <f>'Форма 2'!K1030</f>
        <v>826.38</v>
      </c>
      <c r="R259" s="53" t="s">
        <v>153</v>
      </c>
      <c r="S259" s="5">
        <v>1</v>
      </c>
      <c r="T259" s="1"/>
      <c r="V259" s="1"/>
      <c r="W259" s="1"/>
    </row>
    <row r="260" spans="1:23" s="2" customFormat="1" x14ac:dyDescent="0.35">
      <c r="A260" s="20">
        <f t="shared" si="32"/>
        <v>154</v>
      </c>
      <c r="B260" s="20">
        <v>2464</v>
      </c>
      <c r="C260" s="61" t="s">
        <v>428</v>
      </c>
      <c r="D260" s="60">
        <v>1966</v>
      </c>
      <c r="E260" s="25" t="s">
        <v>289</v>
      </c>
      <c r="F260" s="25" t="s">
        <v>155</v>
      </c>
      <c r="G260" s="4">
        <v>3459.3</v>
      </c>
      <c r="H260" s="4">
        <v>3284.7</v>
      </c>
      <c r="I260" s="19">
        <v>160</v>
      </c>
      <c r="J260" s="4">
        <f>'Форма 2'!I1040</f>
        <v>525996.73</v>
      </c>
      <c r="K260" s="4">
        <v>0</v>
      </c>
      <c r="L260" s="4">
        <v>0</v>
      </c>
      <c r="M260" s="4">
        <v>0</v>
      </c>
      <c r="N260" s="4">
        <f t="shared" si="30"/>
        <v>516709.61</v>
      </c>
      <c r="O260" s="4">
        <v>9287.1200000000008</v>
      </c>
      <c r="P260" s="4">
        <f t="shared" si="31"/>
        <v>160.13999999999999</v>
      </c>
      <c r="Q260" s="4">
        <f>'Форма 2'!K1040</f>
        <v>168</v>
      </c>
      <c r="R260" s="53" t="s">
        <v>153</v>
      </c>
      <c r="S260" s="5">
        <v>1</v>
      </c>
      <c r="T260" s="1"/>
      <c r="V260" s="1"/>
      <c r="W260" s="1"/>
    </row>
    <row r="261" spans="1:23" s="2" customFormat="1" x14ac:dyDescent="0.35">
      <c r="A261" s="20">
        <f t="shared" si="32"/>
        <v>155</v>
      </c>
      <c r="B261" s="20">
        <v>2382</v>
      </c>
      <c r="C261" s="61" t="s">
        <v>429</v>
      </c>
      <c r="D261" s="60">
        <v>1966</v>
      </c>
      <c r="E261" s="25" t="s">
        <v>289</v>
      </c>
      <c r="F261" s="25" t="s">
        <v>155</v>
      </c>
      <c r="G261" s="4">
        <v>3512.8</v>
      </c>
      <c r="H261" s="4">
        <v>2381.6</v>
      </c>
      <c r="I261" s="19">
        <v>166</v>
      </c>
      <c r="J261" s="4">
        <f>'Форма 2'!I1043</f>
        <v>649798.23</v>
      </c>
      <c r="K261" s="4">
        <v>0</v>
      </c>
      <c r="L261" s="4">
        <v>0</v>
      </c>
      <c r="M261" s="4">
        <v>0</v>
      </c>
      <c r="N261" s="4">
        <f t="shared" si="30"/>
        <v>643064.53</v>
      </c>
      <c r="O261" s="4">
        <v>6733.7</v>
      </c>
      <c r="P261" s="4">
        <f t="shared" si="31"/>
        <v>272.83999999999997</v>
      </c>
      <c r="Q261" s="4">
        <f>'Форма 2'!K1043</f>
        <v>277</v>
      </c>
      <c r="R261" s="53" t="s">
        <v>153</v>
      </c>
      <c r="S261" s="5">
        <v>1</v>
      </c>
      <c r="T261" s="1"/>
      <c r="V261" s="1"/>
      <c r="W261" s="1"/>
    </row>
    <row r="262" spans="1:23" s="2" customFormat="1" x14ac:dyDescent="0.35">
      <c r="A262" s="20">
        <f t="shared" si="32"/>
        <v>156</v>
      </c>
      <c r="B262" s="20">
        <v>2352</v>
      </c>
      <c r="C262" s="61" t="s">
        <v>430</v>
      </c>
      <c r="D262" s="60">
        <v>1990</v>
      </c>
      <c r="E262" s="25" t="s">
        <v>182</v>
      </c>
      <c r="F262" s="25" t="s">
        <v>183</v>
      </c>
      <c r="G262" s="4">
        <v>3590.8</v>
      </c>
      <c r="H262" s="4">
        <v>3111.8</v>
      </c>
      <c r="I262" s="19">
        <v>138</v>
      </c>
      <c r="J262" s="4">
        <f>'Форма 2'!I1046</f>
        <v>1736477.4</v>
      </c>
      <c r="K262" s="4">
        <v>0</v>
      </c>
      <c r="L262" s="4">
        <v>0</v>
      </c>
      <c r="M262" s="4">
        <v>0</v>
      </c>
      <c r="N262" s="4">
        <f t="shared" si="30"/>
        <v>1681465.38</v>
      </c>
      <c r="O262" s="4">
        <v>55012.02</v>
      </c>
      <c r="P262" s="4">
        <f t="shared" si="31"/>
        <v>558.03</v>
      </c>
      <c r="Q262" s="4">
        <f>'Форма 2'!K1046</f>
        <v>568.79</v>
      </c>
      <c r="R262" s="53" t="s">
        <v>153</v>
      </c>
      <c r="S262" s="5">
        <v>1</v>
      </c>
      <c r="T262" s="1"/>
      <c r="V262" s="1"/>
      <c r="W262" s="1"/>
    </row>
    <row r="263" spans="1:23" s="2" customFormat="1" x14ac:dyDescent="0.35">
      <c r="A263" s="227" t="s">
        <v>36</v>
      </c>
      <c r="B263" s="227"/>
      <c r="C263" s="227"/>
      <c r="D263" s="18" t="s">
        <v>13</v>
      </c>
      <c r="E263" s="4" t="s">
        <v>13</v>
      </c>
      <c r="F263" s="4" t="s">
        <v>13</v>
      </c>
      <c r="G263" s="16">
        <f>G264</f>
        <v>1095.31</v>
      </c>
      <c r="H263" s="16">
        <f t="shared" ref="H263:O263" si="33">H264</f>
        <v>952.63</v>
      </c>
      <c r="I263" s="17">
        <f t="shared" si="33"/>
        <v>30</v>
      </c>
      <c r="J263" s="16">
        <f t="shared" si="33"/>
        <v>3056803.18</v>
      </c>
      <c r="K263" s="16">
        <f t="shared" si="33"/>
        <v>0</v>
      </c>
      <c r="L263" s="16">
        <f t="shared" si="33"/>
        <v>0</v>
      </c>
      <c r="M263" s="16">
        <f t="shared" si="33"/>
        <v>0</v>
      </c>
      <c r="N263" s="16">
        <f t="shared" si="33"/>
        <v>2978229.93</v>
      </c>
      <c r="O263" s="16">
        <f t="shared" si="33"/>
        <v>78573.25</v>
      </c>
      <c r="P263" s="4" t="s">
        <v>13</v>
      </c>
      <c r="Q263" s="4" t="s">
        <v>13</v>
      </c>
      <c r="R263" s="4" t="s">
        <v>13</v>
      </c>
      <c r="S263" s="19" t="s">
        <v>13</v>
      </c>
      <c r="T263" s="1"/>
    </row>
    <row r="264" spans="1:23" s="2" customFormat="1" x14ac:dyDescent="0.35">
      <c r="A264" s="65">
        <v>1</v>
      </c>
      <c r="B264" s="65">
        <v>4812</v>
      </c>
      <c r="C264" s="66" t="s">
        <v>431</v>
      </c>
      <c r="D264" s="46">
        <v>1989</v>
      </c>
      <c r="E264" s="46" t="s">
        <v>74</v>
      </c>
      <c r="F264" s="46" t="s">
        <v>155</v>
      </c>
      <c r="G264" s="50">
        <v>1095.31</v>
      </c>
      <c r="H264" s="4">
        <v>952.63</v>
      </c>
      <c r="I264" s="67">
        <v>30</v>
      </c>
      <c r="J264" s="4">
        <f>'Форма 2'!I1051</f>
        <v>3056803.18</v>
      </c>
      <c r="K264" s="4">
        <v>0</v>
      </c>
      <c r="L264" s="4">
        <v>0</v>
      </c>
      <c r="M264" s="4">
        <v>0</v>
      </c>
      <c r="N264" s="4">
        <f>J264-O264</f>
        <v>2978229.93</v>
      </c>
      <c r="O264" s="4">
        <v>78573.25</v>
      </c>
      <c r="P264" s="4">
        <f>J264/H264</f>
        <v>3208.8</v>
      </c>
      <c r="Q264" s="4">
        <f>'Форма 2'!K1051</f>
        <v>7066</v>
      </c>
      <c r="R264" s="26" t="s">
        <v>153</v>
      </c>
      <c r="S264" s="5">
        <v>1</v>
      </c>
      <c r="T264" s="1"/>
    </row>
    <row r="265" spans="1:23" s="2" customFormat="1" x14ac:dyDescent="0.35">
      <c r="A265" s="227" t="s">
        <v>37</v>
      </c>
      <c r="B265" s="227"/>
      <c r="C265" s="227"/>
      <c r="D265" s="18" t="s">
        <v>13</v>
      </c>
      <c r="E265" s="4" t="s">
        <v>13</v>
      </c>
      <c r="F265" s="4" t="s">
        <v>13</v>
      </c>
      <c r="G265" s="16">
        <f>SUM(G266:G268)</f>
        <v>1390.14</v>
      </c>
      <c r="H265" s="16">
        <f t="shared" ref="H265:O265" si="34">SUM(H266:H268)</f>
        <v>1241.1199999999999</v>
      </c>
      <c r="I265" s="17">
        <f t="shared" si="34"/>
        <v>63</v>
      </c>
      <c r="J265" s="16">
        <f t="shared" si="34"/>
        <v>4125978.42</v>
      </c>
      <c r="K265" s="16">
        <f t="shared" si="34"/>
        <v>0</v>
      </c>
      <c r="L265" s="16">
        <f t="shared" si="34"/>
        <v>0</v>
      </c>
      <c r="M265" s="16">
        <f t="shared" si="34"/>
        <v>0</v>
      </c>
      <c r="N265" s="16">
        <f t="shared" si="34"/>
        <v>3989172.17</v>
      </c>
      <c r="O265" s="16">
        <f t="shared" si="34"/>
        <v>136806.25</v>
      </c>
      <c r="P265" s="4" t="s">
        <v>13</v>
      </c>
      <c r="Q265" s="4" t="s">
        <v>13</v>
      </c>
      <c r="R265" s="4" t="s">
        <v>13</v>
      </c>
      <c r="S265" s="19" t="s">
        <v>13</v>
      </c>
      <c r="T265" s="1"/>
    </row>
    <row r="266" spans="1:23" s="2" customFormat="1" x14ac:dyDescent="0.35">
      <c r="A266" s="68">
        <v>1</v>
      </c>
      <c r="B266" s="47">
        <v>7286</v>
      </c>
      <c r="C266" s="69" t="s">
        <v>432</v>
      </c>
      <c r="D266" s="49">
        <v>1966</v>
      </c>
      <c r="E266" s="49" t="s">
        <v>74</v>
      </c>
      <c r="F266" s="49" t="s">
        <v>155</v>
      </c>
      <c r="G266" s="50">
        <v>372.18</v>
      </c>
      <c r="H266" s="50">
        <v>334.31</v>
      </c>
      <c r="I266" s="56">
        <v>18</v>
      </c>
      <c r="J266" s="50">
        <f>'Форма 2'!I1055</f>
        <v>1337821.8799999999</v>
      </c>
      <c r="K266" s="50">
        <f>K267+K268</f>
        <v>0</v>
      </c>
      <c r="L266" s="50">
        <f>L267+L268</f>
        <v>0</v>
      </c>
      <c r="M266" s="50">
        <f>M267+M268</f>
        <v>0</v>
      </c>
      <c r="N266" s="50">
        <f>J266-K266-L266-M266-O266</f>
        <v>1291970.27</v>
      </c>
      <c r="O266" s="50">
        <v>45851.61</v>
      </c>
      <c r="P266" s="4">
        <f>J266/H266</f>
        <v>4001.74</v>
      </c>
      <c r="Q266" s="4">
        <f>'Форма 2'!K1055</f>
        <v>7539</v>
      </c>
      <c r="R266" s="53" t="s">
        <v>153</v>
      </c>
      <c r="S266" s="19">
        <v>1</v>
      </c>
      <c r="T266" s="1"/>
    </row>
    <row r="267" spans="1:23" s="2" customFormat="1" x14ac:dyDescent="0.35">
      <c r="A267" s="68">
        <f>A266+1</f>
        <v>2</v>
      </c>
      <c r="B267" s="68">
        <v>7310</v>
      </c>
      <c r="C267" s="69" t="s">
        <v>433</v>
      </c>
      <c r="D267" s="60">
        <v>1956</v>
      </c>
      <c r="E267" s="60" t="s">
        <v>434</v>
      </c>
      <c r="F267" s="60" t="s">
        <v>152</v>
      </c>
      <c r="G267" s="50">
        <v>368</v>
      </c>
      <c r="H267" s="50">
        <v>319.33</v>
      </c>
      <c r="I267" s="56">
        <v>27</v>
      </c>
      <c r="J267" s="50">
        <f>'Форма 2'!I1058</f>
        <v>129009.32</v>
      </c>
      <c r="K267" s="50">
        <v>0</v>
      </c>
      <c r="L267" s="50">
        <v>0</v>
      </c>
      <c r="M267" s="50">
        <v>0</v>
      </c>
      <c r="N267" s="50">
        <f>J267-K267-L267-M267-O267</f>
        <v>125248.7</v>
      </c>
      <c r="O267" s="4">
        <v>3760.62</v>
      </c>
      <c r="P267" s="4">
        <f>J267/H267</f>
        <v>404</v>
      </c>
      <c r="Q267" s="4">
        <f>'Форма 2'!K1058</f>
        <v>404</v>
      </c>
      <c r="R267" s="53" t="s">
        <v>153</v>
      </c>
      <c r="S267" s="19">
        <v>1</v>
      </c>
      <c r="T267" s="1"/>
    </row>
    <row r="268" spans="1:23" s="2" customFormat="1" x14ac:dyDescent="0.35">
      <c r="A268" s="68">
        <f>A267+1</f>
        <v>3</v>
      </c>
      <c r="B268" s="68">
        <v>7321</v>
      </c>
      <c r="C268" s="69" t="s">
        <v>435</v>
      </c>
      <c r="D268" s="60">
        <v>1983</v>
      </c>
      <c r="E268" s="60" t="s">
        <v>434</v>
      </c>
      <c r="F268" s="60" t="s">
        <v>155</v>
      </c>
      <c r="G268" s="50">
        <v>649.96</v>
      </c>
      <c r="H268" s="50">
        <v>587.48</v>
      </c>
      <c r="I268" s="56">
        <v>18</v>
      </c>
      <c r="J268" s="50">
        <f>'Форма 2'!I1061</f>
        <v>2659147.2200000002</v>
      </c>
      <c r="K268" s="50">
        <v>0</v>
      </c>
      <c r="L268" s="50">
        <v>0</v>
      </c>
      <c r="M268" s="50">
        <v>0</v>
      </c>
      <c r="N268" s="50">
        <f>J268-K268-L268-M268-O268</f>
        <v>2571953.2000000002</v>
      </c>
      <c r="O268" s="4">
        <v>87194.02</v>
      </c>
      <c r="P268" s="4">
        <f>J268/H268</f>
        <v>4526.3599999999997</v>
      </c>
      <c r="Q268" s="4">
        <f>'Форма 2'!K1061</f>
        <v>6822</v>
      </c>
      <c r="R268" s="53" t="s">
        <v>153</v>
      </c>
      <c r="S268" s="19">
        <v>1</v>
      </c>
      <c r="T268" s="1"/>
    </row>
    <row r="269" spans="1:23" s="2" customFormat="1" x14ac:dyDescent="0.35">
      <c r="A269" s="227" t="s">
        <v>39</v>
      </c>
      <c r="B269" s="227"/>
      <c r="C269" s="227"/>
      <c r="D269" s="18" t="s">
        <v>13</v>
      </c>
      <c r="E269" s="4" t="s">
        <v>13</v>
      </c>
      <c r="F269" s="4" t="s">
        <v>13</v>
      </c>
      <c r="G269" s="37">
        <f>SUM(G270:G271)</f>
        <v>956.9</v>
      </c>
      <c r="H269" s="37">
        <f t="shared" ref="H269:O269" si="35">SUM(H270:H271)</f>
        <v>851.9</v>
      </c>
      <c r="I269" s="38">
        <f t="shared" si="35"/>
        <v>52</v>
      </c>
      <c r="J269" s="37">
        <f t="shared" si="35"/>
        <v>2580116.9</v>
      </c>
      <c r="K269" s="37">
        <f t="shared" si="35"/>
        <v>0</v>
      </c>
      <c r="L269" s="37">
        <f t="shared" si="35"/>
        <v>0</v>
      </c>
      <c r="M269" s="37">
        <f t="shared" si="35"/>
        <v>0</v>
      </c>
      <c r="N269" s="37">
        <f t="shared" si="35"/>
        <v>2509842</v>
      </c>
      <c r="O269" s="37">
        <f t="shared" si="35"/>
        <v>70274.899999999994</v>
      </c>
      <c r="P269" s="4" t="s">
        <v>13</v>
      </c>
      <c r="Q269" s="4" t="s">
        <v>13</v>
      </c>
      <c r="R269" s="4" t="s">
        <v>13</v>
      </c>
      <c r="S269" s="19" t="s">
        <v>13</v>
      </c>
      <c r="T269" s="1"/>
    </row>
    <row r="270" spans="1:23" s="2" customFormat="1" x14ac:dyDescent="0.35">
      <c r="A270" s="65">
        <v>1</v>
      </c>
      <c r="B270" s="65">
        <v>6735</v>
      </c>
      <c r="C270" s="70" t="s">
        <v>436</v>
      </c>
      <c r="D270" s="71">
        <v>1963</v>
      </c>
      <c r="E270" s="21" t="s">
        <v>74</v>
      </c>
      <c r="F270" s="21" t="s">
        <v>152</v>
      </c>
      <c r="G270" s="72">
        <v>435.1</v>
      </c>
      <c r="H270" s="35">
        <v>395.1</v>
      </c>
      <c r="I270" s="73">
        <v>15</v>
      </c>
      <c r="J270" s="4">
        <f>'Форма 2'!I1067</f>
        <v>59972.26</v>
      </c>
      <c r="K270" s="4">
        <v>0</v>
      </c>
      <c r="L270" s="4">
        <v>0</v>
      </c>
      <c r="M270" s="4">
        <v>0</v>
      </c>
      <c r="N270" s="4">
        <f>J270-O270</f>
        <v>57916.23</v>
      </c>
      <c r="O270" s="4">
        <v>2056.0300000000002</v>
      </c>
      <c r="P270" s="4">
        <f>J270/H270</f>
        <v>151.79</v>
      </c>
      <c r="Q270" s="16">
        <f>'Форма 2'!K1067</f>
        <v>178</v>
      </c>
      <c r="R270" s="26" t="s">
        <v>153</v>
      </c>
      <c r="S270" s="5">
        <v>1</v>
      </c>
      <c r="T270" s="1"/>
    </row>
    <row r="271" spans="1:23" s="2" customFormat="1" x14ac:dyDescent="0.35">
      <c r="A271" s="65">
        <v>2</v>
      </c>
      <c r="B271" s="65">
        <v>6742</v>
      </c>
      <c r="C271" s="70" t="s">
        <v>437</v>
      </c>
      <c r="D271" s="71">
        <v>1952</v>
      </c>
      <c r="E271" s="71" t="s">
        <v>74</v>
      </c>
      <c r="F271" s="71" t="s">
        <v>155</v>
      </c>
      <c r="G271" s="72">
        <v>521.79999999999995</v>
      </c>
      <c r="H271" s="35">
        <v>456.8</v>
      </c>
      <c r="I271" s="73">
        <v>37</v>
      </c>
      <c r="J271" s="4">
        <f>'Форма 2'!I1069</f>
        <v>2520144.64</v>
      </c>
      <c r="K271" s="4">
        <v>0</v>
      </c>
      <c r="L271" s="4">
        <v>0</v>
      </c>
      <c r="M271" s="4">
        <v>0</v>
      </c>
      <c r="N271" s="4">
        <f>J271-O271</f>
        <v>2451925.77</v>
      </c>
      <c r="O271" s="4">
        <v>68218.87</v>
      </c>
      <c r="P271" s="4">
        <f>J271/H271</f>
        <v>5516.95</v>
      </c>
      <c r="Q271" s="16">
        <f>'Форма 2'!K1069</f>
        <v>7066</v>
      </c>
      <c r="R271" s="26" t="s">
        <v>153</v>
      </c>
      <c r="S271" s="5">
        <v>1</v>
      </c>
      <c r="T271" s="1"/>
    </row>
    <row r="272" spans="1:23" s="2" customFormat="1" x14ac:dyDescent="0.35">
      <c r="A272" s="227" t="s">
        <v>40</v>
      </c>
      <c r="B272" s="227"/>
      <c r="C272" s="227"/>
      <c r="D272" s="18" t="s">
        <v>13</v>
      </c>
      <c r="E272" s="4" t="s">
        <v>13</v>
      </c>
      <c r="F272" s="4" t="s">
        <v>13</v>
      </c>
      <c r="G272" s="37">
        <f>SUM(G273:G290)</f>
        <v>8762.6</v>
      </c>
      <c r="H272" s="37">
        <f t="shared" ref="H272:O272" si="36">SUM(H273:H290)</f>
        <v>7445.7</v>
      </c>
      <c r="I272" s="38">
        <f t="shared" si="36"/>
        <v>271</v>
      </c>
      <c r="J272" s="37">
        <f>SUM(J273:J290)</f>
        <v>25775091.789999999</v>
      </c>
      <c r="K272" s="37">
        <f t="shared" si="36"/>
        <v>0</v>
      </c>
      <c r="L272" s="37">
        <f t="shared" si="36"/>
        <v>0</v>
      </c>
      <c r="M272" s="37">
        <f t="shared" si="36"/>
        <v>0</v>
      </c>
      <c r="N272" s="37">
        <f t="shared" si="36"/>
        <v>24876104.539999999</v>
      </c>
      <c r="O272" s="37">
        <f t="shared" si="36"/>
        <v>898987.25</v>
      </c>
      <c r="P272" s="4" t="s">
        <v>13</v>
      </c>
      <c r="Q272" s="4" t="s">
        <v>13</v>
      </c>
      <c r="R272" s="4" t="s">
        <v>13</v>
      </c>
      <c r="S272" s="19" t="s">
        <v>13</v>
      </c>
      <c r="T272" s="1"/>
    </row>
    <row r="273" spans="1:20" s="2" customFormat="1" x14ac:dyDescent="0.35">
      <c r="A273" s="65">
        <v>1</v>
      </c>
      <c r="B273" s="65">
        <v>5400</v>
      </c>
      <c r="C273" s="48" t="s">
        <v>438</v>
      </c>
      <c r="D273" s="46">
        <v>1957</v>
      </c>
      <c r="E273" s="46" t="s">
        <v>230</v>
      </c>
      <c r="F273" s="46" t="s">
        <v>160</v>
      </c>
      <c r="G273" s="50">
        <v>464.7</v>
      </c>
      <c r="H273" s="4">
        <v>427.3</v>
      </c>
      <c r="I273" s="67">
        <v>14</v>
      </c>
      <c r="J273" s="4">
        <f>'Форма 2'!I1073</f>
        <v>778133.1</v>
      </c>
      <c r="K273" s="4">
        <v>0</v>
      </c>
      <c r="L273" s="4">
        <v>0</v>
      </c>
      <c r="M273" s="4">
        <v>0</v>
      </c>
      <c r="N273" s="4">
        <f>J273-K273-L273-M273-O273</f>
        <v>758562.46</v>
      </c>
      <c r="O273" s="4">
        <v>19570.64</v>
      </c>
      <c r="P273" s="4">
        <f t="shared" ref="P273:P290" si="37">J273/H273</f>
        <v>1821.05</v>
      </c>
      <c r="Q273" s="4">
        <f>'Форма 2'!K1073</f>
        <v>5938</v>
      </c>
      <c r="R273" s="26" t="s">
        <v>161</v>
      </c>
      <c r="S273" s="5">
        <v>1</v>
      </c>
      <c r="T273" s="1"/>
    </row>
    <row r="274" spans="1:20" s="2" customFormat="1" x14ac:dyDescent="0.35">
      <c r="A274" s="65">
        <f>A273+1</f>
        <v>2</v>
      </c>
      <c r="B274" s="65">
        <v>5404</v>
      </c>
      <c r="C274" s="48" t="s">
        <v>439</v>
      </c>
      <c r="D274" s="49">
        <v>1957</v>
      </c>
      <c r="E274" s="46" t="s">
        <v>434</v>
      </c>
      <c r="F274" s="46" t="s">
        <v>152</v>
      </c>
      <c r="G274" s="50">
        <v>450.1</v>
      </c>
      <c r="H274" s="4">
        <v>418</v>
      </c>
      <c r="I274" s="74">
        <v>13</v>
      </c>
      <c r="J274" s="4">
        <f>'Форма 2'!I1076</f>
        <v>168872</v>
      </c>
      <c r="K274" s="4">
        <v>0</v>
      </c>
      <c r="L274" s="4">
        <v>0</v>
      </c>
      <c r="M274" s="4">
        <v>0</v>
      </c>
      <c r="N274" s="4">
        <f t="shared" ref="N274:N290" si="38">J274-K274-L274-M274-O274</f>
        <v>133960.43</v>
      </c>
      <c r="O274" s="4">
        <v>34911.57</v>
      </c>
      <c r="P274" s="4">
        <f t="shared" si="37"/>
        <v>404</v>
      </c>
      <c r="Q274" s="4">
        <f>'Форма 2'!K1076</f>
        <v>404</v>
      </c>
      <c r="R274" s="26" t="s">
        <v>153</v>
      </c>
      <c r="S274" s="5">
        <v>1</v>
      </c>
      <c r="T274" s="1"/>
    </row>
    <row r="275" spans="1:20" s="2" customFormat="1" x14ac:dyDescent="0.35">
      <c r="A275" s="65">
        <f t="shared" ref="A275:A290" si="39">A274+1</f>
        <v>3</v>
      </c>
      <c r="B275" s="65">
        <v>5408</v>
      </c>
      <c r="C275" s="48" t="s">
        <v>440</v>
      </c>
      <c r="D275" s="49">
        <v>1957</v>
      </c>
      <c r="E275" s="46" t="s">
        <v>74</v>
      </c>
      <c r="F275" s="46" t="s">
        <v>160</v>
      </c>
      <c r="G275" s="50">
        <v>336.8</v>
      </c>
      <c r="H275" s="4">
        <v>280.60000000000002</v>
      </c>
      <c r="I275" s="75">
        <v>9</v>
      </c>
      <c r="J275" s="4">
        <f>'Форма 2'!I1079</f>
        <v>668465.56000000006</v>
      </c>
      <c r="K275" s="4">
        <v>0</v>
      </c>
      <c r="L275" s="4">
        <v>0</v>
      </c>
      <c r="M275" s="4">
        <v>0</v>
      </c>
      <c r="N275" s="4">
        <f t="shared" si="38"/>
        <v>645029.71</v>
      </c>
      <c r="O275" s="4">
        <v>23435.85</v>
      </c>
      <c r="P275" s="4">
        <f t="shared" si="37"/>
        <v>2382.27</v>
      </c>
      <c r="Q275" s="4">
        <f>'Форма 2'!K1079</f>
        <v>7558</v>
      </c>
      <c r="R275" s="26" t="s">
        <v>161</v>
      </c>
      <c r="S275" s="5">
        <v>1</v>
      </c>
      <c r="T275" s="1"/>
    </row>
    <row r="276" spans="1:20" s="2" customFormat="1" x14ac:dyDescent="0.35">
      <c r="A276" s="65">
        <f t="shared" si="39"/>
        <v>4</v>
      </c>
      <c r="B276" s="65">
        <v>5429</v>
      </c>
      <c r="C276" s="48" t="s">
        <v>441</v>
      </c>
      <c r="D276" s="49">
        <v>1936</v>
      </c>
      <c r="E276" s="46" t="s">
        <v>74</v>
      </c>
      <c r="F276" s="46" t="s">
        <v>155</v>
      </c>
      <c r="G276" s="50">
        <v>307.60000000000002</v>
      </c>
      <c r="H276" s="4">
        <v>234.8</v>
      </c>
      <c r="I276" s="74">
        <v>6</v>
      </c>
      <c r="J276" s="4">
        <f>'Форма 2'!I1082</f>
        <v>1746650.18</v>
      </c>
      <c r="K276" s="4">
        <v>0</v>
      </c>
      <c r="L276" s="4">
        <v>0</v>
      </c>
      <c r="M276" s="4">
        <v>0</v>
      </c>
      <c r="N276" s="4">
        <f t="shared" si="38"/>
        <v>1686874</v>
      </c>
      <c r="O276" s="4">
        <v>59776.18</v>
      </c>
      <c r="P276" s="4">
        <f>J276/H276</f>
        <v>7438.88</v>
      </c>
      <c r="Q276" s="4">
        <f>'Форма 2'!K1082</f>
        <v>7539</v>
      </c>
      <c r="R276" s="26" t="s">
        <v>153</v>
      </c>
      <c r="S276" s="5">
        <v>1</v>
      </c>
      <c r="T276" s="1"/>
    </row>
    <row r="277" spans="1:20" s="2" customFormat="1" x14ac:dyDescent="0.35">
      <c r="A277" s="65">
        <f t="shared" si="39"/>
        <v>5</v>
      </c>
      <c r="B277" s="65">
        <v>5691</v>
      </c>
      <c r="C277" s="48" t="s">
        <v>442</v>
      </c>
      <c r="D277" s="49">
        <v>1935</v>
      </c>
      <c r="E277" s="46" t="s">
        <v>74</v>
      </c>
      <c r="F277" s="46" t="s">
        <v>155</v>
      </c>
      <c r="G277" s="50">
        <v>381.6</v>
      </c>
      <c r="H277" s="4">
        <v>293.8</v>
      </c>
      <c r="I277" s="74">
        <v>16</v>
      </c>
      <c r="J277" s="4">
        <f>'Форма 2'!I1085</f>
        <v>1782747.18</v>
      </c>
      <c r="K277" s="4">
        <v>0</v>
      </c>
      <c r="L277" s="4">
        <v>0</v>
      </c>
      <c r="M277" s="4">
        <v>0</v>
      </c>
      <c r="N277" s="4">
        <f t="shared" si="38"/>
        <v>1721735.87</v>
      </c>
      <c r="O277" s="4">
        <v>61011.31</v>
      </c>
      <c r="P277" s="4">
        <f t="shared" si="37"/>
        <v>6067.89</v>
      </c>
      <c r="Q277" s="4">
        <f>'Форма 2'!K1085</f>
        <v>7539</v>
      </c>
      <c r="R277" s="26" t="s">
        <v>153</v>
      </c>
      <c r="S277" s="5">
        <v>1</v>
      </c>
      <c r="T277" s="1"/>
    </row>
    <row r="278" spans="1:20" s="2" customFormat="1" x14ac:dyDescent="0.35">
      <c r="A278" s="65">
        <f t="shared" si="39"/>
        <v>6</v>
      </c>
      <c r="B278" s="65">
        <v>5617</v>
      </c>
      <c r="C278" s="48" t="s">
        <v>443</v>
      </c>
      <c r="D278" s="49">
        <v>1939</v>
      </c>
      <c r="E278" s="46" t="s">
        <v>74</v>
      </c>
      <c r="F278" s="46" t="s">
        <v>155</v>
      </c>
      <c r="G278" s="50">
        <v>207.7</v>
      </c>
      <c r="H278" s="4">
        <v>201.7</v>
      </c>
      <c r="I278" s="75">
        <v>7</v>
      </c>
      <c r="J278" s="4">
        <f>'Форма 2'!I1088</f>
        <v>2206782.48</v>
      </c>
      <c r="K278" s="4">
        <v>0</v>
      </c>
      <c r="L278" s="4">
        <v>0</v>
      </c>
      <c r="M278" s="4">
        <v>0</v>
      </c>
      <c r="N278" s="4">
        <f t="shared" si="38"/>
        <v>2131260.14</v>
      </c>
      <c r="O278" s="4">
        <v>75522.34</v>
      </c>
      <c r="P278" s="4">
        <f t="shared" si="37"/>
        <v>10940.91</v>
      </c>
      <c r="Q278" s="4">
        <f>'Форма 2'!K1088</f>
        <v>11088</v>
      </c>
      <c r="R278" s="26" t="s">
        <v>153</v>
      </c>
      <c r="S278" s="5">
        <v>1</v>
      </c>
      <c r="T278" s="1"/>
    </row>
    <row r="279" spans="1:20" s="2" customFormat="1" x14ac:dyDescent="0.35">
      <c r="A279" s="65">
        <f t="shared" si="39"/>
        <v>7</v>
      </c>
      <c r="B279" s="65">
        <v>5440</v>
      </c>
      <c r="C279" s="48" t="s">
        <v>444</v>
      </c>
      <c r="D279" s="49">
        <v>1961</v>
      </c>
      <c r="E279" s="46" t="s">
        <v>74</v>
      </c>
      <c r="F279" s="46" t="s">
        <v>160</v>
      </c>
      <c r="G279" s="50">
        <v>342.3</v>
      </c>
      <c r="H279" s="4">
        <v>331.9</v>
      </c>
      <c r="I279" s="74">
        <v>24</v>
      </c>
      <c r="J279" s="4">
        <f>'Форма 2'!I1091</f>
        <v>780119.81</v>
      </c>
      <c r="K279" s="4">
        <v>0</v>
      </c>
      <c r="L279" s="4">
        <v>0</v>
      </c>
      <c r="M279" s="4">
        <v>0</v>
      </c>
      <c r="N279" s="4">
        <f t="shared" si="38"/>
        <v>752449.47</v>
      </c>
      <c r="O279" s="4">
        <v>27670.34</v>
      </c>
      <c r="P279" s="4">
        <f t="shared" si="37"/>
        <v>2350.4699999999998</v>
      </c>
      <c r="Q279" s="4">
        <f>'Форма 2'!K1091</f>
        <v>7558</v>
      </c>
      <c r="R279" s="26" t="s">
        <v>161</v>
      </c>
      <c r="S279" s="5">
        <v>1</v>
      </c>
      <c r="T279" s="1"/>
    </row>
    <row r="280" spans="1:20" s="2" customFormat="1" x14ac:dyDescent="0.35">
      <c r="A280" s="65">
        <f t="shared" si="39"/>
        <v>8</v>
      </c>
      <c r="B280" s="65">
        <v>5436</v>
      </c>
      <c r="C280" s="48" t="s">
        <v>445</v>
      </c>
      <c r="D280" s="49">
        <v>1962</v>
      </c>
      <c r="E280" s="46" t="s">
        <v>434</v>
      </c>
      <c r="F280" s="46" t="s">
        <v>160</v>
      </c>
      <c r="G280" s="50">
        <v>338.7</v>
      </c>
      <c r="H280" s="4">
        <v>320.5</v>
      </c>
      <c r="I280" s="74">
        <v>10</v>
      </c>
      <c r="J280" s="4">
        <f>'Форма 2'!I1094</f>
        <v>1023003.95</v>
      </c>
      <c r="K280" s="4">
        <v>0</v>
      </c>
      <c r="L280" s="4">
        <v>0</v>
      </c>
      <c r="M280" s="4">
        <v>0</v>
      </c>
      <c r="N280" s="4">
        <f t="shared" si="38"/>
        <v>994183.6</v>
      </c>
      <c r="O280" s="4">
        <v>28820.35</v>
      </c>
      <c r="P280" s="4">
        <f t="shared" si="37"/>
        <v>3191.9</v>
      </c>
      <c r="Q280" s="4">
        <f>'Форма 2'!K1094</f>
        <v>9697</v>
      </c>
      <c r="R280" s="26" t="s">
        <v>161</v>
      </c>
      <c r="S280" s="5">
        <v>1</v>
      </c>
      <c r="T280" s="1"/>
    </row>
    <row r="281" spans="1:20" s="2" customFormat="1" x14ac:dyDescent="0.35">
      <c r="A281" s="65">
        <f t="shared" si="39"/>
        <v>9</v>
      </c>
      <c r="B281" s="65">
        <v>5452</v>
      </c>
      <c r="C281" s="48" t="s">
        <v>446</v>
      </c>
      <c r="D281" s="49">
        <v>1958</v>
      </c>
      <c r="E281" s="46" t="s">
        <v>434</v>
      </c>
      <c r="F281" s="46" t="s">
        <v>160</v>
      </c>
      <c r="G281" s="50">
        <v>380.8</v>
      </c>
      <c r="H281" s="4">
        <v>362</v>
      </c>
      <c r="I281" s="74">
        <v>12</v>
      </c>
      <c r="J281" s="4">
        <f>'Форма 2'!I1099</f>
        <v>1155467.8</v>
      </c>
      <c r="K281" s="4">
        <v>0</v>
      </c>
      <c r="L281" s="4">
        <v>0</v>
      </c>
      <c r="M281" s="4">
        <v>0</v>
      </c>
      <c r="N281" s="4">
        <f t="shared" si="38"/>
        <v>1122915.6499999999</v>
      </c>
      <c r="O281" s="4">
        <v>32552.15</v>
      </c>
      <c r="P281" s="4">
        <f t="shared" si="37"/>
        <v>3191.9</v>
      </c>
      <c r="Q281" s="4">
        <f>'Форма 2'!K1099</f>
        <v>9697</v>
      </c>
      <c r="R281" s="26" t="s">
        <v>161</v>
      </c>
      <c r="S281" s="5">
        <v>1</v>
      </c>
      <c r="T281" s="1"/>
    </row>
    <row r="282" spans="1:20" s="2" customFormat="1" x14ac:dyDescent="0.35">
      <c r="A282" s="65">
        <f t="shared" si="39"/>
        <v>10</v>
      </c>
      <c r="B282" s="65">
        <v>5475</v>
      </c>
      <c r="C282" s="48" t="s">
        <v>447</v>
      </c>
      <c r="D282" s="49">
        <v>1974</v>
      </c>
      <c r="E282" s="46" t="s">
        <v>74</v>
      </c>
      <c r="F282" s="46" t="s">
        <v>160</v>
      </c>
      <c r="G282" s="50">
        <v>2363.5</v>
      </c>
      <c r="H282" s="4">
        <v>1750.1</v>
      </c>
      <c r="I282" s="74">
        <v>56</v>
      </c>
      <c r="J282" s="4">
        <f>'Форма 2'!I1104</f>
        <v>1910340.3</v>
      </c>
      <c r="K282" s="4">
        <v>0</v>
      </c>
      <c r="L282" s="4">
        <v>0</v>
      </c>
      <c r="M282" s="4">
        <v>0</v>
      </c>
      <c r="N282" s="4">
        <f t="shared" si="38"/>
        <v>1842010.19</v>
      </c>
      <c r="O282" s="4">
        <v>68330.11</v>
      </c>
      <c r="P282" s="4">
        <f t="shared" si="37"/>
        <v>1091.56</v>
      </c>
      <c r="Q282" s="4">
        <f>'Форма 2'!K1104</f>
        <v>3416</v>
      </c>
      <c r="R282" s="26" t="s">
        <v>161</v>
      </c>
      <c r="S282" s="5">
        <v>1</v>
      </c>
      <c r="T282" s="1"/>
    </row>
    <row r="283" spans="1:20" s="2" customFormat="1" x14ac:dyDescent="0.35">
      <c r="A283" s="65">
        <f t="shared" si="39"/>
        <v>11</v>
      </c>
      <c r="B283" s="65">
        <v>5537</v>
      </c>
      <c r="C283" s="48" t="s">
        <v>448</v>
      </c>
      <c r="D283" s="49">
        <v>1957</v>
      </c>
      <c r="E283" s="46" t="s">
        <v>74</v>
      </c>
      <c r="F283" s="46" t="s">
        <v>155</v>
      </c>
      <c r="G283" s="50">
        <v>369.8</v>
      </c>
      <c r="H283" s="4">
        <v>324.5</v>
      </c>
      <c r="I283" s="75">
        <v>9</v>
      </c>
      <c r="J283" s="4">
        <f>'Форма 2'!I1107</f>
        <v>1874159.16</v>
      </c>
      <c r="K283" s="4">
        <v>0</v>
      </c>
      <c r="L283" s="4">
        <v>0</v>
      </c>
      <c r="M283" s="4">
        <v>0</v>
      </c>
      <c r="N283" s="4">
        <f t="shared" si="38"/>
        <v>1810019.44</v>
      </c>
      <c r="O283" s="4">
        <v>64139.72</v>
      </c>
      <c r="P283" s="4">
        <f t="shared" si="37"/>
        <v>5775.53</v>
      </c>
      <c r="Q283" s="4">
        <f>'Форма 2'!K1107</f>
        <v>7539</v>
      </c>
      <c r="R283" s="26" t="s">
        <v>153</v>
      </c>
      <c r="S283" s="5">
        <v>1</v>
      </c>
      <c r="T283" s="1"/>
    </row>
    <row r="284" spans="1:20" s="2" customFormat="1" x14ac:dyDescent="0.35">
      <c r="A284" s="65">
        <f t="shared" si="39"/>
        <v>12</v>
      </c>
      <c r="B284" s="65">
        <v>5547</v>
      </c>
      <c r="C284" s="48" t="s">
        <v>449</v>
      </c>
      <c r="D284" s="49">
        <v>1957</v>
      </c>
      <c r="E284" s="46" t="s">
        <v>74</v>
      </c>
      <c r="F284" s="46" t="s">
        <v>160</v>
      </c>
      <c r="G284" s="50">
        <v>437.4</v>
      </c>
      <c r="H284" s="4">
        <v>394.4</v>
      </c>
      <c r="I284" s="74">
        <v>11</v>
      </c>
      <c r="J284" s="4">
        <f>'Форма 2'!I1110</f>
        <v>927098.98</v>
      </c>
      <c r="K284" s="4">
        <v>0</v>
      </c>
      <c r="L284" s="4">
        <v>0</v>
      </c>
      <c r="M284" s="4">
        <v>0</v>
      </c>
      <c r="N284" s="4">
        <f t="shared" si="38"/>
        <v>894166.85</v>
      </c>
      <c r="O284" s="4">
        <v>32932.129999999997</v>
      </c>
      <c r="P284" s="4">
        <f t="shared" si="37"/>
        <v>2350.66</v>
      </c>
      <c r="Q284" s="4">
        <f>'Форма 2'!K1110</f>
        <v>7558</v>
      </c>
      <c r="R284" s="26" t="s">
        <v>161</v>
      </c>
      <c r="S284" s="5">
        <v>1</v>
      </c>
      <c r="T284" s="1"/>
    </row>
    <row r="285" spans="1:20" s="2" customFormat="1" x14ac:dyDescent="0.35">
      <c r="A285" s="65">
        <f t="shared" si="39"/>
        <v>13</v>
      </c>
      <c r="B285" s="65">
        <v>5696</v>
      </c>
      <c r="C285" s="48" t="s">
        <v>450</v>
      </c>
      <c r="D285" s="49">
        <v>1962</v>
      </c>
      <c r="E285" s="46" t="s">
        <v>74</v>
      </c>
      <c r="F285" s="46" t="s">
        <v>160</v>
      </c>
      <c r="G285" s="50">
        <v>390.8</v>
      </c>
      <c r="H285" s="4">
        <v>339.5</v>
      </c>
      <c r="I285" s="74">
        <v>12</v>
      </c>
      <c r="J285" s="4">
        <f>'Форма 2'!I1113</f>
        <v>798058.47</v>
      </c>
      <c r="K285" s="4">
        <v>0</v>
      </c>
      <c r="L285" s="4">
        <v>0</v>
      </c>
      <c r="M285" s="4">
        <v>0</v>
      </c>
      <c r="N285" s="4">
        <f t="shared" si="38"/>
        <v>769703.26</v>
      </c>
      <c r="O285" s="4">
        <v>28355.21</v>
      </c>
      <c r="P285" s="4">
        <f t="shared" si="37"/>
        <v>2350.69</v>
      </c>
      <c r="Q285" s="4">
        <f>'Форма 2'!K1113</f>
        <v>7558</v>
      </c>
      <c r="R285" s="26" t="s">
        <v>161</v>
      </c>
      <c r="S285" s="5">
        <v>1</v>
      </c>
      <c r="T285" s="1"/>
    </row>
    <row r="286" spans="1:20" s="2" customFormat="1" x14ac:dyDescent="0.35">
      <c r="A286" s="65">
        <f t="shared" si="39"/>
        <v>14</v>
      </c>
      <c r="B286" s="65">
        <v>5763</v>
      </c>
      <c r="C286" s="48" t="s">
        <v>451</v>
      </c>
      <c r="D286" s="49">
        <v>1951</v>
      </c>
      <c r="E286" s="46" t="s">
        <v>74</v>
      </c>
      <c r="F286" s="46" t="s">
        <v>155</v>
      </c>
      <c r="G286" s="50">
        <v>301</v>
      </c>
      <c r="H286" s="4">
        <v>294.10000000000002</v>
      </c>
      <c r="I286" s="67">
        <v>17</v>
      </c>
      <c r="J286" s="4">
        <f>'Форма 2'!I1116</f>
        <v>3228860.58</v>
      </c>
      <c r="K286" s="4">
        <v>0</v>
      </c>
      <c r="L286" s="4">
        <v>0</v>
      </c>
      <c r="M286" s="4">
        <v>0</v>
      </c>
      <c r="N286" s="4">
        <f t="shared" si="38"/>
        <v>3118741.01</v>
      </c>
      <c r="O286" s="4">
        <v>110119.57</v>
      </c>
      <c r="P286" s="4">
        <f t="shared" si="37"/>
        <v>10978.78</v>
      </c>
      <c r="Q286" s="4">
        <f>'Форма 2'!K1116</f>
        <v>11088</v>
      </c>
      <c r="R286" s="26" t="s">
        <v>153</v>
      </c>
      <c r="S286" s="5">
        <v>1</v>
      </c>
      <c r="T286" s="1"/>
    </row>
    <row r="287" spans="1:20" s="2" customFormat="1" x14ac:dyDescent="0.35">
      <c r="A287" s="65">
        <f t="shared" si="39"/>
        <v>15</v>
      </c>
      <c r="B287" s="65">
        <v>5749</v>
      </c>
      <c r="C287" s="48" t="s">
        <v>452</v>
      </c>
      <c r="D287" s="49">
        <v>1933</v>
      </c>
      <c r="E287" s="46" t="s">
        <v>74</v>
      </c>
      <c r="F287" s="46" t="s">
        <v>155</v>
      </c>
      <c r="G287" s="50">
        <v>498.8</v>
      </c>
      <c r="H287" s="4">
        <v>408.6</v>
      </c>
      <c r="I287" s="67">
        <v>7</v>
      </c>
      <c r="J287" s="4">
        <f>'Форма 2'!I1119</f>
        <v>2598754.61</v>
      </c>
      <c r="K287" s="4">
        <v>0</v>
      </c>
      <c r="L287" s="4">
        <v>0</v>
      </c>
      <c r="M287" s="4">
        <v>0</v>
      </c>
      <c r="N287" s="4">
        <f t="shared" si="38"/>
        <v>2509987.69</v>
      </c>
      <c r="O287" s="4">
        <v>88766.92</v>
      </c>
      <c r="P287" s="4">
        <f t="shared" si="37"/>
        <v>6360.14</v>
      </c>
      <c r="Q287" s="4">
        <f>'Форма 2'!K1119</f>
        <v>7539</v>
      </c>
      <c r="R287" s="26" t="s">
        <v>153</v>
      </c>
      <c r="S287" s="5">
        <v>1</v>
      </c>
      <c r="T287" s="1"/>
    </row>
    <row r="288" spans="1:20" s="2" customFormat="1" x14ac:dyDescent="0.35">
      <c r="A288" s="65">
        <f t="shared" si="39"/>
        <v>16</v>
      </c>
      <c r="B288" s="65">
        <v>5796</v>
      </c>
      <c r="C288" s="48" t="s">
        <v>453</v>
      </c>
      <c r="D288" s="49">
        <v>1963</v>
      </c>
      <c r="E288" s="46" t="s">
        <v>74</v>
      </c>
      <c r="F288" s="46" t="s">
        <v>160</v>
      </c>
      <c r="G288" s="50">
        <v>397</v>
      </c>
      <c r="H288" s="4">
        <v>354.2</v>
      </c>
      <c r="I288" s="56">
        <v>11</v>
      </c>
      <c r="J288" s="4">
        <f>'Форма 2'!I1122</f>
        <v>831735.43</v>
      </c>
      <c r="K288" s="4">
        <v>0</v>
      </c>
      <c r="L288" s="4">
        <v>0</v>
      </c>
      <c r="M288" s="4">
        <v>0</v>
      </c>
      <c r="N288" s="4">
        <f t="shared" si="38"/>
        <v>802260.12</v>
      </c>
      <c r="O288" s="4">
        <v>29475.31</v>
      </c>
      <c r="P288" s="4">
        <f t="shared" si="37"/>
        <v>2348.21</v>
      </c>
      <c r="Q288" s="4">
        <f>'Форма 2'!K1122</f>
        <v>7548</v>
      </c>
      <c r="R288" s="26" t="s">
        <v>161</v>
      </c>
      <c r="S288" s="5">
        <v>1</v>
      </c>
      <c r="T288" s="1"/>
    </row>
    <row r="289" spans="1:20" s="2" customFormat="1" x14ac:dyDescent="0.35">
      <c r="A289" s="65">
        <f t="shared" si="39"/>
        <v>17</v>
      </c>
      <c r="B289" s="65">
        <v>5798</v>
      </c>
      <c r="C289" s="48" t="s">
        <v>454</v>
      </c>
      <c r="D289" s="49">
        <v>1963</v>
      </c>
      <c r="E289" s="46" t="s">
        <v>74</v>
      </c>
      <c r="F289" s="46" t="s">
        <v>155</v>
      </c>
      <c r="G289" s="50">
        <v>397</v>
      </c>
      <c r="H289" s="4">
        <v>361.8</v>
      </c>
      <c r="I289" s="56">
        <v>26</v>
      </c>
      <c r="J289" s="4">
        <f>'Форма 2'!I1125</f>
        <v>2478900.4700000002</v>
      </c>
      <c r="K289" s="4">
        <v>0</v>
      </c>
      <c r="L289" s="4">
        <v>0</v>
      </c>
      <c r="M289" s="4">
        <v>0</v>
      </c>
      <c r="N289" s="4">
        <f t="shared" si="38"/>
        <v>2394253.9700000002</v>
      </c>
      <c r="O289" s="4">
        <v>84646.5</v>
      </c>
      <c r="P289" s="4">
        <f t="shared" si="37"/>
        <v>6851.58</v>
      </c>
      <c r="Q289" s="4">
        <f>'Форма 2'!K1125</f>
        <v>7539</v>
      </c>
      <c r="R289" s="26" t="s">
        <v>153</v>
      </c>
      <c r="S289" s="5">
        <v>1</v>
      </c>
      <c r="T289" s="1"/>
    </row>
    <row r="290" spans="1:20" s="2" customFormat="1" x14ac:dyDescent="0.35">
      <c r="A290" s="65">
        <f t="shared" si="39"/>
        <v>18</v>
      </c>
      <c r="B290" s="65">
        <v>5800</v>
      </c>
      <c r="C290" s="48" t="s">
        <v>455</v>
      </c>
      <c r="D290" s="49">
        <v>1963</v>
      </c>
      <c r="E290" s="46" t="s">
        <v>74</v>
      </c>
      <c r="F290" s="46" t="s">
        <v>160</v>
      </c>
      <c r="G290" s="50">
        <v>397</v>
      </c>
      <c r="H290" s="4">
        <v>347.9</v>
      </c>
      <c r="I290" s="56">
        <v>11</v>
      </c>
      <c r="J290" s="4">
        <f>'Форма 2'!I1128</f>
        <v>816941.73</v>
      </c>
      <c r="K290" s="4">
        <v>0</v>
      </c>
      <c r="L290" s="4">
        <v>0</v>
      </c>
      <c r="M290" s="4">
        <v>0</v>
      </c>
      <c r="N290" s="4">
        <f t="shared" si="38"/>
        <v>787990.68</v>
      </c>
      <c r="O290" s="4">
        <v>28951.05</v>
      </c>
      <c r="P290" s="4">
        <f t="shared" si="37"/>
        <v>2348.21</v>
      </c>
      <c r="Q290" s="4">
        <f>'Форма 2'!K1128</f>
        <v>7548</v>
      </c>
      <c r="R290" s="26" t="s">
        <v>161</v>
      </c>
      <c r="S290" s="5">
        <v>1</v>
      </c>
      <c r="T290" s="1"/>
    </row>
    <row r="291" spans="1:20" s="2" customFormat="1" x14ac:dyDescent="0.35">
      <c r="A291" s="227" t="s">
        <v>41</v>
      </c>
      <c r="B291" s="227"/>
      <c r="C291" s="227"/>
      <c r="D291" s="18" t="s">
        <v>13</v>
      </c>
      <c r="E291" s="4" t="s">
        <v>13</v>
      </c>
      <c r="F291" s="4" t="s">
        <v>13</v>
      </c>
      <c r="G291" s="37">
        <f>SUM(G292:G293)</f>
        <v>873.1</v>
      </c>
      <c r="H291" s="37">
        <f t="shared" ref="H291:O291" si="40">SUM(H292:H293)</f>
        <v>788.3</v>
      </c>
      <c r="I291" s="38">
        <f t="shared" si="40"/>
        <v>42</v>
      </c>
      <c r="J291" s="37">
        <f t="shared" si="40"/>
        <v>800506.45</v>
      </c>
      <c r="K291" s="37">
        <f t="shared" si="40"/>
        <v>0</v>
      </c>
      <c r="L291" s="37">
        <f t="shared" si="40"/>
        <v>0</v>
      </c>
      <c r="M291" s="37">
        <f t="shared" si="40"/>
        <v>0</v>
      </c>
      <c r="N291" s="37">
        <f t="shared" si="40"/>
        <v>731163.75</v>
      </c>
      <c r="O291" s="37">
        <f t="shared" si="40"/>
        <v>69342.7</v>
      </c>
      <c r="P291" s="4" t="s">
        <v>13</v>
      </c>
      <c r="Q291" s="4" t="s">
        <v>13</v>
      </c>
      <c r="R291" s="4" t="s">
        <v>13</v>
      </c>
      <c r="S291" s="19" t="s">
        <v>13</v>
      </c>
      <c r="T291" s="1"/>
    </row>
    <row r="292" spans="1:20" s="2" customFormat="1" x14ac:dyDescent="0.35">
      <c r="A292" s="71">
        <v>1</v>
      </c>
      <c r="B292" s="71">
        <v>4886</v>
      </c>
      <c r="C292" s="70" t="s">
        <v>456</v>
      </c>
      <c r="D292" s="71">
        <v>1980</v>
      </c>
      <c r="E292" s="21" t="s">
        <v>74</v>
      </c>
      <c r="F292" s="21" t="s">
        <v>152</v>
      </c>
      <c r="G292" s="50">
        <v>531.4</v>
      </c>
      <c r="H292" s="50">
        <v>482.1</v>
      </c>
      <c r="I292" s="56">
        <v>20</v>
      </c>
      <c r="J292" s="50">
        <f>'Форма 2'!I1132</f>
        <v>79929.89</v>
      </c>
      <c r="K292" s="50">
        <f>K293</f>
        <v>0</v>
      </c>
      <c r="L292" s="50">
        <f>L293</f>
        <v>0</v>
      </c>
      <c r="M292" s="50">
        <f>M293</f>
        <v>0</v>
      </c>
      <c r="N292" s="4">
        <f>J292-O292</f>
        <v>74227.17</v>
      </c>
      <c r="O292" s="50">
        <v>5702.72</v>
      </c>
      <c r="P292" s="50">
        <f>J292/H292</f>
        <v>165.8</v>
      </c>
      <c r="Q292" s="50">
        <f>'Форма 2'!K1132</f>
        <v>167</v>
      </c>
      <c r="R292" s="76" t="s">
        <v>153</v>
      </c>
      <c r="S292" s="5">
        <v>1</v>
      </c>
      <c r="T292" s="1"/>
    </row>
    <row r="293" spans="1:20" s="2" customFormat="1" x14ac:dyDescent="0.35">
      <c r="A293" s="65">
        <v>2</v>
      </c>
      <c r="B293" s="65">
        <v>4932</v>
      </c>
      <c r="C293" s="70" t="s">
        <v>457</v>
      </c>
      <c r="D293" s="71">
        <v>1964</v>
      </c>
      <c r="E293" s="71" t="s">
        <v>74</v>
      </c>
      <c r="F293" s="71" t="s">
        <v>155</v>
      </c>
      <c r="G293" s="72">
        <v>341.7</v>
      </c>
      <c r="H293" s="4">
        <v>306.2</v>
      </c>
      <c r="I293" s="73">
        <v>22</v>
      </c>
      <c r="J293" s="16">
        <f>'Форма 2'!I1134</f>
        <v>720576.56</v>
      </c>
      <c r="K293" s="4">
        <v>0</v>
      </c>
      <c r="L293" s="4">
        <v>0</v>
      </c>
      <c r="M293" s="4">
        <v>0</v>
      </c>
      <c r="N293" s="4">
        <f>J293-O293</f>
        <v>656936.57999999996</v>
      </c>
      <c r="O293" s="4">
        <v>63639.98</v>
      </c>
      <c r="P293" s="4">
        <f>J293/H293</f>
        <v>2353.29</v>
      </c>
      <c r="Q293" s="16">
        <f>'Форма 2'!K1134</f>
        <v>7539</v>
      </c>
      <c r="R293" s="26" t="s">
        <v>153</v>
      </c>
      <c r="S293" s="5">
        <v>1</v>
      </c>
      <c r="T293" s="1"/>
    </row>
    <row r="294" spans="1:20" s="2" customFormat="1" x14ac:dyDescent="0.35">
      <c r="A294" s="227" t="s">
        <v>53</v>
      </c>
      <c r="B294" s="227"/>
      <c r="C294" s="227"/>
      <c r="D294" s="18" t="s">
        <v>13</v>
      </c>
      <c r="E294" s="4" t="s">
        <v>13</v>
      </c>
      <c r="F294" s="4" t="s">
        <v>13</v>
      </c>
      <c r="G294" s="37">
        <f>SUM(G295:G296)</f>
        <v>882</v>
      </c>
      <c r="H294" s="37">
        <f t="shared" ref="H294:O294" si="41">SUM(H295:H296)</f>
        <v>800</v>
      </c>
      <c r="I294" s="38">
        <f t="shared" si="41"/>
        <v>26</v>
      </c>
      <c r="J294" s="37">
        <f t="shared" si="41"/>
        <v>1195935.53</v>
      </c>
      <c r="K294" s="37">
        <f t="shared" si="41"/>
        <v>0</v>
      </c>
      <c r="L294" s="37">
        <f t="shared" si="41"/>
        <v>0</v>
      </c>
      <c r="M294" s="37">
        <f t="shared" si="41"/>
        <v>0</v>
      </c>
      <c r="N294" s="37">
        <f t="shared" si="41"/>
        <v>1011023.51</v>
      </c>
      <c r="O294" s="37">
        <f t="shared" si="41"/>
        <v>184912.02</v>
      </c>
      <c r="P294" s="4" t="s">
        <v>13</v>
      </c>
      <c r="Q294" s="4" t="s">
        <v>13</v>
      </c>
      <c r="R294" s="4" t="s">
        <v>13</v>
      </c>
      <c r="S294" s="19" t="s">
        <v>13</v>
      </c>
      <c r="T294" s="1"/>
    </row>
    <row r="295" spans="1:20" s="2" customFormat="1" x14ac:dyDescent="0.35">
      <c r="A295" s="71">
        <v>1</v>
      </c>
      <c r="B295" s="77">
        <v>6813</v>
      </c>
      <c r="C295" s="78" t="s">
        <v>458</v>
      </c>
      <c r="D295" s="71">
        <v>1955</v>
      </c>
      <c r="E295" s="71" t="s">
        <v>74</v>
      </c>
      <c r="F295" s="71" t="s">
        <v>152</v>
      </c>
      <c r="G295" s="72">
        <v>441</v>
      </c>
      <c r="H295" s="4">
        <v>400</v>
      </c>
      <c r="I295" s="73">
        <v>14</v>
      </c>
      <c r="J295" s="37">
        <f>'Форма 2'!I1138</f>
        <v>70355.789999999994</v>
      </c>
      <c r="K295" s="16">
        <f>K296</f>
        <v>0</v>
      </c>
      <c r="L295" s="16">
        <f>L296</f>
        <v>0</v>
      </c>
      <c r="M295" s="16">
        <f>M296</f>
        <v>0</v>
      </c>
      <c r="N295" s="16">
        <f>J295-L295-M295-O295</f>
        <v>58030.38</v>
      </c>
      <c r="O295" s="16">
        <v>12325.41</v>
      </c>
      <c r="P295" s="37">
        <f>J295/H295</f>
        <v>175.89</v>
      </c>
      <c r="Q295" s="37">
        <f>'Форма 2'!K1138</f>
        <v>177</v>
      </c>
      <c r="R295" s="26" t="s">
        <v>153</v>
      </c>
      <c r="S295" s="5">
        <v>1</v>
      </c>
      <c r="T295" s="1"/>
    </row>
    <row r="296" spans="1:20" s="2" customFormat="1" x14ac:dyDescent="0.35">
      <c r="A296" s="71">
        <f>A295+1</f>
        <v>2</v>
      </c>
      <c r="B296" s="77">
        <v>6814</v>
      </c>
      <c r="C296" s="78" t="s">
        <v>459</v>
      </c>
      <c r="D296" s="71">
        <v>1955</v>
      </c>
      <c r="E296" s="71" t="s">
        <v>74</v>
      </c>
      <c r="F296" s="71" t="s">
        <v>155</v>
      </c>
      <c r="G296" s="72">
        <v>441</v>
      </c>
      <c r="H296" s="4">
        <v>400</v>
      </c>
      <c r="I296" s="73">
        <v>12</v>
      </c>
      <c r="J296" s="16">
        <f>'Форма 2'!I1140</f>
        <v>1125579.74</v>
      </c>
      <c r="K296" s="4">
        <v>0</v>
      </c>
      <c r="L296" s="4">
        <v>0</v>
      </c>
      <c r="M296" s="4">
        <v>0</v>
      </c>
      <c r="N296" s="50">
        <f>J296-O296</f>
        <v>952993.13</v>
      </c>
      <c r="O296" s="4">
        <v>172586.61</v>
      </c>
      <c r="P296" s="37">
        <f>J296/H296</f>
        <v>2813.95</v>
      </c>
      <c r="Q296" s="16">
        <f>'Форма 2'!K1140</f>
        <v>7539</v>
      </c>
      <c r="R296" s="26" t="s">
        <v>153</v>
      </c>
      <c r="S296" s="5">
        <v>1</v>
      </c>
      <c r="T296" s="1"/>
    </row>
    <row r="297" spans="1:20" s="2" customFormat="1" x14ac:dyDescent="0.35">
      <c r="A297" s="227" t="s">
        <v>43</v>
      </c>
      <c r="B297" s="227"/>
      <c r="C297" s="227"/>
      <c r="D297" s="18" t="s">
        <v>13</v>
      </c>
      <c r="E297" s="4" t="s">
        <v>13</v>
      </c>
      <c r="F297" s="4" t="s">
        <v>13</v>
      </c>
      <c r="G297" s="37">
        <f>SUM(G298:G299)</f>
        <v>2043.5</v>
      </c>
      <c r="H297" s="37">
        <f t="shared" ref="H297:O297" si="42">SUM(H298:H299)</f>
        <v>1876.54</v>
      </c>
      <c r="I297" s="38">
        <f t="shared" si="42"/>
        <v>128</v>
      </c>
      <c r="J297" s="37">
        <f t="shared" si="42"/>
        <v>4729249.04</v>
      </c>
      <c r="K297" s="37">
        <f t="shared" si="42"/>
        <v>0</v>
      </c>
      <c r="L297" s="37">
        <f t="shared" si="42"/>
        <v>0</v>
      </c>
      <c r="M297" s="37">
        <f t="shared" si="42"/>
        <v>0</v>
      </c>
      <c r="N297" s="37">
        <f t="shared" si="42"/>
        <v>4487904.9400000004</v>
      </c>
      <c r="O297" s="37">
        <f t="shared" si="42"/>
        <v>241344.1</v>
      </c>
      <c r="P297" s="4" t="s">
        <v>13</v>
      </c>
      <c r="Q297" s="4" t="s">
        <v>13</v>
      </c>
      <c r="R297" s="4" t="s">
        <v>13</v>
      </c>
      <c r="S297" s="19" t="s">
        <v>13</v>
      </c>
      <c r="T297" s="1"/>
    </row>
    <row r="298" spans="1:20" s="2" customFormat="1" x14ac:dyDescent="0.35">
      <c r="A298" s="68">
        <v>1</v>
      </c>
      <c r="B298" s="79">
        <v>4967</v>
      </c>
      <c r="C298" s="80" t="s">
        <v>460</v>
      </c>
      <c r="D298" s="49">
        <v>1968</v>
      </c>
      <c r="E298" s="49" t="s">
        <v>74</v>
      </c>
      <c r="F298" s="49" t="s">
        <v>152</v>
      </c>
      <c r="G298" s="50">
        <v>383.6</v>
      </c>
      <c r="H298" s="50">
        <v>351.8</v>
      </c>
      <c r="I298" s="56">
        <v>26</v>
      </c>
      <c r="J298" s="50">
        <f>'Форма 2'!I1144</f>
        <v>58356.6</v>
      </c>
      <c r="K298" s="50">
        <v>0</v>
      </c>
      <c r="L298" s="50">
        <v>0</v>
      </c>
      <c r="M298" s="50">
        <v>0</v>
      </c>
      <c r="N298" s="50">
        <f>J298-K298-L298-M298-O298</f>
        <v>54436.09</v>
      </c>
      <c r="O298" s="50">
        <v>3920.51</v>
      </c>
      <c r="P298" s="4">
        <f>J298/H298</f>
        <v>165.88</v>
      </c>
      <c r="Q298" s="4">
        <f>'Форма 2'!K1144</f>
        <v>167</v>
      </c>
      <c r="R298" s="4" t="s">
        <v>153</v>
      </c>
      <c r="S298" s="5">
        <v>1</v>
      </c>
      <c r="T298" s="1"/>
    </row>
    <row r="299" spans="1:20" s="2" customFormat="1" x14ac:dyDescent="0.35">
      <c r="A299" s="68">
        <f>A298+1</f>
        <v>2</v>
      </c>
      <c r="B299" s="79">
        <v>4968</v>
      </c>
      <c r="C299" s="80" t="s">
        <v>461</v>
      </c>
      <c r="D299" s="49">
        <v>1993</v>
      </c>
      <c r="E299" s="49" t="s">
        <v>74</v>
      </c>
      <c r="F299" s="49" t="s">
        <v>155</v>
      </c>
      <c r="G299" s="50">
        <v>1659.9</v>
      </c>
      <c r="H299" s="50">
        <v>1524.74</v>
      </c>
      <c r="I299" s="56">
        <v>102</v>
      </c>
      <c r="J299" s="50">
        <f>'Форма 2'!I1146</f>
        <v>4670892.4400000004</v>
      </c>
      <c r="K299" s="50">
        <v>0</v>
      </c>
      <c r="L299" s="50">
        <v>0</v>
      </c>
      <c r="M299" s="50">
        <v>0</v>
      </c>
      <c r="N299" s="50">
        <f>J299-K299-L299-M299-O299</f>
        <v>4433468.8499999996</v>
      </c>
      <c r="O299" s="50">
        <v>237423.59</v>
      </c>
      <c r="P299" s="4">
        <f>J299/H299</f>
        <v>3063.4</v>
      </c>
      <c r="Q299" s="4">
        <f>'Форма 2'!K1146</f>
        <v>5354</v>
      </c>
      <c r="R299" s="4" t="s">
        <v>153</v>
      </c>
      <c r="S299" s="5">
        <v>1</v>
      </c>
      <c r="T299" s="1"/>
    </row>
    <row r="300" spans="1:20" s="2" customFormat="1" x14ac:dyDescent="0.35">
      <c r="A300" s="227" t="s">
        <v>56</v>
      </c>
      <c r="B300" s="227"/>
      <c r="C300" s="227"/>
      <c r="D300" s="18" t="s">
        <v>13</v>
      </c>
      <c r="E300" s="4" t="s">
        <v>13</v>
      </c>
      <c r="F300" s="4" t="s">
        <v>13</v>
      </c>
      <c r="G300" s="37">
        <f>SUM(G301:G302)</f>
        <v>2101.73</v>
      </c>
      <c r="H300" s="37">
        <f t="shared" ref="H300:O300" si="43">SUM(H301:H302)</f>
        <v>1912.15</v>
      </c>
      <c r="I300" s="38">
        <f t="shared" si="43"/>
        <v>70</v>
      </c>
      <c r="J300" s="37">
        <f t="shared" si="43"/>
        <v>2206538</v>
      </c>
      <c r="K300" s="37">
        <f t="shared" si="43"/>
        <v>0</v>
      </c>
      <c r="L300" s="37">
        <f t="shared" si="43"/>
        <v>0</v>
      </c>
      <c r="M300" s="37">
        <f t="shared" si="43"/>
        <v>0</v>
      </c>
      <c r="N300" s="37">
        <f t="shared" si="43"/>
        <v>2103417.7999999998</v>
      </c>
      <c r="O300" s="37">
        <f t="shared" si="43"/>
        <v>103120.2</v>
      </c>
      <c r="P300" s="4" t="s">
        <v>13</v>
      </c>
      <c r="Q300" s="4" t="s">
        <v>13</v>
      </c>
      <c r="R300" s="4" t="s">
        <v>13</v>
      </c>
      <c r="S300" s="19" t="s">
        <v>13</v>
      </c>
      <c r="T300" s="1"/>
    </row>
    <row r="301" spans="1:20" s="2" customFormat="1" x14ac:dyDescent="0.35">
      <c r="A301" s="65">
        <v>1</v>
      </c>
      <c r="B301" s="65">
        <v>7435</v>
      </c>
      <c r="C301" s="48" t="s">
        <v>462</v>
      </c>
      <c r="D301" s="49">
        <v>1969</v>
      </c>
      <c r="E301" s="46" t="s">
        <v>74</v>
      </c>
      <c r="F301" s="46" t="s">
        <v>155</v>
      </c>
      <c r="G301" s="50">
        <v>465.68</v>
      </c>
      <c r="H301" s="4">
        <v>370.6</v>
      </c>
      <c r="I301" s="56">
        <v>13</v>
      </c>
      <c r="J301" s="4">
        <f>'Форма 2'!I1150</f>
        <v>2072417.11</v>
      </c>
      <c r="K301" s="4">
        <v>0</v>
      </c>
      <c r="L301" s="4">
        <v>0</v>
      </c>
      <c r="M301" s="4">
        <v>0</v>
      </c>
      <c r="N301" s="4">
        <f>J301-K301-L301-M301-O301</f>
        <v>1983130.26</v>
      </c>
      <c r="O301" s="4">
        <v>89286.85</v>
      </c>
      <c r="P301" s="4">
        <f>J301/H301</f>
        <v>5592.06</v>
      </c>
      <c r="Q301" s="4">
        <f>'Форма 2'!K1150</f>
        <v>7066</v>
      </c>
      <c r="R301" s="26" t="s">
        <v>153</v>
      </c>
      <c r="S301" s="5">
        <v>1</v>
      </c>
      <c r="T301" s="1"/>
    </row>
    <row r="302" spans="1:20" s="2" customFormat="1" x14ac:dyDescent="0.35">
      <c r="A302" s="65">
        <f>A301+1</f>
        <v>2</v>
      </c>
      <c r="B302" s="65">
        <v>7383</v>
      </c>
      <c r="C302" s="48" t="s">
        <v>463</v>
      </c>
      <c r="D302" s="49">
        <v>1982</v>
      </c>
      <c r="E302" s="46" t="s">
        <v>74</v>
      </c>
      <c r="F302" s="46" t="s">
        <v>152</v>
      </c>
      <c r="G302" s="50">
        <v>1636.05</v>
      </c>
      <c r="H302" s="4">
        <v>1541.55</v>
      </c>
      <c r="I302" s="56">
        <v>57</v>
      </c>
      <c r="J302" s="4">
        <f>'Форма 2'!I1153</f>
        <v>134120.89000000001</v>
      </c>
      <c r="K302" s="4">
        <v>0</v>
      </c>
      <c r="L302" s="4">
        <v>0</v>
      </c>
      <c r="M302" s="4">
        <v>0</v>
      </c>
      <c r="N302" s="4">
        <f>J302-K302-L302-M302-O302</f>
        <v>120287.54</v>
      </c>
      <c r="O302" s="4">
        <v>13833.35</v>
      </c>
      <c r="P302" s="4">
        <f>J302/H302</f>
        <v>87</v>
      </c>
      <c r="Q302" s="4">
        <f>'Форма 2'!K1153</f>
        <v>164</v>
      </c>
      <c r="R302" s="26" t="s">
        <v>153</v>
      </c>
      <c r="S302" s="5">
        <v>1</v>
      </c>
      <c r="T302" s="1"/>
    </row>
    <row r="303" spans="1:20" s="2" customFormat="1" x14ac:dyDescent="0.35">
      <c r="A303" s="227" t="s">
        <v>54</v>
      </c>
      <c r="B303" s="227"/>
      <c r="C303" s="227"/>
      <c r="D303" s="18" t="s">
        <v>13</v>
      </c>
      <c r="E303" s="4" t="s">
        <v>13</v>
      </c>
      <c r="F303" s="4" t="s">
        <v>13</v>
      </c>
      <c r="G303" s="37">
        <f>SUM(G304:G313)</f>
        <v>29318.81</v>
      </c>
      <c r="H303" s="37">
        <f t="shared" ref="H303:O303" si="44">SUM(H304:H313)</f>
        <v>22282.240000000002</v>
      </c>
      <c r="I303" s="38">
        <f t="shared" si="44"/>
        <v>1049</v>
      </c>
      <c r="J303" s="37">
        <f t="shared" si="44"/>
        <v>31131819.309999999</v>
      </c>
      <c r="K303" s="37">
        <f t="shared" si="44"/>
        <v>0</v>
      </c>
      <c r="L303" s="37">
        <f t="shared" si="44"/>
        <v>0</v>
      </c>
      <c r="M303" s="37">
        <f t="shared" si="44"/>
        <v>0</v>
      </c>
      <c r="N303" s="37">
        <f t="shared" si="44"/>
        <v>30186418.059999999</v>
      </c>
      <c r="O303" s="37">
        <f t="shared" si="44"/>
        <v>945401.25</v>
      </c>
      <c r="P303" s="4" t="s">
        <v>13</v>
      </c>
      <c r="Q303" s="4" t="s">
        <v>13</v>
      </c>
      <c r="R303" s="4" t="s">
        <v>13</v>
      </c>
      <c r="S303" s="19" t="s">
        <v>13</v>
      </c>
      <c r="T303" s="1"/>
    </row>
    <row r="304" spans="1:20" s="2" customFormat="1" x14ac:dyDescent="0.35">
      <c r="A304" s="65">
        <v>1</v>
      </c>
      <c r="B304" s="81">
        <v>6977</v>
      </c>
      <c r="C304" s="48" t="s">
        <v>464</v>
      </c>
      <c r="D304" s="49">
        <v>1970</v>
      </c>
      <c r="E304" s="49" t="s">
        <v>74</v>
      </c>
      <c r="F304" s="49" t="s">
        <v>155</v>
      </c>
      <c r="G304" s="50">
        <v>1404.5</v>
      </c>
      <c r="H304" s="4">
        <v>966.8</v>
      </c>
      <c r="I304" s="56">
        <v>60</v>
      </c>
      <c r="J304" s="4">
        <f>'Форма 2'!I1156</f>
        <v>2654687.9900000002</v>
      </c>
      <c r="K304" s="52">
        <v>0</v>
      </c>
      <c r="L304" s="4">
        <v>0</v>
      </c>
      <c r="M304" s="4">
        <v>0</v>
      </c>
      <c r="N304" s="4">
        <f>J304-O304</f>
        <v>2561922.46</v>
      </c>
      <c r="O304" s="4">
        <v>92765.53</v>
      </c>
      <c r="P304" s="4">
        <f t="shared" ref="P304:P313" si="45">J304/H304</f>
        <v>2745.85</v>
      </c>
      <c r="Q304" s="4">
        <f>'Форма 2'!K1156</f>
        <v>4728</v>
      </c>
      <c r="R304" s="82" t="s">
        <v>153</v>
      </c>
      <c r="S304" s="5">
        <v>1</v>
      </c>
      <c r="T304" s="1"/>
    </row>
    <row r="305" spans="1:21" s="2" customFormat="1" x14ac:dyDescent="0.35">
      <c r="A305" s="65">
        <f t="shared" ref="A305:A313" si="46">A304+1</f>
        <v>2</v>
      </c>
      <c r="B305" s="81">
        <v>6958</v>
      </c>
      <c r="C305" s="48" t="s">
        <v>465</v>
      </c>
      <c r="D305" s="49">
        <v>1971</v>
      </c>
      <c r="E305" s="49" t="s">
        <v>74</v>
      </c>
      <c r="F305" s="49" t="s">
        <v>155</v>
      </c>
      <c r="G305" s="50">
        <v>2010.5</v>
      </c>
      <c r="H305" s="4">
        <v>1377.29</v>
      </c>
      <c r="I305" s="56">
        <v>66</v>
      </c>
      <c r="J305" s="4">
        <f>'Форма 2'!I1159</f>
        <v>3825540.56</v>
      </c>
      <c r="K305" s="52">
        <v>0</v>
      </c>
      <c r="L305" s="4">
        <v>0</v>
      </c>
      <c r="M305" s="4">
        <v>0</v>
      </c>
      <c r="N305" s="4">
        <f>J305-O305</f>
        <v>3701662.01</v>
      </c>
      <c r="O305" s="4">
        <v>123878.55</v>
      </c>
      <c r="P305" s="4">
        <f t="shared" si="45"/>
        <v>2777.59</v>
      </c>
      <c r="Q305" s="4">
        <f>'Форма 2'!K1159</f>
        <v>4728</v>
      </c>
      <c r="R305" s="82" t="s">
        <v>153</v>
      </c>
      <c r="S305" s="5">
        <v>1</v>
      </c>
      <c r="T305" s="1"/>
    </row>
    <row r="306" spans="1:21" s="2" customFormat="1" x14ac:dyDescent="0.35">
      <c r="A306" s="65">
        <f t="shared" si="46"/>
        <v>3</v>
      </c>
      <c r="B306" s="81">
        <v>7002</v>
      </c>
      <c r="C306" s="69" t="s">
        <v>466</v>
      </c>
      <c r="D306" s="49">
        <v>1974</v>
      </c>
      <c r="E306" s="49" t="s">
        <v>74</v>
      </c>
      <c r="F306" s="68" t="s">
        <v>160</v>
      </c>
      <c r="G306" s="50">
        <v>3571.3</v>
      </c>
      <c r="H306" s="4">
        <v>2657.4</v>
      </c>
      <c r="I306" s="56">
        <v>151</v>
      </c>
      <c r="J306" s="4">
        <f>'Форма 2'!I1162</f>
        <v>2643222.7599999998</v>
      </c>
      <c r="K306" s="52">
        <v>0</v>
      </c>
      <c r="L306" s="52">
        <v>0</v>
      </c>
      <c r="M306" s="52">
        <v>0</v>
      </c>
      <c r="N306" s="52">
        <f t="shared" ref="N306:N313" si="47">J306-K306-L306-M306-O306</f>
        <v>2568267.48</v>
      </c>
      <c r="O306" s="4">
        <v>74955.28</v>
      </c>
      <c r="P306" s="4">
        <f t="shared" si="45"/>
        <v>994.66</v>
      </c>
      <c r="Q306" s="4">
        <f>'Форма 2'!K1162</f>
        <v>2936</v>
      </c>
      <c r="R306" s="82" t="s">
        <v>161</v>
      </c>
      <c r="S306" s="5">
        <v>1</v>
      </c>
      <c r="T306" s="1"/>
    </row>
    <row r="307" spans="1:21" s="2" customFormat="1" x14ac:dyDescent="0.35">
      <c r="A307" s="65">
        <f t="shared" si="46"/>
        <v>4</v>
      </c>
      <c r="B307" s="81">
        <v>7003</v>
      </c>
      <c r="C307" s="48" t="s">
        <v>467</v>
      </c>
      <c r="D307" s="49">
        <v>1976</v>
      </c>
      <c r="E307" s="49" t="s">
        <v>74</v>
      </c>
      <c r="F307" s="68" t="s">
        <v>160</v>
      </c>
      <c r="G307" s="50">
        <v>3571.3</v>
      </c>
      <c r="H307" s="4">
        <v>2665.8</v>
      </c>
      <c r="I307" s="56">
        <v>115</v>
      </c>
      <c r="J307" s="4">
        <f>'Форма 2'!I1165</f>
        <v>2652802.0699999998</v>
      </c>
      <c r="K307" s="52">
        <v>0</v>
      </c>
      <c r="L307" s="4">
        <v>0</v>
      </c>
      <c r="M307" s="4">
        <v>0</v>
      </c>
      <c r="N307" s="4">
        <f t="shared" si="47"/>
        <v>2577846.79</v>
      </c>
      <c r="O307" s="4">
        <v>74955.28</v>
      </c>
      <c r="P307" s="4">
        <f t="shared" si="45"/>
        <v>995.12</v>
      </c>
      <c r="Q307" s="4">
        <f>'Форма 2'!K1165</f>
        <v>2936</v>
      </c>
      <c r="R307" s="82" t="s">
        <v>161</v>
      </c>
      <c r="S307" s="5">
        <v>1</v>
      </c>
      <c r="T307" s="1"/>
    </row>
    <row r="308" spans="1:21" s="2" customFormat="1" x14ac:dyDescent="0.35">
      <c r="A308" s="65">
        <f t="shared" si="46"/>
        <v>5</v>
      </c>
      <c r="B308" s="81">
        <v>6933</v>
      </c>
      <c r="C308" s="83" t="s">
        <v>468</v>
      </c>
      <c r="D308" s="49">
        <v>1974</v>
      </c>
      <c r="E308" s="49" t="s">
        <v>74</v>
      </c>
      <c r="F308" s="68" t="s">
        <v>160</v>
      </c>
      <c r="G308" s="50">
        <v>4629</v>
      </c>
      <c r="H308" s="4">
        <v>3603</v>
      </c>
      <c r="I308" s="56">
        <v>203</v>
      </c>
      <c r="J308" s="4">
        <f>'Форма 2'!I1168</f>
        <v>3577652.4</v>
      </c>
      <c r="K308" s="52">
        <v>0</v>
      </c>
      <c r="L308" s="4">
        <v>0</v>
      </c>
      <c r="M308" s="4">
        <v>0</v>
      </c>
      <c r="N308" s="4">
        <f t="shared" si="47"/>
        <v>3476025.29</v>
      </c>
      <c r="O308" s="4">
        <v>101627.11</v>
      </c>
      <c r="P308" s="4">
        <f t="shared" si="45"/>
        <v>992.96</v>
      </c>
      <c r="Q308" s="4">
        <f>'Форма 2'!K1168</f>
        <v>2936</v>
      </c>
      <c r="R308" s="82" t="s">
        <v>161</v>
      </c>
      <c r="S308" s="5">
        <v>1</v>
      </c>
      <c r="T308" s="1"/>
    </row>
    <row r="309" spans="1:21" s="2" customFormat="1" x14ac:dyDescent="0.35">
      <c r="A309" s="65">
        <f t="shared" si="46"/>
        <v>6</v>
      </c>
      <c r="B309" s="81">
        <v>6942</v>
      </c>
      <c r="C309" s="83" t="s">
        <v>469</v>
      </c>
      <c r="D309" s="49">
        <v>1974</v>
      </c>
      <c r="E309" s="49" t="s">
        <v>74</v>
      </c>
      <c r="F309" s="68" t="s">
        <v>160</v>
      </c>
      <c r="G309" s="50">
        <v>1027</v>
      </c>
      <c r="H309" s="4">
        <v>751.3</v>
      </c>
      <c r="I309" s="56">
        <v>27</v>
      </c>
      <c r="J309" s="4">
        <f>'Форма 2'!I1171</f>
        <v>1165824.2</v>
      </c>
      <c r="K309" s="52">
        <v>0</v>
      </c>
      <c r="L309" s="4">
        <v>0</v>
      </c>
      <c r="M309" s="4">
        <v>0</v>
      </c>
      <c r="N309" s="4">
        <f t="shared" si="47"/>
        <v>1132543.42</v>
      </c>
      <c r="O309" s="4">
        <v>33280.78</v>
      </c>
      <c r="P309" s="4">
        <f t="shared" si="45"/>
        <v>1551.74</v>
      </c>
      <c r="Q309" s="4">
        <f>'Форма 2'!K1171</f>
        <v>4793</v>
      </c>
      <c r="R309" s="82" t="s">
        <v>161</v>
      </c>
      <c r="S309" s="5">
        <v>1</v>
      </c>
      <c r="T309" s="1"/>
    </row>
    <row r="310" spans="1:21" s="2" customFormat="1" x14ac:dyDescent="0.35">
      <c r="A310" s="65">
        <f t="shared" si="46"/>
        <v>7</v>
      </c>
      <c r="B310" s="81">
        <v>6831</v>
      </c>
      <c r="C310" s="83" t="s">
        <v>470</v>
      </c>
      <c r="D310" s="49">
        <v>1979</v>
      </c>
      <c r="E310" s="49" t="s">
        <v>74</v>
      </c>
      <c r="F310" s="68" t="s">
        <v>160</v>
      </c>
      <c r="G310" s="50">
        <v>5440.7</v>
      </c>
      <c r="H310" s="4">
        <v>3997.52</v>
      </c>
      <c r="I310" s="56">
        <v>201</v>
      </c>
      <c r="J310" s="52">
        <f>'Форма 2'!I1174</f>
        <v>3976193.22</v>
      </c>
      <c r="K310" s="52">
        <v>0</v>
      </c>
      <c r="L310" s="4">
        <v>0</v>
      </c>
      <c r="M310" s="4">
        <v>0</v>
      </c>
      <c r="N310" s="4">
        <f t="shared" si="47"/>
        <v>3863438.19</v>
      </c>
      <c r="O310" s="4">
        <v>112755.03</v>
      </c>
      <c r="P310" s="4">
        <f t="shared" si="45"/>
        <v>994.66</v>
      </c>
      <c r="Q310" s="4">
        <f>'Форма 2'!K1174</f>
        <v>2936</v>
      </c>
      <c r="R310" s="82" t="s">
        <v>161</v>
      </c>
      <c r="S310" s="5">
        <v>1</v>
      </c>
      <c r="T310" s="1"/>
    </row>
    <row r="311" spans="1:21" s="2" customFormat="1" x14ac:dyDescent="0.35">
      <c r="A311" s="65">
        <f t="shared" si="46"/>
        <v>8</v>
      </c>
      <c r="B311" s="81">
        <v>6832</v>
      </c>
      <c r="C311" s="83" t="s">
        <v>471</v>
      </c>
      <c r="D311" s="49">
        <v>1989</v>
      </c>
      <c r="E311" s="49" t="s">
        <v>74</v>
      </c>
      <c r="F311" s="68" t="s">
        <v>160</v>
      </c>
      <c r="G311" s="50">
        <v>3993.11</v>
      </c>
      <c r="H311" s="4">
        <v>2867.33</v>
      </c>
      <c r="I311" s="56">
        <v>109</v>
      </c>
      <c r="J311" s="52">
        <f>'Форма 2'!I1177</f>
        <v>2854713.75</v>
      </c>
      <c r="K311" s="52">
        <v>0</v>
      </c>
      <c r="L311" s="4">
        <v>0</v>
      </c>
      <c r="M311" s="4">
        <v>0</v>
      </c>
      <c r="N311" s="4">
        <f t="shared" si="47"/>
        <v>2773837.13</v>
      </c>
      <c r="O311" s="4">
        <v>80876.62</v>
      </c>
      <c r="P311" s="4">
        <f t="shared" si="45"/>
        <v>995.6</v>
      </c>
      <c r="Q311" s="4">
        <f>'Форма 2'!K1177</f>
        <v>2936</v>
      </c>
      <c r="R311" s="82" t="s">
        <v>161</v>
      </c>
      <c r="S311" s="5">
        <v>1</v>
      </c>
      <c r="T311" s="1"/>
    </row>
    <row r="312" spans="1:21" s="64" customFormat="1" ht="31" x14ac:dyDescent="0.35">
      <c r="A312" s="68">
        <f t="shared" si="46"/>
        <v>9</v>
      </c>
      <c r="B312" s="81">
        <v>7021</v>
      </c>
      <c r="C312" s="84" t="s">
        <v>472</v>
      </c>
      <c r="D312" s="46">
        <v>1972</v>
      </c>
      <c r="E312" s="46" t="s">
        <v>767</v>
      </c>
      <c r="F312" s="68" t="s">
        <v>152</v>
      </c>
      <c r="G312" s="85">
        <v>953.7</v>
      </c>
      <c r="H312" s="35">
        <v>871.7</v>
      </c>
      <c r="I312" s="67">
        <v>40</v>
      </c>
      <c r="J312" s="86">
        <f>'Форма 2'!I1180</f>
        <v>226642</v>
      </c>
      <c r="K312" s="86">
        <v>0</v>
      </c>
      <c r="L312" s="35">
        <v>0</v>
      </c>
      <c r="M312" s="35">
        <v>0</v>
      </c>
      <c r="N312" s="35">
        <f t="shared" si="47"/>
        <v>199796.65</v>
      </c>
      <c r="O312" s="35">
        <v>26845.35</v>
      </c>
      <c r="P312" s="35">
        <f t="shared" si="45"/>
        <v>260</v>
      </c>
      <c r="Q312" s="35">
        <f>'Форма 2'!K1180</f>
        <v>260</v>
      </c>
      <c r="R312" s="87" t="s">
        <v>153</v>
      </c>
      <c r="S312" s="63">
        <v>1</v>
      </c>
      <c r="T312" s="1"/>
      <c r="U312" s="2"/>
    </row>
    <row r="313" spans="1:21" s="2" customFormat="1" x14ac:dyDescent="0.35">
      <c r="A313" s="65">
        <f t="shared" si="46"/>
        <v>10</v>
      </c>
      <c r="B313" s="88">
        <v>6925</v>
      </c>
      <c r="C313" s="83" t="s">
        <v>473</v>
      </c>
      <c r="D313" s="68">
        <v>1963</v>
      </c>
      <c r="E313" s="89" t="s">
        <v>74</v>
      </c>
      <c r="F313" s="49" t="s">
        <v>155</v>
      </c>
      <c r="G313" s="50">
        <v>2717.7</v>
      </c>
      <c r="H313" s="4">
        <v>2524.1</v>
      </c>
      <c r="I313" s="56">
        <v>77</v>
      </c>
      <c r="J313" s="4">
        <f>'Форма 2'!I1185</f>
        <v>7554540.3600000003</v>
      </c>
      <c r="K313" s="52">
        <v>0</v>
      </c>
      <c r="L313" s="4">
        <v>0</v>
      </c>
      <c r="M313" s="4">
        <v>0</v>
      </c>
      <c r="N313" s="4">
        <f t="shared" si="47"/>
        <v>7331078.6399999997</v>
      </c>
      <c r="O313" s="4">
        <v>223461.72</v>
      </c>
      <c r="P313" s="4">
        <f t="shared" si="45"/>
        <v>2992.96</v>
      </c>
      <c r="Q313" s="4">
        <f>'Форма 2'!K1185</f>
        <v>4728</v>
      </c>
      <c r="R313" s="82" t="s">
        <v>153</v>
      </c>
      <c r="S313" s="5">
        <v>1</v>
      </c>
      <c r="T313" s="1"/>
    </row>
    <row r="314" spans="1:21" s="2" customFormat="1" x14ac:dyDescent="0.35">
      <c r="A314" s="227" t="s">
        <v>49</v>
      </c>
      <c r="B314" s="227"/>
      <c r="C314" s="227"/>
      <c r="D314" s="18" t="s">
        <v>13</v>
      </c>
      <c r="E314" s="4" t="s">
        <v>13</v>
      </c>
      <c r="F314" s="4" t="s">
        <v>13</v>
      </c>
      <c r="G314" s="37">
        <f>G315</f>
        <v>1009</v>
      </c>
      <c r="H314" s="37">
        <f t="shared" ref="H314:O314" si="48">H315</f>
        <v>885.8</v>
      </c>
      <c r="I314" s="38">
        <f t="shared" si="48"/>
        <v>44</v>
      </c>
      <c r="J314" s="37">
        <f t="shared" si="48"/>
        <v>3770301.99</v>
      </c>
      <c r="K314" s="37">
        <f t="shared" si="48"/>
        <v>0</v>
      </c>
      <c r="L314" s="37">
        <f t="shared" si="48"/>
        <v>0</v>
      </c>
      <c r="M314" s="37">
        <f t="shared" si="48"/>
        <v>0</v>
      </c>
      <c r="N314" s="37">
        <f t="shared" si="48"/>
        <v>3629872.67</v>
      </c>
      <c r="O314" s="37">
        <f t="shared" si="48"/>
        <v>140429.32</v>
      </c>
      <c r="P314" s="4" t="s">
        <v>13</v>
      </c>
      <c r="Q314" s="4" t="s">
        <v>13</v>
      </c>
      <c r="R314" s="4" t="s">
        <v>13</v>
      </c>
      <c r="S314" s="19" t="s">
        <v>13</v>
      </c>
      <c r="T314" s="1"/>
    </row>
    <row r="315" spans="1:21" s="2" customFormat="1" x14ac:dyDescent="0.35">
      <c r="A315" s="65">
        <v>1</v>
      </c>
      <c r="B315" s="21">
        <v>4997</v>
      </c>
      <c r="C315" s="48" t="s">
        <v>474</v>
      </c>
      <c r="D315" s="71">
        <v>1981</v>
      </c>
      <c r="E315" s="71" t="s">
        <v>74</v>
      </c>
      <c r="F315" s="71" t="s">
        <v>155</v>
      </c>
      <c r="G315" s="72">
        <v>1009</v>
      </c>
      <c r="H315" s="35">
        <v>885.8</v>
      </c>
      <c r="I315" s="73">
        <v>44</v>
      </c>
      <c r="J315" s="4">
        <f>'Форма 2'!I1189</f>
        <v>3770301.99</v>
      </c>
      <c r="K315" s="4">
        <v>0</v>
      </c>
      <c r="L315" s="4">
        <v>0</v>
      </c>
      <c r="M315" s="4">
        <v>0</v>
      </c>
      <c r="N315" s="4">
        <f>J315-K315-L315-M315-O315</f>
        <v>3629872.67</v>
      </c>
      <c r="O315" s="4">
        <v>140429.32</v>
      </c>
      <c r="P315" s="4">
        <f>J315/H315</f>
        <v>4256.38</v>
      </c>
      <c r="Q315" s="16">
        <f>'Форма 2'!K1189</f>
        <v>7539</v>
      </c>
      <c r="R315" s="26" t="s">
        <v>153</v>
      </c>
      <c r="S315" s="5">
        <v>1</v>
      </c>
      <c r="T315" s="1"/>
      <c r="U315" s="64"/>
    </row>
    <row r="316" spans="1:21" s="2" customFormat="1" x14ac:dyDescent="0.35">
      <c r="A316" s="227" t="s">
        <v>55</v>
      </c>
      <c r="B316" s="227"/>
      <c r="C316" s="227"/>
      <c r="D316" s="18" t="s">
        <v>13</v>
      </c>
      <c r="E316" s="4" t="s">
        <v>13</v>
      </c>
      <c r="F316" s="4" t="s">
        <v>13</v>
      </c>
      <c r="G316" s="37">
        <f>G317</f>
        <v>1187.7</v>
      </c>
      <c r="H316" s="37">
        <f t="shared" ref="H316:O316" si="49">H317</f>
        <v>988.9</v>
      </c>
      <c r="I316" s="38">
        <f t="shared" si="49"/>
        <v>94</v>
      </c>
      <c r="J316" s="37">
        <f t="shared" si="49"/>
        <v>5360773.6500000004</v>
      </c>
      <c r="K316" s="37">
        <f t="shared" si="49"/>
        <v>0</v>
      </c>
      <c r="L316" s="37">
        <f t="shared" si="49"/>
        <v>0</v>
      </c>
      <c r="M316" s="37">
        <f t="shared" si="49"/>
        <v>0</v>
      </c>
      <c r="N316" s="37">
        <f t="shared" si="49"/>
        <v>5165259.45</v>
      </c>
      <c r="O316" s="37">
        <f t="shared" si="49"/>
        <v>195514.2</v>
      </c>
      <c r="P316" s="4" t="s">
        <v>13</v>
      </c>
      <c r="Q316" s="4" t="s">
        <v>13</v>
      </c>
      <c r="R316" s="4" t="s">
        <v>13</v>
      </c>
      <c r="S316" s="19" t="s">
        <v>13</v>
      </c>
      <c r="T316" s="1"/>
    </row>
    <row r="317" spans="1:21" s="2" customFormat="1" x14ac:dyDescent="0.35">
      <c r="A317" s="65">
        <f>1</f>
        <v>1</v>
      </c>
      <c r="B317" s="65">
        <v>7164</v>
      </c>
      <c r="C317" s="48" t="s">
        <v>475</v>
      </c>
      <c r="D317" s="49">
        <v>1983</v>
      </c>
      <c r="E317" s="46" t="s">
        <v>74</v>
      </c>
      <c r="F317" s="46" t="s">
        <v>155</v>
      </c>
      <c r="G317" s="50">
        <v>1187.7</v>
      </c>
      <c r="H317" s="4">
        <v>988.9</v>
      </c>
      <c r="I317" s="56">
        <v>94</v>
      </c>
      <c r="J317" s="4">
        <f>'Форма 2'!I1193</f>
        <v>5360773.6500000004</v>
      </c>
      <c r="K317" s="4">
        <v>0</v>
      </c>
      <c r="L317" s="4">
        <v>0</v>
      </c>
      <c r="M317" s="4">
        <v>0</v>
      </c>
      <c r="N317" s="50">
        <f>J317-O317</f>
        <v>5165259.45</v>
      </c>
      <c r="O317" s="50">
        <v>195514.2</v>
      </c>
      <c r="P317" s="4">
        <f>J317/H317</f>
        <v>5420.95</v>
      </c>
      <c r="Q317" s="4">
        <f>'Форма 2'!K1193</f>
        <v>7066</v>
      </c>
      <c r="R317" s="26" t="s">
        <v>153</v>
      </c>
      <c r="S317" s="5">
        <v>1</v>
      </c>
      <c r="T317" s="1"/>
    </row>
    <row r="318" spans="1:21" s="2" customFormat="1" x14ac:dyDescent="0.35">
      <c r="A318" s="15" t="s">
        <v>29</v>
      </c>
      <c r="B318" s="15"/>
      <c r="C318" s="16"/>
      <c r="D318" s="15"/>
      <c r="E318" s="16"/>
      <c r="F318" s="16"/>
      <c r="G318" s="16"/>
      <c r="H318" s="16"/>
      <c r="I318" s="17"/>
      <c r="J318" s="16"/>
      <c r="K318" s="16"/>
      <c r="L318" s="16"/>
      <c r="M318" s="16"/>
      <c r="N318" s="16"/>
      <c r="O318" s="16"/>
      <c r="P318" s="4"/>
      <c r="Q318" s="4"/>
      <c r="R318" s="4"/>
      <c r="S318" s="19"/>
      <c r="T318" s="1"/>
    </row>
    <row r="319" spans="1:21" s="2" customFormat="1" x14ac:dyDescent="0.35">
      <c r="A319" s="231" t="s">
        <v>51</v>
      </c>
      <c r="B319" s="231"/>
      <c r="C319" s="231"/>
      <c r="D319" s="15" t="s">
        <v>13</v>
      </c>
      <c r="E319" s="16" t="s">
        <v>13</v>
      </c>
      <c r="F319" s="16" t="s">
        <v>13</v>
      </c>
      <c r="G319" s="16">
        <f t="shared" ref="G319:O319" si="50">G320+G323+G338+G340+G343+G417+G439+G698+G700+G704+G707+G729+G731+G735+G738+G754+G756</f>
        <v>1594933.21</v>
      </c>
      <c r="H319" s="16">
        <f t="shared" si="50"/>
        <v>1328563.0900000001</v>
      </c>
      <c r="I319" s="17">
        <f t="shared" si="50"/>
        <v>54201</v>
      </c>
      <c r="J319" s="16">
        <f t="shared" si="50"/>
        <v>1098109842.45</v>
      </c>
      <c r="K319" s="16">
        <f t="shared" si="50"/>
        <v>0</v>
      </c>
      <c r="L319" s="16">
        <f t="shared" si="50"/>
        <v>0</v>
      </c>
      <c r="M319" s="16">
        <f t="shared" si="50"/>
        <v>0</v>
      </c>
      <c r="N319" s="16">
        <f t="shared" si="50"/>
        <v>1053873288.91</v>
      </c>
      <c r="O319" s="16">
        <f t="shared" si="50"/>
        <v>44236553.539999999</v>
      </c>
      <c r="P319" s="4" t="s">
        <v>13</v>
      </c>
      <c r="Q319" s="4" t="s">
        <v>13</v>
      </c>
      <c r="R319" s="4" t="s">
        <v>13</v>
      </c>
      <c r="S319" s="19" t="s">
        <v>13</v>
      </c>
      <c r="T319" s="1"/>
    </row>
    <row r="320" spans="1:21" s="2" customFormat="1" x14ac:dyDescent="0.35">
      <c r="A320" s="90" t="s">
        <v>16</v>
      </c>
      <c r="B320" s="15"/>
      <c r="C320" s="90"/>
      <c r="D320" s="18" t="s">
        <v>13</v>
      </c>
      <c r="E320" s="4" t="s">
        <v>13</v>
      </c>
      <c r="F320" s="4" t="s">
        <v>13</v>
      </c>
      <c r="G320" s="4">
        <f>SUM(G321:G322)</f>
        <v>690.9</v>
      </c>
      <c r="H320" s="4">
        <f t="shared" ref="H320:O320" si="51">SUM(H321:H322)</f>
        <v>624.1</v>
      </c>
      <c r="I320" s="19">
        <f t="shared" si="51"/>
        <v>28</v>
      </c>
      <c r="J320" s="4">
        <f t="shared" si="51"/>
        <v>287120.7</v>
      </c>
      <c r="K320" s="4">
        <f t="shared" si="51"/>
        <v>0</v>
      </c>
      <c r="L320" s="4">
        <f t="shared" si="51"/>
        <v>0</v>
      </c>
      <c r="M320" s="4">
        <f t="shared" si="51"/>
        <v>0</v>
      </c>
      <c r="N320" s="4">
        <f t="shared" si="51"/>
        <v>160051</v>
      </c>
      <c r="O320" s="4">
        <f t="shared" si="51"/>
        <v>127069.7</v>
      </c>
      <c r="P320" s="4" t="s">
        <v>13</v>
      </c>
      <c r="Q320" s="4" t="s">
        <v>13</v>
      </c>
      <c r="R320" s="4" t="s">
        <v>13</v>
      </c>
      <c r="S320" s="19" t="s">
        <v>13</v>
      </c>
      <c r="T320" s="1"/>
    </row>
    <row r="321" spans="1:24" s="2" customFormat="1" x14ac:dyDescent="0.35">
      <c r="A321" s="20">
        <v>1</v>
      </c>
      <c r="B321" s="21">
        <v>4692</v>
      </c>
      <c r="C321" s="22" t="s">
        <v>476</v>
      </c>
      <c r="D321" s="23">
        <v>1968</v>
      </c>
      <c r="E321" s="24" t="s">
        <v>230</v>
      </c>
      <c r="F321" s="25" t="s">
        <v>152</v>
      </c>
      <c r="G321" s="4">
        <v>261.60000000000002</v>
      </c>
      <c r="H321" s="4">
        <v>237.2</v>
      </c>
      <c r="I321" s="19">
        <v>12</v>
      </c>
      <c r="J321" s="4">
        <f>'Форма 2'!I1198</f>
        <v>186913.6</v>
      </c>
      <c r="K321" s="4">
        <v>0</v>
      </c>
      <c r="L321" s="4">
        <v>0</v>
      </c>
      <c r="M321" s="4">
        <v>0</v>
      </c>
      <c r="N321" s="4">
        <f>J321-K321-L321-M321-O321</f>
        <v>128325.2</v>
      </c>
      <c r="O321" s="4">
        <v>58588.4</v>
      </c>
      <c r="P321" s="4">
        <f>J321/H321</f>
        <v>788</v>
      </c>
      <c r="Q321" s="4">
        <f>'Форма 2'!K1198</f>
        <v>788</v>
      </c>
      <c r="R321" s="26" t="s">
        <v>161</v>
      </c>
      <c r="S321" s="5">
        <v>1</v>
      </c>
      <c r="T321" s="1"/>
    </row>
    <row r="322" spans="1:24" s="2" customFormat="1" x14ac:dyDescent="0.35">
      <c r="A322" s="20">
        <f>A321+1</f>
        <v>2</v>
      </c>
      <c r="B322" s="21">
        <v>4731</v>
      </c>
      <c r="C322" s="91" t="s">
        <v>477</v>
      </c>
      <c r="D322" s="23">
        <v>1981</v>
      </c>
      <c r="E322" s="24" t="s">
        <v>74</v>
      </c>
      <c r="F322" s="25" t="s">
        <v>152</v>
      </c>
      <c r="G322" s="4">
        <v>429.3</v>
      </c>
      <c r="H322" s="4">
        <v>386.9</v>
      </c>
      <c r="I322" s="19">
        <v>16</v>
      </c>
      <c r="J322" s="4">
        <f>'Форма 2'!I1200</f>
        <v>100207.1</v>
      </c>
      <c r="K322" s="4">
        <v>0</v>
      </c>
      <c r="L322" s="4">
        <v>0</v>
      </c>
      <c r="M322" s="4">
        <v>0</v>
      </c>
      <c r="N322" s="4">
        <f>J322-K322-L322-M322-O322</f>
        <v>31725.8</v>
      </c>
      <c r="O322" s="4">
        <v>68481.3</v>
      </c>
      <c r="P322" s="4">
        <f>J322/H322</f>
        <v>259</v>
      </c>
      <c r="Q322" s="4">
        <f>'Форма 2'!K1200</f>
        <v>259</v>
      </c>
      <c r="R322" s="26" t="s">
        <v>161</v>
      </c>
      <c r="S322" s="5">
        <v>1</v>
      </c>
      <c r="T322" s="1"/>
    </row>
    <row r="323" spans="1:24" s="2" customFormat="1" x14ac:dyDescent="0.35">
      <c r="A323" s="230" t="s">
        <v>33</v>
      </c>
      <c r="B323" s="230"/>
      <c r="C323" s="230"/>
      <c r="D323" s="18" t="s">
        <v>13</v>
      </c>
      <c r="E323" s="4" t="s">
        <v>13</v>
      </c>
      <c r="F323" s="4" t="s">
        <v>13</v>
      </c>
      <c r="G323" s="4">
        <f>SUM(G324:G337)</f>
        <v>28407.15</v>
      </c>
      <c r="H323" s="4">
        <f t="shared" ref="H323:O323" si="52">SUM(H324:H337)</f>
        <v>22714.89</v>
      </c>
      <c r="I323" s="19">
        <f t="shared" si="52"/>
        <v>762</v>
      </c>
      <c r="J323" s="4">
        <f t="shared" si="52"/>
        <v>28159889.350000001</v>
      </c>
      <c r="K323" s="4">
        <f t="shared" si="52"/>
        <v>0</v>
      </c>
      <c r="L323" s="4">
        <f t="shared" si="52"/>
        <v>0</v>
      </c>
      <c r="M323" s="4">
        <f t="shared" si="52"/>
        <v>0</v>
      </c>
      <c r="N323" s="4">
        <f t="shared" si="52"/>
        <v>27027028.300000001</v>
      </c>
      <c r="O323" s="4">
        <f t="shared" si="52"/>
        <v>1132861.05</v>
      </c>
      <c r="P323" s="4" t="s">
        <v>13</v>
      </c>
      <c r="Q323" s="4" t="s">
        <v>13</v>
      </c>
      <c r="R323" s="4" t="s">
        <v>13</v>
      </c>
      <c r="S323" s="19" t="s">
        <v>13</v>
      </c>
      <c r="T323" s="1"/>
      <c r="W323" s="1"/>
      <c r="X323" s="1"/>
    </row>
    <row r="324" spans="1:24" s="2" customFormat="1" x14ac:dyDescent="0.35">
      <c r="A324" s="27">
        <v>1</v>
      </c>
      <c r="B324" s="28">
        <v>4526</v>
      </c>
      <c r="C324" s="92" t="s">
        <v>478</v>
      </c>
      <c r="D324" s="93">
        <v>1971</v>
      </c>
      <c r="E324" s="24" t="s">
        <v>74</v>
      </c>
      <c r="F324" s="20" t="s">
        <v>152</v>
      </c>
      <c r="G324" s="94">
        <v>792.06</v>
      </c>
      <c r="H324" s="94">
        <v>732</v>
      </c>
      <c r="I324" s="32">
        <v>28</v>
      </c>
      <c r="J324" s="4">
        <f>'Форма 2'!I1203</f>
        <v>156347.96</v>
      </c>
      <c r="K324" s="4">
        <v>0</v>
      </c>
      <c r="L324" s="4">
        <v>0</v>
      </c>
      <c r="M324" s="4">
        <v>0</v>
      </c>
      <c r="N324" s="4">
        <f>J324-K324-L324-M324-O324</f>
        <v>151975.93</v>
      </c>
      <c r="O324" s="4">
        <v>4372.03</v>
      </c>
      <c r="P324" s="33">
        <f>J324/H324</f>
        <v>213.59</v>
      </c>
      <c r="Q324" s="4">
        <f>'Форма 2'!K1203</f>
        <v>247</v>
      </c>
      <c r="R324" s="26" t="s">
        <v>161</v>
      </c>
      <c r="S324" s="5">
        <v>1</v>
      </c>
      <c r="T324" s="1"/>
      <c r="W324" s="1"/>
      <c r="X324" s="1"/>
    </row>
    <row r="325" spans="1:24" s="2" customFormat="1" x14ac:dyDescent="0.35">
      <c r="A325" s="27">
        <f>A324+1</f>
        <v>2</v>
      </c>
      <c r="B325" s="28">
        <v>4516</v>
      </c>
      <c r="C325" s="29" t="s">
        <v>479</v>
      </c>
      <c r="D325" s="30">
        <v>1971</v>
      </c>
      <c r="E325" s="24" t="s">
        <v>74</v>
      </c>
      <c r="F325" s="24" t="s">
        <v>152</v>
      </c>
      <c r="G325" s="31">
        <v>762.9</v>
      </c>
      <c r="H325" s="31">
        <v>704.7</v>
      </c>
      <c r="I325" s="32">
        <v>31</v>
      </c>
      <c r="J325" s="4">
        <f>'Форма 2'!I1205</f>
        <v>99505.55</v>
      </c>
      <c r="K325" s="4">
        <v>0</v>
      </c>
      <c r="L325" s="4">
        <v>0</v>
      </c>
      <c r="M325" s="4">
        <v>0</v>
      </c>
      <c r="N325" s="4">
        <f t="shared" ref="N325:N337" si="53">J325-K325-L325-M325-O325</f>
        <v>95296.57</v>
      </c>
      <c r="O325" s="4">
        <v>4208.9799999999996</v>
      </c>
      <c r="P325" s="33">
        <f t="shared" ref="P325:P337" si="54">J325/H325</f>
        <v>141.19999999999999</v>
      </c>
      <c r="Q325" s="4">
        <f>'Форма 2'!K1205</f>
        <v>247</v>
      </c>
      <c r="R325" s="26" t="s">
        <v>161</v>
      </c>
      <c r="S325" s="5">
        <v>1</v>
      </c>
      <c r="T325" s="1"/>
      <c r="W325" s="1"/>
      <c r="X325" s="1"/>
    </row>
    <row r="326" spans="1:24" s="2" customFormat="1" x14ac:dyDescent="0.35">
      <c r="A326" s="27">
        <f t="shared" ref="A326:A337" si="55">A325+1</f>
        <v>3</v>
      </c>
      <c r="B326" s="28">
        <v>4598</v>
      </c>
      <c r="C326" s="29" t="s">
        <v>480</v>
      </c>
      <c r="D326" s="30">
        <v>1981</v>
      </c>
      <c r="E326" s="24" t="s">
        <v>74</v>
      </c>
      <c r="F326" s="24" t="s">
        <v>152</v>
      </c>
      <c r="G326" s="31">
        <v>818.97</v>
      </c>
      <c r="H326" s="31">
        <v>726.63</v>
      </c>
      <c r="I326" s="32">
        <v>20</v>
      </c>
      <c r="J326" s="4">
        <f>'Форма 2'!I1207</f>
        <v>154727.6</v>
      </c>
      <c r="K326" s="4">
        <v>0</v>
      </c>
      <c r="L326" s="4">
        <v>0</v>
      </c>
      <c r="M326" s="4">
        <v>0</v>
      </c>
      <c r="N326" s="4">
        <f>J326-K326-L326-M326-O326</f>
        <v>150017.16</v>
      </c>
      <c r="O326" s="4">
        <v>4710.4399999999996</v>
      </c>
      <c r="P326" s="33">
        <f>J326/H326</f>
        <v>212.94</v>
      </c>
      <c r="Q326" s="4">
        <f>'Форма 2'!K1207</f>
        <v>260</v>
      </c>
      <c r="R326" s="26" t="s">
        <v>161</v>
      </c>
      <c r="S326" s="5">
        <v>1</v>
      </c>
      <c r="T326" s="1"/>
      <c r="W326" s="1"/>
      <c r="X326" s="1"/>
    </row>
    <row r="327" spans="1:24" s="2" customFormat="1" x14ac:dyDescent="0.35">
      <c r="A327" s="27">
        <f t="shared" si="55"/>
        <v>4</v>
      </c>
      <c r="B327" s="28">
        <v>4429</v>
      </c>
      <c r="C327" s="29" t="s">
        <v>700</v>
      </c>
      <c r="D327" s="30">
        <v>1983</v>
      </c>
      <c r="E327" s="24" t="s">
        <v>74</v>
      </c>
      <c r="F327" s="24" t="s">
        <v>152</v>
      </c>
      <c r="G327" s="31">
        <v>3629.08</v>
      </c>
      <c r="H327" s="31">
        <v>2632.73</v>
      </c>
      <c r="I327" s="32">
        <v>75</v>
      </c>
      <c r="J327" s="4">
        <f>'Форма 2'!I1209</f>
        <v>261457.72</v>
      </c>
      <c r="K327" s="4">
        <v>0</v>
      </c>
      <c r="L327" s="4">
        <v>0</v>
      </c>
      <c r="M327" s="4">
        <v>0</v>
      </c>
      <c r="N327" s="4">
        <f>J327-K327-L327-M327-O327</f>
        <v>245733.16</v>
      </c>
      <c r="O327" s="4">
        <v>15724.56</v>
      </c>
      <c r="P327" s="33">
        <f>J327/H327</f>
        <v>99.31</v>
      </c>
      <c r="Q327" s="4">
        <f>'Форма 2'!K1209</f>
        <v>169</v>
      </c>
      <c r="R327" s="26" t="s">
        <v>161</v>
      </c>
      <c r="S327" s="5">
        <v>1</v>
      </c>
      <c r="T327" s="1"/>
      <c r="W327" s="1"/>
      <c r="X327" s="1"/>
    </row>
    <row r="328" spans="1:24" s="2" customFormat="1" x14ac:dyDescent="0.35">
      <c r="A328" s="27">
        <f>A327+1</f>
        <v>5</v>
      </c>
      <c r="B328" s="28">
        <v>4560</v>
      </c>
      <c r="C328" s="29" t="s">
        <v>159</v>
      </c>
      <c r="D328" s="30">
        <v>1981</v>
      </c>
      <c r="E328" s="24" t="s">
        <v>74</v>
      </c>
      <c r="F328" s="24" t="s">
        <v>481</v>
      </c>
      <c r="G328" s="31">
        <v>2287.61</v>
      </c>
      <c r="H328" s="31">
        <v>1535.88</v>
      </c>
      <c r="I328" s="32">
        <v>32</v>
      </c>
      <c r="J328" s="4">
        <f>'Форма 2'!I1211</f>
        <v>4313693.24</v>
      </c>
      <c r="K328" s="4">
        <v>0</v>
      </c>
      <c r="L328" s="4">
        <v>0</v>
      </c>
      <c r="M328" s="4">
        <v>0</v>
      </c>
      <c r="N328" s="4">
        <f t="shared" si="53"/>
        <v>4126908.62</v>
      </c>
      <c r="O328" s="4">
        <v>186784.62</v>
      </c>
      <c r="P328" s="33">
        <f t="shared" si="54"/>
        <v>2808.61</v>
      </c>
      <c r="Q328" s="4">
        <f>'Форма 2'!K1211</f>
        <v>4728</v>
      </c>
      <c r="R328" s="26" t="s">
        <v>161</v>
      </c>
      <c r="S328" s="5">
        <v>1</v>
      </c>
      <c r="T328" s="1"/>
      <c r="W328" s="1"/>
      <c r="X328" s="1"/>
    </row>
    <row r="329" spans="1:24" s="2" customFormat="1" x14ac:dyDescent="0.35">
      <c r="A329" s="27">
        <f t="shared" si="55"/>
        <v>6</v>
      </c>
      <c r="B329" s="28">
        <v>4561</v>
      </c>
      <c r="C329" s="29" t="s">
        <v>482</v>
      </c>
      <c r="D329" s="30">
        <v>1974</v>
      </c>
      <c r="E329" s="24" t="s">
        <v>74</v>
      </c>
      <c r="F329" s="24" t="s">
        <v>152</v>
      </c>
      <c r="G329" s="31">
        <v>1468.76</v>
      </c>
      <c r="H329" s="31">
        <v>1380.66</v>
      </c>
      <c r="I329" s="32">
        <v>49</v>
      </c>
      <c r="J329" s="4">
        <f>'Форма 2'!I1214</f>
        <v>139667.6</v>
      </c>
      <c r="K329" s="4">
        <v>0</v>
      </c>
      <c r="L329" s="4">
        <v>0</v>
      </c>
      <c r="M329" s="4">
        <v>0</v>
      </c>
      <c r="N329" s="4">
        <f>J329-K329-L329-M329-O329</f>
        <v>131421.29999999999</v>
      </c>
      <c r="O329" s="4">
        <v>8246.2999999999993</v>
      </c>
      <c r="P329" s="33">
        <f>J329/H329</f>
        <v>101.16</v>
      </c>
      <c r="Q329" s="4">
        <f>'Форма 2'!K1214</f>
        <v>239</v>
      </c>
      <c r="R329" s="26" t="s">
        <v>161</v>
      </c>
      <c r="S329" s="5">
        <v>1</v>
      </c>
      <c r="T329" s="1"/>
      <c r="W329" s="1"/>
      <c r="X329" s="1"/>
    </row>
    <row r="330" spans="1:24" s="2" customFormat="1" x14ac:dyDescent="0.35">
      <c r="A330" s="27">
        <f t="shared" si="55"/>
        <v>7</v>
      </c>
      <c r="B330" s="28">
        <v>4569</v>
      </c>
      <c r="C330" s="29" t="s">
        <v>163</v>
      </c>
      <c r="D330" s="30">
        <v>1981</v>
      </c>
      <c r="E330" s="24" t="s">
        <v>74</v>
      </c>
      <c r="F330" s="24" t="s">
        <v>155</v>
      </c>
      <c r="G330" s="31">
        <v>5453.35</v>
      </c>
      <c r="H330" s="31">
        <v>4033.01</v>
      </c>
      <c r="I330" s="32">
        <v>169</v>
      </c>
      <c r="J330" s="4">
        <f>'Форма 2'!I1216</f>
        <v>10096643.960000001</v>
      </c>
      <c r="K330" s="4">
        <v>0</v>
      </c>
      <c r="L330" s="4">
        <v>0</v>
      </c>
      <c r="M330" s="4">
        <v>0</v>
      </c>
      <c r="N330" s="4">
        <f t="shared" si="53"/>
        <v>9680831.4399999995</v>
      </c>
      <c r="O330" s="4">
        <v>415812.52</v>
      </c>
      <c r="P330" s="33">
        <f t="shared" si="54"/>
        <v>2503.5</v>
      </c>
      <c r="Q330" s="4">
        <f>'Форма 2'!K1216</f>
        <v>3242</v>
      </c>
      <c r="R330" s="26" t="s">
        <v>161</v>
      </c>
      <c r="S330" s="5">
        <v>1</v>
      </c>
      <c r="T330" s="1"/>
      <c r="W330" s="1"/>
      <c r="X330" s="1"/>
    </row>
    <row r="331" spans="1:24" s="2" customFormat="1" x14ac:dyDescent="0.35">
      <c r="A331" s="27">
        <f t="shared" si="55"/>
        <v>8</v>
      </c>
      <c r="B331" s="28">
        <v>4563</v>
      </c>
      <c r="C331" s="29" t="s">
        <v>701</v>
      </c>
      <c r="D331" s="30">
        <v>1976</v>
      </c>
      <c r="E331" s="24" t="s">
        <v>74</v>
      </c>
      <c r="F331" s="24" t="s">
        <v>152</v>
      </c>
      <c r="G331" s="31">
        <v>4770.96</v>
      </c>
      <c r="H331" s="31">
        <v>4353.01</v>
      </c>
      <c r="I331" s="32">
        <v>123</v>
      </c>
      <c r="J331" s="4">
        <f>'Форма 2'!I1219</f>
        <v>320480.95</v>
      </c>
      <c r="K331" s="4">
        <v>0</v>
      </c>
      <c r="L331" s="4">
        <v>0</v>
      </c>
      <c r="M331" s="4">
        <v>0</v>
      </c>
      <c r="N331" s="4">
        <f>J331-K331-L331-M331-O331</f>
        <v>294481.63</v>
      </c>
      <c r="O331" s="4">
        <v>25999.32</v>
      </c>
      <c r="P331" s="33">
        <f>J331/H331</f>
        <v>73.62</v>
      </c>
      <c r="Q331" s="4">
        <f>'Форма 2'!K1219</f>
        <v>169</v>
      </c>
      <c r="R331" s="26" t="s">
        <v>161</v>
      </c>
      <c r="S331" s="5">
        <v>1</v>
      </c>
      <c r="T331" s="1"/>
      <c r="W331" s="1"/>
      <c r="X331" s="1"/>
    </row>
    <row r="332" spans="1:24" s="2" customFormat="1" x14ac:dyDescent="0.35">
      <c r="A332" s="27">
        <f>A331+1</f>
        <v>9</v>
      </c>
      <c r="B332" s="28">
        <v>4433</v>
      </c>
      <c r="C332" s="29" t="s">
        <v>165</v>
      </c>
      <c r="D332" s="30">
        <v>1981</v>
      </c>
      <c r="E332" s="24" t="s">
        <v>483</v>
      </c>
      <c r="F332" s="24" t="s">
        <v>155</v>
      </c>
      <c r="G332" s="31">
        <v>544.70000000000005</v>
      </c>
      <c r="H332" s="31">
        <v>493.5</v>
      </c>
      <c r="I332" s="32">
        <v>12</v>
      </c>
      <c r="J332" s="33">
        <f>'Форма 2'!I1221</f>
        <v>1412882.7</v>
      </c>
      <c r="K332" s="4">
        <v>0</v>
      </c>
      <c r="L332" s="4">
        <v>0</v>
      </c>
      <c r="M332" s="4">
        <v>0</v>
      </c>
      <c r="N332" s="4">
        <f t="shared" si="53"/>
        <v>1361426.6</v>
      </c>
      <c r="O332" s="4">
        <v>51456.1</v>
      </c>
      <c r="P332" s="33">
        <f t="shared" si="54"/>
        <v>2862.98</v>
      </c>
      <c r="Q332" s="4">
        <f>'Форма 2'!K1221</f>
        <v>2863</v>
      </c>
      <c r="R332" s="26" t="s">
        <v>161</v>
      </c>
      <c r="S332" s="5">
        <v>1</v>
      </c>
      <c r="T332" s="1"/>
      <c r="W332" s="1"/>
      <c r="X332" s="1"/>
    </row>
    <row r="333" spans="1:24" s="2" customFormat="1" x14ac:dyDescent="0.35">
      <c r="A333" s="27">
        <f t="shared" si="55"/>
        <v>10</v>
      </c>
      <c r="B333" s="28">
        <v>4478</v>
      </c>
      <c r="C333" s="29" t="s">
        <v>484</v>
      </c>
      <c r="D333" s="30">
        <v>1974</v>
      </c>
      <c r="E333" s="24" t="s">
        <v>434</v>
      </c>
      <c r="F333" s="24" t="s">
        <v>152</v>
      </c>
      <c r="G333" s="31">
        <v>3780</v>
      </c>
      <c r="H333" s="31">
        <v>2933.1</v>
      </c>
      <c r="I333" s="32">
        <v>96</v>
      </c>
      <c r="J333" s="4">
        <f>'Форма 2'!I1224</f>
        <v>759672.9</v>
      </c>
      <c r="K333" s="4">
        <v>0</v>
      </c>
      <c r="L333" s="4">
        <v>0</v>
      </c>
      <c r="M333" s="4">
        <v>0</v>
      </c>
      <c r="N333" s="4">
        <f>J333-K333-L333-M333-O333</f>
        <v>754972.79</v>
      </c>
      <c r="O333" s="4">
        <v>4700.1099999999997</v>
      </c>
      <c r="P333" s="33">
        <f>J333/H333</f>
        <v>259</v>
      </c>
      <c r="Q333" s="4">
        <f>'Форма 2'!K1224</f>
        <v>259</v>
      </c>
      <c r="R333" s="26" t="s">
        <v>161</v>
      </c>
      <c r="S333" s="5">
        <v>1</v>
      </c>
      <c r="T333" s="1"/>
      <c r="W333" s="1"/>
      <c r="X333" s="1"/>
    </row>
    <row r="334" spans="1:24" s="2" customFormat="1" x14ac:dyDescent="0.35">
      <c r="A334" s="27">
        <f t="shared" si="55"/>
        <v>11</v>
      </c>
      <c r="B334" s="28">
        <v>4444</v>
      </c>
      <c r="C334" s="34" t="s">
        <v>485</v>
      </c>
      <c r="D334" s="27">
        <v>1970</v>
      </c>
      <c r="E334" s="24" t="s">
        <v>74</v>
      </c>
      <c r="F334" s="24" t="s">
        <v>152</v>
      </c>
      <c r="G334" s="35">
        <v>783.9</v>
      </c>
      <c r="H334" s="35">
        <v>725.1</v>
      </c>
      <c r="I334" s="36">
        <v>27</v>
      </c>
      <c r="J334" s="4">
        <f>'Форма 2'!I1227</f>
        <v>99953.95</v>
      </c>
      <c r="K334" s="4">
        <v>0</v>
      </c>
      <c r="L334" s="4">
        <v>0</v>
      </c>
      <c r="M334" s="4">
        <v>0</v>
      </c>
      <c r="N334" s="4">
        <f t="shared" si="53"/>
        <v>95623.13</v>
      </c>
      <c r="O334" s="4">
        <v>4330.82</v>
      </c>
      <c r="P334" s="4">
        <f t="shared" si="54"/>
        <v>137.85</v>
      </c>
      <c r="Q334" s="4">
        <f>'Форма 2'!K1227</f>
        <v>247</v>
      </c>
      <c r="R334" s="26" t="s">
        <v>161</v>
      </c>
      <c r="S334" s="5">
        <v>1</v>
      </c>
      <c r="T334" s="1"/>
      <c r="W334" s="1"/>
      <c r="X334" s="1"/>
    </row>
    <row r="335" spans="1:24" s="2" customFormat="1" x14ac:dyDescent="0.35">
      <c r="A335" s="27">
        <f t="shared" si="55"/>
        <v>12</v>
      </c>
      <c r="B335" s="28">
        <v>4536</v>
      </c>
      <c r="C335" s="34" t="s">
        <v>486</v>
      </c>
      <c r="D335" s="27">
        <v>1971</v>
      </c>
      <c r="E335" s="24" t="s">
        <v>74</v>
      </c>
      <c r="F335" s="24" t="s">
        <v>152</v>
      </c>
      <c r="G335" s="35">
        <v>934.25</v>
      </c>
      <c r="H335" s="35">
        <v>851.15</v>
      </c>
      <c r="I335" s="36">
        <v>34</v>
      </c>
      <c r="J335" s="4">
        <f>'Форма 2'!I1229</f>
        <v>105254.47</v>
      </c>
      <c r="K335" s="4">
        <v>0</v>
      </c>
      <c r="L335" s="4">
        <v>0</v>
      </c>
      <c r="M335" s="4">
        <v>0</v>
      </c>
      <c r="N335" s="4">
        <f t="shared" si="53"/>
        <v>100170.79</v>
      </c>
      <c r="O335" s="4">
        <v>5083.68</v>
      </c>
      <c r="P335" s="4">
        <f t="shared" si="54"/>
        <v>123.66</v>
      </c>
      <c r="Q335" s="4">
        <f>'Форма 2'!K1229</f>
        <v>247</v>
      </c>
      <c r="R335" s="26" t="s">
        <v>161</v>
      </c>
      <c r="S335" s="5">
        <v>1</v>
      </c>
      <c r="T335" s="1"/>
      <c r="W335" s="1"/>
      <c r="X335" s="1"/>
    </row>
    <row r="336" spans="1:24" s="2" customFormat="1" x14ac:dyDescent="0.35">
      <c r="A336" s="27">
        <f t="shared" si="55"/>
        <v>13</v>
      </c>
      <c r="B336" s="28">
        <v>4540</v>
      </c>
      <c r="C336" s="34" t="s">
        <v>168</v>
      </c>
      <c r="D336" s="27">
        <v>1977</v>
      </c>
      <c r="E336" s="24" t="s">
        <v>74</v>
      </c>
      <c r="F336" s="24" t="s">
        <v>481</v>
      </c>
      <c r="G336" s="35">
        <v>976.94</v>
      </c>
      <c r="H336" s="35">
        <v>892.04</v>
      </c>
      <c r="I336" s="36">
        <v>31</v>
      </c>
      <c r="J336" s="4">
        <f>'Форма 2'!I1231</f>
        <v>4165118.01</v>
      </c>
      <c r="K336" s="4">
        <v>0</v>
      </c>
      <c r="L336" s="4">
        <v>0</v>
      </c>
      <c r="M336" s="4">
        <v>0</v>
      </c>
      <c r="N336" s="4">
        <f t="shared" si="53"/>
        <v>4002987.22</v>
      </c>
      <c r="O336" s="4">
        <v>162130.79</v>
      </c>
      <c r="P336" s="4">
        <f t="shared" si="54"/>
        <v>4669.21</v>
      </c>
      <c r="Q336" s="4">
        <f>'Форма 2'!K1231</f>
        <v>7066</v>
      </c>
      <c r="R336" s="26" t="s">
        <v>161</v>
      </c>
      <c r="S336" s="5">
        <v>1</v>
      </c>
      <c r="T336" s="1"/>
      <c r="W336" s="1"/>
      <c r="X336" s="1"/>
    </row>
    <row r="337" spans="1:23" s="64" customFormat="1" ht="31" x14ac:dyDescent="0.35">
      <c r="A337" s="27">
        <f t="shared" si="55"/>
        <v>14</v>
      </c>
      <c r="B337" s="28">
        <v>4641</v>
      </c>
      <c r="C337" s="34" t="s">
        <v>170</v>
      </c>
      <c r="D337" s="27">
        <v>1973</v>
      </c>
      <c r="E337" s="24" t="s">
        <v>769</v>
      </c>
      <c r="F337" s="24" t="s">
        <v>487</v>
      </c>
      <c r="G337" s="35">
        <v>1403.67</v>
      </c>
      <c r="H337" s="35">
        <v>721.38</v>
      </c>
      <c r="I337" s="36">
        <v>35</v>
      </c>
      <c r="J337" s="35">
        <f>'Форма 2'!I1234</f>
        <v>6074482.7400000002</v>
      </c>
      <c r="K337" s="35">
        <v>0</v>
      </c>
      <c r="L337" s="35">
        <v>0</v>
      </c>
      <c r="M337" s="35">
        <v>0</v>
      </c>
      <c r="N337" s="35">
        <f t="shared" si="53"/>
        <v>5835181.96</v>
      </c>
      <c r="O337" s="35">
        <v>239300.78</v>
      </c>
      <c r="P337" s="35">
        <f t="shared" si="54"/>
        <v>8420.64</v>
      </c>
      <c r="Q337" s="35">
        <f>'Форма 2'!K1234</f>
        <v>11196</v>
      </c>
      <c r="R337" s="95" t="s">
        <v>161</v>
      </c>
      <c r="S337" s="63">
        <v>1</v>
      </c>
      <c r="T337" s="1"/>
      <c r="U337" s="2"/>
    </row>
    <row r="338" spans="1:23" s="2" customFormat="1" x14ac:dyDescent="0.35">
      <c r="A338" s="230" t="s">
        <v>35</v>
      </c>
      <c r="B338" s="230"/>
      <c r="C338" s="230"/>
      <c r="D338" s="18" t="s">
        <v>13</v>
      </c>
      <c r="E338" s="4" t="s">
        <v>13</v>
      </c>
      <c r="F338" s="4" t="s">
        <v>13</v>
      </c>
      <c r="G338" s="4">
        <f>G339</f>
        <v>357.9</v>
      </c>
      <c r="H338" s="4">
        <f t="shared" ref="H338:O338" si="56">H339</f>
        <v>329.1</v>
      </c>
      <c r="I338" s="19">
        <f t="shared" si="56"/>
        <v>37</v>
      </c>
      <c r="J338" s="4">
        <f t="shared" si="56"/>
        <v>2214102.7000000002</v>
      </c>
      <c r="K338" s="4">
        <f t="shared" si="56"/>
        <v>0</v>
      </c>
      <c r="L338" s="4">
        <f t="shared" si="56"/>
        <v>0</v>
      </c>
      <c r="M338" s="4">
        <f t="shared" si="56"/>
        <v>0</v>
      </c>
      <c r="N338" s="4">
        <f t="shared" si="56"/>
        <v>2074058.91</v>
      </c>
      <c r="O338" s="4">
        <f t="shared" si="56"/>
        <v>140043.79</v>
      </c>
      <c r="P338" s="4" t="s">
        <v>13</v>
      </c>
      <c r="Q338" s="4" t="s">
        <v>13</v>
      </c>
      <c r="R338" s="4" t="s">
        <v>13</v>
      </c>
      <c r="S338" s="19" t="s">
        <v>13</v>
      </c>
      <c r="T338" s="1"/>
    </row>
    <row r="339" spans="1:23" s="2" customFormat="1" x14ac:dyDescent="0.35">
      <c r="A339" s="20">
        <v>1</v>
      </c>
      <c r="B339" s="20">
        <v>6680</v>
      </c>
      <c r="C339" s="22" t="s">
        <v>171</v>
      </c>
      <c r="D339" s="23">
        <v>1966</v>
      </c>
      <c r="E339" s="24" t="s">
        <v>74</v>
      </c>
      <c r="F339" s="25" t="s">
        <v>155</v>
      </c>
      <c r="G339" s="4">
        <v>357.9</v>
      </c>
      <c r="H339" s="4">
        <v>329.1</v>
      </c>
      <c r="I339" s="19">
        <v>37</v>
      </c>
      <c r="J339" s="4">
        <f>'Форма 2'!I1244</f>
        <v>2214102.7000000002</v>
      </c>
      <c r="K339" s="4">
        <v>0</v>
      </c>
      <c r="L339" s="4">
        <v>0</v>
      </c>
      <c r="M339" s="4">
        <v>0</v>
      </c>
      <c r="N339" s="4">
        <f>J339-K339-L339-M339-O339</f>
        <v>2074058.91</v>
      </c>
      <c r="O339" s="4">
        <v>140043.79</v>
      </c>
      <c r="P339" s="4">
        <f>J339/H339</f>
        <v>6727.75</v>
      </c>
      <c r="Q339" s="4">
        <f>'Форма 2'!K1244</f>
        <v>7539</v>
      </c>
      <c r="R339" s="26" t="s">
        <v>161</v>
      </c>
      <c r="S339" s="5">
        <v>1</v>
      </c>
      <c r="T339" s="1"/>
    </row>
    <row r="340" spans="1:23" s="2" customFormat="1" x14ac:dyDescent="0.35">
      <c r="A340" s="230" t="s">
        <v>38</v>
      </c>
      <c r="B340" s="230"/>
      <c r="C340" s="230"/>
      <c r="D340" s="18" t="s">
        <v>13</v>
      </c>
      <c r="E340" s="4" t="s">
        <v>13</v>
      </c>
      <c r="F340" s="4" t="s">
        <v>13</v>
      </c>
      <c r="G340" s="4">
        <f>G341+G342</f>
        <v>6405.52</v>
      </c>
      <c r="H340" s="4">
        <f t="shared" ref="H340:N340" si="57">H341+H342</f>
        <v>5766.1</v>
      </c>
      <c r="I340" s="19">
        <f t="shared" si="57"/>
        <v>247</v>
      </c>
      <c r="J340" s="4">
        <f t="shared" si="57"/>
        <v>2459431.6800000002</v>
      </c>
      <c r="K340" s="4">
        <f t="shared" si="57"/>
        <v>0</v>
      </c>
      <c r="L340" s="4">
        <f t="shared" si="57"/>
        <v>0</v>
      </c>
      <c r="M340" s="4">
        <f t="shared" si="57"/>
        <v>0</v>
      </c>
      <c r="N340" s="4">
        <f t="shared" si="57"/>
        <v>2243101.36</v>
      </c>
      <c r="O340" s="4">
        <f>O341+O342</f>
        <v>216330.32</v>
      </c>
      <c r="P340" s="4" t="s">
        <v>13</v>
      </c>
      <c r="Q340" s="4" t="s">
        <v>13</v>
      </c>
      <c r="R340" s="4" t="s">
        <v>13</v>
      </c>
      <c r="S340" s="19" t="s">
        <v>13</v>
      </c>
      <c r="T340" s="1"/>
      <c r="U340" s="64"/>
    </row>
    <row r="341" spans="1:23" s="2" customFormat="1" x14ac:dyDescent="0.35">
      <c r="A341" s="20">
        <v>1</v>
      </c>
      <c r="B341" s="20">
        <v>5036</v>
      </c>
      <c r="C341" s="22" t="s">
        <v>175</v>
      </c>
      <c r="D341" s="23">
        <v>1986</v>
      </c>
      <c r="E341" s="24" t="s">
        <v>74</v>
      </c>
      <c r="F341" s="24" t="s">
        <v>481</v>
      </c>
      <c r="G341" s="4">
        <v>547.1</v>
      </c>
      <c r="H341" s="4">
        <v>485.3</v>
      </c>
      <c r="I341" s="19">
        <v>28</v>
      </c>
      <c r="J341" s="4">
        <f>'Форма 2'!I1248</f>
        <v>2159484.88</v>
      </c>
      <c r="K341" s="4">
        <v>0</v>
      </c>
      <c r="L341" s="4">
        <v>0</v>
      </c>
      <c r="M341" s="4">
        <v>0</v>
      </c>
      <c r="N341" s="4">
        <f>J341-K341-L341-M341-O341</f>
        <v>1998198.4</v>
      </c>
      <c r="O341" s="4">
        <v>161286.48000000001</v>
      </c>
      <c r="P341" s="4">
        <f>J341/H341</f>
        <v>4449.79</v>
      </c>
      <c r="Q341" s="4">
        <f>'Форма 2'!K1248</f>
        <v>7539</v>
      </c>
      <c r="R341" s="26" t="s">
        <v>161</v>
      </c>
      <c r="S341" s="5">
        <v>1</v>
      </c>
      <c r="T341" s="1"/>
    </row>
    <row r="342" spans="1:23" s="2" customFormat="1" x14ac:dyDescent="0.35">
      <c r="A342" s="20">
        <f>A341+1</f>
        <v>2</v>
      </c>
      <c r="B342" s="20">
        <v>5054</v>
      </c>
      <c r="C342" s="22" t="s">
        <v>488</v>
      </c>
      <c r="D342" s="23">
        <v>1986</v>
      </c>
      <c r="E342" s="24" t="s">
        <v>74</v>
      </c>
      <c r="F342" s="24" t="s">
        <v>152</v>
      </c>
      <c r="G342" s="4">
        <v>5858.42</v>
      </c>
      <c r="H342" s="4">
        <v>5280.8</v>
      </c>
      <c r="I342" s="19">
        <v>219</v>
      </c>
      <c r="J342" s="4">
        <f>'Форма 2'!I1251</f>
        <v>299946.8</v>
      </c>
      <c r="K342" s="4">
        <v>0</v>
      </c>
      <c r="L342" s="4">
        <v>0</v>
      </c>
      <c r="M342" s="4">
        <v>0</v>
      </c>
      <c r="N342" s="4">
        <f>J342-K342-L342-M342-O342</f>
        <v>244902.96</v>
      </c>
      <c r="O342" s="4">
        <v>55043.839999999997</v>
      </c>
      <c r="P342" s="4">
        <f>J342/H342</f>
        <v>56.8</v>
      </c>
      <c r="Q342" s="4">
        <f>'Форма 2'!K1251</f>
        <v>172</v>
      </c>
      <c r="R342" s="26" t="s">
        <v>161</v>
      </c>
      <c r="S342" s="5">
        <v>1</v>
      </c>
      <c r="T342" s="1"/>
    </row>
    <row r="343" spans="1:23" s="2" customFormat="1" x14ac:dyDescent="0.35">
      <c r="A343" s="246" t="s">
        <v>52</v>
      </c>
      <c r="B343" s="246"/>
      <c r="C343" s="246"/>
      <c r="D343" s="18" t="s">
        <v>13</v>
      </c>
      <c r="E343" s="4" t="s">
        <v>13</v>
      </c>
      <c r="F343" s="4" t="s">
        <v>13</v>
      </c>
      <c r="G343" s="16">
        <f t="shared" ref="G343:O343" si="58">SUM(G344:G416)</f>
        <v>267514.90999999997</v>
      </c>
      <c r="H343" s="16">
        <f t="shared" si="58"/>
        <v>184331.73</v>
      </c>
      <c r="I343" s="17">
        <f t="shared" si="58"/>
        <v>7733</v>
      </c>
      <c r="J343" s="16">
        <f t="shared" si="58"/>
        <v>212595874.88999999</v>
      </c>
      <c r="K343" s="4">
        <f t="shared" si="58"/>
        <v>0</v>
      </c>
      <c r="L343" s="4">
        <f t="shared" si="58"/>
        <v>0</v>
      </c>
      <c r="M343" s="4">
        <f t="shared" si="58"/>
        <v>0</v>
      </c>
      <c r="N343" s="4">
        <f t="shared" si="58"/>
        <v>204193096.47999999</v>
      </c>
      <c r="O343" s="4">
        <f t="shared" si="58"/>
        <v>8402778.4100000001</v>
      </c>
      <c r="P343" s="4" t="s">
        <v>13</v>
      </c>
      <c r="Q343" s="4" t="s">
        <v>13</v>
      </c>
      <c r="R343" s="4" t="s">
        <v>13</v>
      </c>
      <c r="S343" s="19" t="s">
        <v>13</v>
      </c>
      <c r="T343" s="1"/>
    </row>
    <row r="344" spans="1:23" s="64" customFormat="1" x14ac:dyDescent="0.35">
      <c r="A344" s="27">
        <v>1</v>
      </c>
      <c r="B344" s="27">
        <v>5981</v>
      </c>
      <c r="C344" s="34" t="s">
        <v>177</v>
      </c>
      <c r="D344" s="27">
        <v>1956</v>
      </c>
      <c r="E344" s="41" t="s">
        <v>178</v>
      </c>
      <c r="F344" s="27" t="s">
        <v>481</v>
      </c>
      <c r="G344" s="35">
        <v>3949.1</v>
      </c>
      <c r="H344" s="35">
        <v>3619.5</v>
      </c>
      <c r="I344" s="36">
        <v>133</v>
      </c>
      <c r="J344" s="35">
        <f>'Форма 2'!I1254</f>
        <v>5088986.1500000004</v>
      </c>
      <c r="K344" s="35">
        <v>0</v>
      </c>
      <c r="L344" s="35">
        <v>0</v>
      </c>
      <c r="M344" s="35">
        <v>0</v>
      </c>
      <c r="N344" s="35">
        <f t="shared" ref="N344:N416" si="59">J344-K344-L344-M344-O344</f>
        <v>4769030.33</v>
      </c>
      <c r="O344" s="35">
        <v>319955.82</v>
      </c>
      <c r="P344" s="35">
        <f t="shared" ref="P344:P408" si="60">J344/H344</f>
        <v>1405.99</v>
      </c>
      <c r="Q344" s="35">
        <f>'Форма 2'!K1254</f>
        <v>3055</v>
      </c>
      <c r="R344" s="95" t="s">
        <v>161</v>
      </c>
      <c r="S344" s="63">
        <v>1</v>
      </c>
      <c r="T344" s="1"/>
      <c r="U344" s="2"/>
      <c r="V344" s="3"/>
      <c r="W344" s="3"/>
    </row>
    <row r="345" spans="1:23" s="2" customFormat="1" x14ac:dyDescent="0.35">
      <c r="A345" s="20">
        <f>A344+1</f>
        <v>2</v>
      </c>
      <c r="B345" s="20">
        <v>6011</v>
      </c>
      <c r="C345" s="34" t="s">
        <v>489</v>
      </c>
      <c r="D345" s="27">
        <v>1967</v>
      </c>
      <c r="E345" s="27" t="s">
        <v>74</v>
      </c>
      <c r="F345" s="27" t="s">
        <v>155</v>
      </c>
      <c r="G345" s="16">
        <v>3271.95</v>
      </c>
      <c r="H345" s="4">
        <v>2626.5</v>
      </c>
      <c r="I345" s="17">
        <v>81</v>
      </c>
      <c r="J345" s="16">
        <f>'Форма 2'!I1261</f>
        <v>5893866</v>
      </c>
      <c r="K345" s="16">
        <v>0</v>
      </c>
      <c r="L345" s="4">
        <v>0</v>
      </c>
      <c r="M345" s="4">
        <v>0</v>
      </c>
      <c r="N345" s="4">
        <f t="shared" si="59"/>
        <v>5728413.5499999998</v>
      </c>
      <c r="O345" s="4">
        <v>165452.45000000001</v>
      </c>
      <c r="P345" s="16">
        <f t="shared" si="60"/>
        <v>2244</v>
      </c>
      <c r="Q345" s="16">
        <f>'Форма 2'!K1261</f>
        <v>2292</v>
      </c>
      <c r="R345" s="42" t="s">
        <v>161</v>
      </c>
      <c r="S345" s="43">
        <v>1</v>
      </c>
      <c r="T345" s="1"/>
      <c r="V345" s="3"/>
      <c r="W345" s="3"/>
    </row>
    <row r="346" spans="1:23" s="2" customFormat="1" x14ac:dyDescent="0.35">
      <c r="A346" s="20">
        <f t="shared" ref="A346:A412" si="61">A345+1</f>
        <v>3</v>
      </c>
      <c r="B346" s="20">
        <v>6041</v>
      </c>
      <c r="C346" s="34" t="s">
        <v>490</v>
      </c>
      <c r="D346" s="20">
        <v>1991</v>
      </c>
      <c r="E346" s="27" t="s">
        <v>182</v>
      </c>
      <c r="F346" s="27" t="s">
        <v>183</v>
      </c>
      <c r="G346" s="4">
        <v>19725.099999999999</v>
      </c>
      <c r="H346" s="4">
        <v>18052.599999999999</v>
      </c>
      <c r="I346" s="19">
        <v>621</v>
      </c>
      <c r="J346" s="4">
        <f>'Форма 2'!I1264</f>
        <v>13527604.48</v>
      </c>
      <c r="K346" s="4">
        <v>0</v>
      </c>
      <c r="L346" s="4">
        <v>0</v>
      </c>
      <c r="M346" s="4">
        <v>0</v>
      </c>
      <c r="N346" s="4">
        <f>J346-K346-L346-M346-O346</f>
        <v>12942118.48</v>
      </c>
      <c r="O346" s="4">
        <v>585486</v>
      </c>
      <c r="P346" s="4">
        <f>J346/H346</f>
        <v>749.34</v>
      </c>
      <c r="Q346" s="4">
        <f>'Форма 2'!K1264</f>
        <v>784.37</v>
      </c>
      <c r="R346" s="26" t="s">
        <v>161</v>
      </c>
      <c r="S346" s="5">
        <v>1</v>
      </c>
      <c r="T346" s="1"/>
      <c r="V346" s="3"/>
      <c r="W346" s="3"/>
    </row>
    <row r="347" spans="1:23" s="2" customFormat="1" x14ac:dyDescent="0.35">
      <c r="A347" s="20">
        <f t="shared" si="61"/>
        <v>4</v>
      </c>
      <c r="B347" s="20">
        <v>6056</v>
      </c>
      <c r="C347" s="34" t="s">
        <v>819</v>
      </c>
      <c r="D347" s="20">
        <v>1989</v>
      </c>
      <c r="E347" s="27" t="s">
        <v>182</v>
      </c>
      <c r="F347" s="27" t="s">
        <v>183</v>
      </c>
      <c r="G347" s="4">
        <v>5331.81</v>
      </c>
      <c r="H347" s="4">
        <v>3817</v>
      </c>
      <c r="I347" s="19">
        <v>144</v>
      </c>
      <c r="J347" s="4">
        <f>'Форма 2'!I1289</f>
        <v>5304678</v>
      </c>
      <c r="K347" s="4">
        <v>0</v>
      </c>
      <c r="L347" s="4">
        <v>0</v>
      </c>
      <c r="M347" s="4">
        <v>0</v>
      </c>
      <c r="N347" s="4">
        <f>J347-K347-L347-M347-O347</f>
        <v>5304678</v>
      </c>
      <c r="O347" s="4">
        <v>0</v>
      </c>
      <c r="P347" s="4">
        <f>J347/H347</f>
        <v>1389.75</v>
      </c>
      <c r="Q347" s="4">
        <f>'Форма 2'!K1289</f>
        <v>1419.13</v>
      </c>
      <c r="R347" s="26" t="s">
        <v>161</v>
      </c>
      <c r="S347" s="5">
        <v>1</v>
      </c>
      <c r="T347" s="1"/>
      <c r="V347" s="3"/>
      <c r="W347" s="3"/>
    </row>
    <row r="348" spans="1:23" s="2" customFormat="1" x14ac:dyDescent="0.35">
      <c r="A348" s="20">
        <f>A347+1</f>
        <v>5</v>
      </c>
      <c r="B348" s="20">
        <v>5833</v>
      </c>
      <c r="C348" s="34" t="s">
        <v>184</v>
      </c>
      <c r="D348" s="20">
        <v>1957</v>
      </c>
      <c r="E348" s="27" t="s">
        <v>74</v>
      </c>
      <c r="F348" s="27" t="s">
        <v>481</v>
      </c>
      <c r="G348" s="4">
        <v>3792</v>
      </c>
      <c r="H348" s="4">
        <v>2041.3</v>
      </c>
      <c r="I348" s="19">
        <v>73</v>
      </c>
      <c r="J348" s="16">
        <f>'Форма 2'!I1296</f>
        <v>5161075.28</v>
      </c>
      <c r="K348" s="4">
        <v>0</v>
      </c>
      <c r="L348" s="4">
        <v>0</v>
      </c>
      <c r="M348" s="4">
        <v>0</v>
      </c>
      <c r="N348" s="4">
        <f t="shared" si="59"/>
        <v>4881808.66</v>
      </c>
      <c r="O348" s="4">
        <v>279266.62</v>
      </c>
      <c r="P348" s="4">
        <f t="shared" si="60"/>
        <v>2528.33</v>
      </c>
      <c r="Q348" s="16">
        <f>'Форма 2'!K1296</f>
        <v>4728</v>
      </c>
      <c r="R348" s="26" t="s">
        <v>161</v>
      </c>
      <c r="S348" s="5">
        <v>1</v>
      </c>
      <c r="T348" s="1"/>
      <c r="U348" s="64"/>
      <c r="V348" s="3"/>
      <c r="W348" s="3"/>
    </row>
    <row r="349" spans="1:23" s="2" customFormat="1" x14ac:dyDescent="0.35">
      <c r="A349" s="20">
        <f t="shared" si="61"/>
        <v>6</v>
      </c>
      <c r="B349" s="20">
        <v>5834</v>
      </c>
      <c r="C349" s="34" t="s">
        <v>491</v>
      </c>
      <c r="D349" s="20">
        <v>1959</v>
      </c>
      <c r="E349" s="27" t="s">
        <v>74</v>
      </c>
      <c r="F349" s="27" t="s">
        <v>152</v>
      </c>
      <c r="G349" s="4">
        <v>3755</v>
      </c>
      <c r="H349" s="4">
        <v>2024.2</v>
      </c>
      <c r="I349" s="19">
        <v>45</v>
      </c>
      <c r="J349" s="16">
        <f>'Форма 2'!I1299</f>
        <v>205204.89</v>
      </c>
      <c r="K349" s="4">
        <v>0</v>
      </c>
      <c r="L349" s="4">
        <v>0</v>
      </c>
      <c r="M349" s="4">
        <v>0</v>
      </c>
      <c r="N349" s="4">
        <f t="shared" si="59"/>
        <v>191188.88</v>
      </c>
      <c r="O349" s="4">
        <v>14016.01</v>
      </c>
      <c r="P349" s="4">
        <f t="shared" si="60"/>
        <v>101.38</v>
      </c>
      <c r="Q349" s="16">
        <f>'Форма 2'!K1299</f>
        <v>239</v>
      </c>
      <c r="R349" s="26" t="s">
        <v>161</v>
      </c>
      <c r="S349" s="5">
        <v>1</v>
      </c>
      <c r="T349" s="1"/>
      <c r="V349" s="3"/>
      <c r="W349" s="3"/>
    </row>
    <row r="350" spans="1:23" s="2" customFormat="1" x14ac:dyDescent="0.35">
      <c r="A350" s="20">
        <f t="shared" si="61"/>
        <v>7</v>
      </c>
      <c r="B350" s="20">
        <v>5842</v>
      </c>
      <c r="C350" s="34" t="s">
        <v>185</v>
      </c>
      <c r="D350" s="20">
        <v>1954</v>
      </c>
      <c r="E350" s="27" t="s">
        <v>74</v>
      </c>
      <c r="F350" s="27" t="s">
        <v>481</v>
      </c>
      <c r="G350" s="16">
        <v>1003.2</v>
      </c>
      <c r="H350" s="4">
        <v>911.5</v>
      </c>
      <c r="I350" s="17">
        <v>45</v>
      </c>
      <c r="J350" s="16">
        <f>'Форма 2'!I1301</f>
        <v>4142180.86</v>
      </c>
      <c r="K350" s="4">
        <v>0</v>
      </c>
      <c r="L350" s="4">
        <v>0</v>
      </c>
      <c r="M350" s="4">
        <v>0</v>
      </c>
      <c r="N350" s="4">
        <f t="shared" si="59"/>
        <v>3955816.76</v>
      </c>
      <c r="O350" s="4">
        <v>186364.1</v>
      </c>
      <c r="P350" s="4">
        <f t="shared" si="60"/>
        <v>4544.3599999999997</v>
      </c>
      <c r="Q350" s="16">
        <f>'Форма 2'!K1301</f>
        <v>7066</v>
      </c>
      <c r="R350" s="26" t="s">
        <v>161</v>
      </c>
      <c r="S350" s="5">
        <v>1</v>
      </c>
      <c r="T350" s="1"/>
      <c r="V350" s="3"/>
      <c r="W350" s="3"/>
    </row>
    <row r="351" spans="1:23" s="2" customFormat="1" x14ac:dyDescent="0.35">
      <c r="A351" s="20">
        <f t="shared" si="61"/>
        <v>8</v>
      </c>
      <c r="B351" s="20">
        <v>5861</v>
      </c>
      <c r="C351" s="34" t="s">
        <v>492</v>
      </c>
      <c r="D351" s="20">
        <v>1958</v>
      </c>
      <c r="E351" s="27" t="s">
        <v>74</v>
      </c>
      <c r="F351" s="27" t="s">
        <v>160</v>
      </c>
      <c r="G351" s="4">
        <v>4187</v>
      </c>
      <c r="H351" s="4">
        <v>2357.8000000000002</v>
      </c>
      <c r="I351" s="19">
        <v>89</v>
      </c>
      <c r="J351" s="16">
        <f>'Форма 2'!I1304</f>
        <v>3474309.07</v>
      </c>
      <c r="K351" s="4">
        <v>0</v>
      </c>
      <c r="L351" s="4">
        <v>0</v>
      </c>
      <c r="M351" s="4">
        <v>0</v>
      </c>
      <c r="N351" s="4">
        <f t="shared" si="59"/>
        <v>3326927.88</v>
      </c>
      <c r="O351" s="4">
        <v>147381.19</v>
      </c>
      <c r="P351" s="4">
        <f t="shared" si="60"/>
        <v>1473.54</v>
      </c>
      <c r="Q351" s="16">
        <f>'Форма 2'!K1304</f>
        <v>4868</v>
      </c>
      <c r="R351" s="26" t="s">
        <v>493</v>
      </c>
      <c r="S351" s="5">
        <v>1</v>
      </c>
      <c r="T351" s="1"/>
      <c r="V351" s="3"/>
      <c r="W351" s="3"/>
    </row>
    <row r="352" spans="1:23" s="64" customFormat="1" ht="31" x14ac:dyDescent="0.35">
      <c r="A352" s="27">
        <f t="shared" si="61"/>
        <v>9</v>
      </c>
      <c r="B352" s="27">
        <v>5862</v>
      </c>
      <c r="C352" s="34" t="s">
        <v>186</v>
      </c>
      <c r="D352" s="27">
        <v>1957</v>
      </c>
      <c r="E352" s="41" t="s">
        <v>768</v>
      </c>
      <c r="F352" s="27" t="s">
        <v>155</v>
      </c>
      <c r="G352" s="35">
        <v>4279</v>
      </c>
      <c r="H352" s="35">
        <v>2376.8000000000002</v>
      </c>
      <c r="I352" s="36">
        <v>103</v>
      </c>
      <c r="J352" s="41">
        <f>'Форма 2'!I1307</f>
        <v>6795896.3099999996</v>
      </c>
      <c r="K352" s="35">
        <v>0</v>
      </c>
      <c r="L352" s="35">
        <v>0</v>
      </c>
      <c r="M352" s="35">
        <v>0</v>
      </c>
      <c r="N352" s="35">
        <f t="shared" si="59"/>
        <v>6275378.1699999999</v>
      </c>
      <c r="O352" s="35">
        <v>520518.14</v>
      </c>
      <c r="P352" s="35">
        <f t="shared" si="60"/>
        <v>2859.26</v>
      </c>
      <c r="Q352" s="41">
        <f>'Форма 2'!K1307</f>
        <v>5299</v>
      </c>
      <c r="R352" s="95" t="s">
        <v>161</v>
      </c>
      <c r="S352" s="63">
        <v>1</v>
      </c>
      <c r="T352" s="1"/>
      <c r="U352" s="2"/>
      <c r="V352" s="3"/>
      <c r="W352" s="3"/>
    </row>
    <row r="353" spans="1:23" s="2" customFormat="1" x14ac:dyDescent="0.35">
      <c r="A353" s="20">
        <f t="shared" si="61"/>
        <v>10</v>
      </c>
      <c r="B353" s="20">
        <v>5865</v>
      </c>
      <c r="C353" s="34" t="s">
        <v>494</v>
      </c>
      <c r="D353" s="20">
        <v>1958</v>
      </c>
      <c r="E353" s="27" t="s">
        <v>74</v>
      </c>
      <c r="F353" s="27" t="s">
        <v>160</v>
      </c>
      <c r="G353" s="4">
        <v>3776</v>
      </c>
      <c r="H353" s="4">
        <v>2034.2</v>
      </c>
      <c r="I353" s="19">
        <v>78</v>
      </c>
      <c r="J353" s="16">
        <f>'Форма 2'!I1318</f>
        <v>3017612.04</v>
      </c>
      <c r="K353" s="4">
        <v>0</v>
      </c>
      <c r="L353" s="4">
        <v>0</v>
      </c>
      <c r="M353" s="4">
        <v>0</v>
      </c>
      <c r="N353" s="4">
        <f t="shared" si="59"/>
        <v>2889845.98</v>
      </c>
      <c r="O353" s="4">
        <v>127766.06</v>
      </c>
      <c r="P353" s="4">
        <f t="shared" si="60"/>
        <v>1483.44</v>
      </c>
      <c r="Q353" s="16">
        <f>'Форма 2'!K1318</f>
        <v>4868</v>
      </c>
      <c r="R353" s="26" t="s">
        <v>493</v>
      </c>
      <c r="S353" s="5">
        <v>1</v>
      </c>
      <c r="T353" s="1"/>
      <c r="V353" s="3"/>
      <c r="W353" s="3"/>
    </row>
    <row r="354" spans="1:23" s="2" customFormat="1" x14ac:dyDescent="0.35">
      <c r="A354" s="20">
        <f t="shared" si="61"/>
        <v>11</v>
      </c>
      <c r="B354" s="20">
        <v>5866</v>
      </c>
      <c r="C354" s="34" t="s">
        <v>495</v>
      </c>
      <c r="D354" s="20">
        <v>1958</v>
      </c>
      <c r="E354" s="27" t="s">
        <v>74</v>
      </c>
      <c r="F354" s="27" t="s">
        <v>152</v>
      </c>
      <c r="G354" s="4">
        <v>3795</v>
      </c>
      <c r="H354" s="4">
        <v>2046.3</v>
      </c>
      <c r="I354" s="19">
        <v>89</v>
      </c>
      <c r="J354" s="16">
        <f>'Форма 2'!I1321</f>
        <v>193676.02</v>
      </c>
      <c r="K354" s="4">
        <v>0</v>
      </c>
      <c r="L354" s="4">
        <v>0</v>
      </c>
      <c r="M354" s="4">
        <v>0</v>
      </c>
      <c r="N354" s="4">
        <f t="shared" si="59"/>
        <v>185145.81</v>
      </c>
      <c r="O354" s="4">
        <v>8530.2099999999991</v>
      </c>
      <c r="P354" s="4">
        <f t="shared" si="60"/>
        <v>94.65</v>
      </c>
      <c r="Q354" s="16">
        <f>'Форма 2'!K1321</f>
        <v>239</v>
      </c>
      <c r="R354" s="26" t="s">
        <v>161</v>
      </c>
      <c r="S354" s="5">
        <v>1</v>
      </c>
      <c r="T354" s="1"/>
      <c r="V354" s="3"/>
      <c r="W354" s="3"/>
    </row>
    <row r="355" spans="1:23" s="2" customFormat="1" x14ac:dyDescent="0.35">
      <c r="A355" s="20">
        <f t="shared" si="61"/>
        <v>12</v>
      </c>
      <c r="B355" s="21">
        <v>5867</v>
      </c>
      <c r="C355" s="34" t="s">
        <v>496</v>
      </c>
      <c r="D355" s="27">
        <v>1957</v>
      </c>
      <c r="E355" s="41" t="s">
        <v>74</v>
      </c>
      <c r="F355" s="27" t="s">
        <v>152</v>
      </c>
      <c r="G355" s="4">
        <v>5180</v>
      </c>
      <c r="H355" s="4">
        <v>2973.5</v>
      </c>
      <c r="I355" s="19">
        <v>88</v>
      </c>
      <c r="J355" s="16">
        <f>'Форма 2'!I1323</f>
        <v>239272.8</v>
      </c>
      <c r="K355" s="4">
        <v>0</v>
      </c>
      <c r="L355" s="4">
        <v>0</v>
      </c>
      <c r="M355" s="4">
        <v>0</v>
      </c>
      <c r="N355" s="4">
        <f>J355-K355-L355-M355-O355</f>
        <v>218683.63</v>
      </c>
      <c r="O355" s="4">
        <v>20589.169999999998</v>
      </c>
      <c r="P355" s="4">
        <f>J355/H355</f>
        <v>80.47</v>
      </c>
      <c r="Q355" s="16">
        <f>'Форма 2'!K1323</f>
        <v>239</v>
      </c>
      <c r="R355" s="26" t="s">
        <v>161</v>
      </c>
      <c r="S355" s="5">
        <v>1</v>
      </c>
      <c r="T355" s="1"/>
      <c r="U355" s="64"/>
      <c r="V355" s="3"/>
      <c r="W355" s="3"/>
    </row>
    <row r="356" spans="1:23" s="3" customFormat="1" x14ac:dyDescent="0.35">
      <c r="A356" s="27">
        <f t="shared" si="61"/>
        <v>13</v>
      </c>
      <c r="B356" s="27">
        <v>5868</v>
      </c>
      <c r="C356" s="34" t="s">
        <v>187</v>
      </c>
      <c r="D356" s="27">
        <v>1957</v>
      </c>
      <c r="E356" s="41" t="s">
        <v>178</v>
      </c>
      <c r="F356" s="27" t="s">
        <v>155</v>
      </c>
      <c r="G356" s="35">
        <v>3415</v>
      </c>
      <c r="H356" s="35">
        <v>2283.48</v>
      </c>
      <c r="I356" s="36">
        <v>105</v>
      </c>
      <c r="J356" s="41">
        <f>'Форма 2'!I1325</f>
        <v>4473219.96</v>
      </c>
      <c r="K356" s="35">
        <v>0</v>
      </c>
      <c r="L356" s="35">
        <v>0</v>
      </c>
      <c r="M356" s="35">
        <v>0</v>
      </c>
      <c r="N356" s="35">
        <f>J356-K356-L356-M356-O356</f>
        <v>4284356.8099999996</v>
      </c>
      <c r="O356" s="35">
        <v>188863.15</v>
      </c>
      <c r="P356" s="35">
        <f>J356/H356</f>
        <v>1958.95</v>
      </c>
      <c r="Q356" s="41">
        <f>'Форма 2'!K1325</f>
        <v>3640</v>
      </c>
      <c r="R356" s="95" t="s">
        <v>161</v>
      </c>
      <c r="S356" s="63">
        <v>1</v>
      </c>
      <c r="T356" s="1"/>
      <c r="U356" s="2"/>
    </row>
    <row r="357" spans="1:23" x14ac:dyDescent="0.35">
      <c r="A357" s="20">
        <f t="shared" si="61"/>
        <v>14</v>
      </c>
      <c r="B357" s="20">
        <v>5869</v>
      </c>
      <c r="C357" s="34" t="s">
        <v>188</v>
      </c>
      <c r="D357" s="20">
        <v>1957</v>
      </c>
      <c r="E357" s="41" t="s">
        <v>189</v>
      </c>
      <c r="F357" s="27" t="s">
        <v>481</v>
      </c>
      <c r="G357" s="4">
        <v>3421</v>
      </c>
      <c r="H357" s="4">
        <v>2371.4299999999998</v>
      </c>
      <c r="I357" s="19">
        <v>94</v>
      </c>
      <c r="J357" s="16">
        <f>'Форма 2'!I1332</f>
        <v>318279.63</v>
      </c>
      <c r="K357" s="4">
        <v>0</v>
      </c>
      <c r="L357" s="4">
        <v>0</v>
      </c>
      <c r="M357" s="4">
        <v>0</v>
      </c>
      <c r="N357" s="4">
        <f>J357-K357-L357-M357-O357</f>
        <v>300596.34000000003</v>
      </c>
      <c r="O357" s="4">
        <v>17683.29</v>
      </c>
      <c r="P357" s="4">
        <f>J357/H357</f>
        <v>134.21</v>
      </c>
      <c r="Q357" s="16">
        <f>'Форма 2'!K1332</f>
        <v>418</v>
      </c>
      <c r="R357" s="26" t="s">
        <v>161</v>
      </c>
      <c r="S357" s="5">
        <v>1</v>
      </c>
      <c r="U357" s="2"/>
      <c r="V357" s="3"/>
      <c r="W357" s="3"/>
    </row>
    <row r="358" spans="1:23" x14ac:dyDescent="0.35">
      <c r="A358" s="20">
        <f t="shared" si="61"/>
        <v>15</v>
      </c>
      <c r="B358" s="20">
        <v>5870</v>
      </c>
      <c r="C358" s="34" t="s">
        <v>820</v>
      </c>
      <c r="D358" s="20">
        <v>1957</v>
      </c>
      <c r="E358" s="41" t="s">
        <v>197</v>
      </c>
      <c r="F358" s="27" t="s">
        <v>160</v>
      </c>
      <c r="G358" s="16">
        <v>3421</v>
      </c>
      <c r="H358" s="16">
        <v>2339.1999999999998</v>
      </c>
      <c r="I358" s="17">
        <v>96</v>
      </c>
      <c r="J358" s="16">
        <f>'Форма 2'!I1335</f>
        <v>728894.72</v>
      </c>
      <c r="K358" s="16">
        <v>0</v>
      </c>
      <c r="L358" s="16">
        <v>0</v>
      </c>
      <c r="M358" s="16">
        <v>0</v>
      </c>
      <c r="N358" s="16">
        <f>J358-K358-L358-M358-O358</f>
        <v>728894.72</v>
      </c>
      <c r="O358" s="16">
        <v>0</v>
      </c>
      <c r="P358" s="16">
        <f>J358/H358</f>
        <v>311.60000000000002</v>
      </c>
      <c r="Q358" s="16">
        <f>'Форма 2'!K1335</f>
        <v>922</v>
      </c>
      <c r="R358" s="42" t="s">
        <v>493</v>
      </c>
      <c r="S358" s="5">
        <v>1</v>
      </c>
      <c r="U358" s="2"/>
      <c r="V358" s="3"/>
      <c r="W358" s="3"/>
    </row>
    <row r="359" spans="1:23" x14ac:dyDescent="0.35">
      <c r="A359" s="20">
        <f>A358+1</f>
        <v>16</v>
      </c>
      <c r="B359" s="20">
        <v>5873</v>
      </c>
      <c r="C359" s="34" t="s">
        <v>497</v>
      </c>
      <c r="D359" s="20">
        <v>1958</v>
      </c>
      <c r="E359" s="27" t="s">
        <v>74</v>
      </c>
      <c r="F359" s="27" t="s">
        <v>160</v>
      </c>
      <c r="G359" s="4">
        <v>5158</v>
      </c>
      <c r="H359" s="4">
        <v>2929.4</v>
      </c>
      <c r="I359" s="19">
        <v>114</v>
      </c>
      <c r="J359" s="16">
        <f>'Форма 2'!I1340</f>
        <v>4284824.67</v>
      </c>
      <c r="K359" s="4">
        <v>0</v>
      </c>
      <c r="L359" s="4">
        <v>0</v>
      </c>
      <c r="M359" s="4">
        <v>0</v>
      </c>
      <c r="N359" s="4">
        <f t="shared" si="59"/>
        <v>4102844.91</v>
      </c>
      <c r="O359" s="4">
        <v>181979.76</v>
      </c>
      <c r="P359" s="4">
        <f t="shared" si="60"/>
        <v>1462.7</v>
      </c>
      <c r="Q359" s="16">
        <f>'Форма 2'!K1340</f>
        <v>4868</v>
      </c>
      <c r="R359" s="26" t="s">
        <v>493</v>
      </c>
      <c r="S359" s="5">
        <v>1</v>
      </c>
      <c r="U359" s="2"/>
      <c r="V359" s="3"/>
      <c r="W359" s="3"/>
    </row>
    <row r="360" spans="1:23" x14ac:dyDescent="0.35">
      <c r="A360" s="20">
        <f t="shared" si="61"/>
        <v>17</v>
      </c>
      <c r="B360" s="20">
        <v>5874</v>
      </c>
      <c r="C360" s="34" t="s">
        <v>190</v>
      </c>
      <c r="D360" s="20">
        <v>1957</v>
      </c>
      <c r="E360" s="27" t="s">
        <v>74</v>
      </c>
      <c r="F360" s="27" t="s">
        <v>481</v>
      </c>
      <c r="G360" s="4">
        <v>5170</v>
      </c>
      <c r="H360" s="4">
        <v>2947.8</v>
      </c>
      <c r="I360" s="19">
        <v>114</v>
      </c>
      <c r="J360" s="16">
        <f>'Форма 2'!I1343</f>
        <v>5569360.2300000004</v>
      </c>
      <c r="K360" s="4">
        <v>0</v>
      </c>
      <c r="L360" s="4">
        <v>0</v>
      </c>
      <c r="M360" s="4">
        <v>0</v>
      </c>
      <c r="N360" s="4">
        <f t="shared" si="59"/>
        <v>5166076.95</v>
      </c>
      <c r="O360" s="4">
        <v>403283.28</v>
      </c>
      <c r="P360" s="4">
        <f t="shared" si="60"/>
        <v>1889.33</v>
      </c>
      <c r="Q360" s="16">
        <f>'Форма 2'!K1343</f>
        <v>4728</v>
      </c>
      <c r="R360" s="26" t="s">
        <v>161</v>
      </c>
      <c r="S360" s="5">
        <v>1</v>
      </c>
      <c r="U360" s="3"/>
      <c r="V360" s="3"/>
      <c r="W360" s="3"/>
    </row>
    <row r="361" spans="1:23" s="3" customFormat="1" x14ac:dyDescent="0.35">
      <c r="A361" s="27">
        <f t="shared" si="61"/>
        <v>18</v>
      </c>
      <c r="B361" s="27">
        <v>5877</v>
      </c>
      <c r="C361" s="34" t="s">
        <v>191</v>
      </c>
      <c r="D361" s="27">
        <v>1955</v>
      </c>
      <c r="E361" s="41" t="s">
        <v>178</v>
      </c>
      <c r="F361" s="27" t="s">
        <v>155</v>
      </c>
      <c r="G361" s="35">
        <v>977.9</v>
      </c>
      <c r="H361" s="35">
        <v>887.8</v>
      </c>
      <c r="I361" s="36">
        <v>46</v>
      </c>
      <c r="J361" s="41">
        <f>'Форма 2'!I1346</f>
        <v>3155687.9</v>
      </c>
      <c r="K361" s="35">
        <v>0</v>
      </c>
      <c r="L361" s="35">
        <v>0</v>
      </c>
      <c r="M361" s="35">
        <v>0</v>
      </c>
      <c r="N361" s="35">
        <f t="shared" si="59"/>
        <v>3022452.07</v>
      </c>
      <c r="O361" s="35">
        <v>133235.82999999999</v>
      </c>
      <c r="P361" s="35">
        <f t="shared" si="60"/>
        <v>3554.5</v>
      </c>
      <c r="Q361" s="41">
        <f>'Форма 2'!K1346</f>
        <v>3642</v>
      </c>
      <c r="R361" s="95" t="s">
        <v>161</v>
      </c>
      <c r="S361" s="63">
        <v>1</v>
      </c>
      <c r="T361" s="1"/>
      <c r="U361" s="1"/>
    </row>
    <row r="362" spans="1:23" x14ac:dyDescent="0.35">
      <c r="A362" s="20">
        <f t="shared" si="61"/>
        <v>19</v>
      </c>
      <c r="B362" s="21">
        <v>5897</v>
      </c>
      <c r="C362" s="34" t="s">
        <v>498</v>
      </c>
      <c r="D362" s="27">
        <v>1968</v>
      </c>
      <c r="E362" s="41" t="s">
        <v>74</v>
      </c>
      <c r="F362" s="27" t="s">
        <v>152</v>
      </c>
      <c r="G362" s="4">
        <v>7764</v>
      </c>
      <c r="H362" s="4">
        <v>4728.8999999999996</v>
      </c>
      <c r="I362" s="19">
        <v>228</v>
      </c>
      <c r="J362" s="16">
        <f>'Форма 2'!I1353</f>
        <v>279489.21000000002</v>
      </c>
      <c r="K362" s="4">
        <v>0</v>
      </c>
      <c r="L362" s="4">
        <v>0</v>
      </c>
      <c r="M362" s="4">
        <v>0</v>
      </c>
      <c r="N362" s="4">
        <f>J362-K362-L362-M362-O362</f>
        <v>246745.27</v>
      </c>
      <c r="O362" s="4">
        <v>32743.94</v>
      </c>
      <c r="P362" s="4">
        <f>J362/H362</f>
        <v>59.1</v>
      </c>
      <c r="Q362" s="16">
        <f>'Форма 2'!K1353</f>
        <v>169</v>
      </c>
      <c r="R362" s="26" t="s">
        <v>161</v>
      </c>
      <c r="S362" s="5">
        <v>1</v>
      </c>
      <c r="V362" s="3"/>
      <c r="W362" s="3"/>
    </row>
    <row r="363" spans="1:23" x14ac:dyDescent="0.35">
      <c r="A363" s="20">
        <f t="shared" si="61"/>
        <v>20</v>
      </c>
      <c r="B363" s="20">
        <v>5913</v>
      </c>
      <c r="C363" s="34" t="s">
        <v>193</v>
      </c>
      <c r="D363" s="20">
        <v>1959</v>
      </c>
      <c r="E363" s="27" t="s">
        <v>74</v>
      </c>
      <c r="F363" s="27" t="s">
        <v>481</v>
      </c>
      <c r="G363" s="4">
        <v>1199</v>
      </c>
      <c r="H363" s="4">
        <v>659.4</v>
      </c>
      <c r="I363" s="19">
        <v>30</v>
      </c>
      <c r="J363" s="16">
        <f>'Форма 2'!I1355</f>
        <v>3193210.44</v>
      </c>
      <c r="K363" s="4">
        <v>0</v>
      </c>
      <c r="L363" s="4">
        <v>0</v>
      </c>
      <c r="M363" s="4">
        <v>0</v>
      </c>
      <c r="N363" s="4">
        <f t="shared" si="59"/>
        <v>3058390.38</v>
      </c>
      <c r="O363" s="4">
        <v>134820.06</v>
      </c>
      <c r="P363" s="4">
        <f t="shared" si="60"/>
        <v>4842.6000000000004</v>
      </c>
      <c r="Q363" s="16">
        <f>'Форма 2'!K1355</f>
        <v>7066</v>
      </c>
      <c r="R363" s="26" t="s">
        <v>161</v>
      </c>
      <c r="S363" s="63">
        <v>1</v>
      </c>
      <c r="V363" s="3"/>
      <c r="W363" s="3"/>
    </row>
    <row r="364" spans="1:23" x14ac:dyDescent="0.35">
      <c r="A364" s="20">
        <f t="shared" si="61"/>
        <v>21</v>
      </c>
      <c r="B364" s="20">
        <v>5916</v>
      </c>
      <c r="C364" s="34" t="s">
        <v>821</v>
      </c>
      <c r="D364" s="20">
        <v>1990</v>
      </c>
      <c r="E364" s="27" t="s">
        <v>182</v>
      </c>
      <c r="F364" s="27" t="s">
        <v>183</v>
      </c>
      <c r="G364" s="4">
        <v>12403.2</v>
      </c>
      <c r="H364" s="4">
        <v>11057.2</v>
      </c>
      <c r="I364" s="19">
        <v>418</v>
      </c>
      <c r="J364" s="16">
        <f>'Форма 2'!I1358</f>
        <v>10446624</v>
      </c>
      <c r="K364" s="4">
        <v>0</v>
      </c>
      <c r="L364" s="4">
        <v>0</v>
      </c>
      <c r="M364" s="4">
        <v>0</v>
      </c>
      <c r="N364" s="4">
        <f t="shared" si="59"/>
        <v>10446624</v>
      </c>
      <c r="O364" s="4">
        <v>0</v>
      </c>
      <c r="P364" s="4">
        <f t="shared" si="60"/>
        <v>944.78</v>
      </c>
      <c r="Q364" s="16">
        <f>'Форма 2'!K1358</f>
        <v>964.62</v>
      </c>
      <c r="R364" s="26" t="s">
        <v>161</v>
      </c>
      <c r="S364" s="5">
        <v>1</v>
      </c>
      <c r="V364" s="3"/>
      <c r="W364" s="3"/>
    </row>
    <row r="365" spans="1:23" x14ac:dyDescent="0.35">
      <c r="A365" s="20">
        <f>A364+1</f>
        <v>22</v>
      </c>
      <c r="B365" s="20">
        <v>5940</v>
      </c>
      <c r="C365" s="34" t="s">
        <v>499</v>
      </c>
      <c r="D365" s="20">
        <v>1968</v>
      </c>
      <c r="E365" s="27" t="s">
        <v>434</v>
      </c>
      <c r="F365" s="27" t="s">
        <v>155</v>
      </c>
      <c r="G365" s="4">
        <v>6041.6</v>
      </c>
      <c r="H365" s="4">
        <v>3856.6</v>
      </c>
      <c r="I365" s="19">
        <v>209</v>
      </c>
      <c r="J365" s="16">
        <f>'Форма 2'!I1377</f>
        <v>6039435.5999999996</v>
      </c>
      <c r="K365" s="4">
        <v>0</v>
      </c>
      <c r="L365" s="4">
        <v>0</v>
      </c>
      <c r="M365" s="4">
        <v>0</v>
      </c>
      <c r="N365" s="4">
        <f t="shared" si="59"/>
        <v>5873187.2599999998</v>
      </c>
      <c r="O365" s="4">
        <v>166248.34</v>
      </c>
      <c r="P365" s="4">
        <f t="shared" si="60"/>
        <v>1566</v>
      </c>
      <c r="Q365" s="16">
        <f>'Форма 2'!K1377</f>
        <v>1600</v>
      </c>
      <c r="R365" s="26" t="s">
        <v>161</v>
      </c>
      <c r="S365" s="5">
        <v>1</v>
      </c>
      <c r="U365" s="3"/>
      <c r="V365" s="3"/>
      <c r="W365" s="3"/>
    </row>
    <row r="366" spans="1:23" s="96" customFormat="1" x14ac:dyDescent="0.35">
      <c r="A366" s="20">
        <f>A365+1</f>
        <v>23</v>
      </c>
      <c r="B366" s="20">
        <v>5947</v>
      </c>
      <c r="C366" s="34" t="s">
        <v>195</v>
      </c>
      <c r="D366" s="20">
        <v>1957</v>
      </c>
      <c r="E366" s="27" t="s">
        <v>74</v>
      </c>
      <c r="F366" s="27" t="s">
        <v>481</v>
      </c>
      <c r="G366" s="4">
        <v>1014.2</v>
      </c>
      <c r="H366" s="4">
        <v>501.3</v>
      </c>
      <c r="I366" s="19">
        <v>22</v>
      </c>
      <c r="J366" s="16">
        <f>'Форма 2'!I1380</f>
        <v>2415457.4</v>
      </c>
      <c r="K366" s="4">
        <v>0</v>
      </c>
      <c r="L366" s="4">
        <v>0</v>
      </c>
      <c r="M366" s="4">
        <v>0</v>
      </c>
      <c r="N366" s="4">
        <f t="shared" si="59"/>
        <v>2312962.2599999998</v>
      </c>
      <c r="O366" s="4">
        <v>102495.14</v>
      </c>
      <c r="P366" s="4">
        <f t="shared" si="60"/>
        <v>4818.3900000000003</v>
      </c>
      <c r="Q366" s="16">
        <f>'Форма 2'!K1380</f>
        <v>7066</v>
      </c>
      <c r="R366" s="26" t="s">
        <v>161</v>
      </c>
      <c r="S366" s="5">
        <v>1</v>
      </c>
      <c r="T366" s="1"/>
      <c r="U366" s="1"/>
      <c r="V366" s="3"/>
      <c r="W366" s="3"/>
    </row>
    <row r="367" spans="1:23" s="96" customFormat="1" x14ac:dyDescent="0.35">
      <c r="A367" s="20">
        <f t="shared" si="61"/>
        <v>24</v>
      </c>
      <c r="B367" s="20">
        <v>5948</v>
      </c>
      <c r="C367" s="34" t="s">
        <v>500</v>
      </c>
      <c r="D367" s="20">
        <v>1967</v>
      </c>
      <c r="E367" s="27" t="s">
        <v>434</v>
      </c>
      <c r="F367" s="27" t="s">
        <v>155</v>
      </c>
      <c r="G367" s="4">
        <v>6049.4</v>
      </c>
      <c r="H367" s="4">
        <v>3853.4</v>
      </c>
      <c r="I367" s="19">
        <v>192</v>
      </c>
      <c r="J367" s="16">
        <f>'Форма 2'!I1383</f>
        <v>6034424.4000000004</v>
      </c>
      <c r="K367" s="4">
        <v>0</v>
      </c>
      <c r="L367" s="4">
        <v>0</v>
      </c>
      <c r="M367" s="4">
        <v>0</v>
      </c>
      <c r="N367" s="4">
        <f t="shared" si="59"/>
        <v>5868314</v>
      </c>
      <c r="O367" s="4">
        <v>166110.39999999999</v>
      </c>
      <c r="P367" s="4">
        <f t="shared" si="60"/>
        <v>1566</v>
      </c>
      <c r="Q367" s="16">
        <f>'Форма 2'!K1383</f>
        <v>1600</v>
      </c>
      <c r="R367" s="26" t="s">
        <v>161</v>
      </c>
      <c r="S367" s="5">
        <v>1</v>
      </c>
      <c r="T367" s="1"/>
      <c r="U367" s="1"/>
      <c r="V367" s="3"/>
      <c r="W367" s="3"/>
    </row>
    <row r="368" spans="1:23" s="96" customFormat="1" x14ac:dyDescent="0.35">
      <c r="A368" s="20">
        <f t="shared" si="61"/>
        <v>25</v>
      </c>
      <c r="B368" s="20">
        <v>6071</v>
      </c>
      <c r="C368" s="34" t="s">
        <v>196</v>
      </c>
      <c r="D368" s="20">
        <v>1953</v>
      </c>
      <c r="E368" s="27" t="s">
        <v>178</v>
      </c>
      <c r="F368" s="27" t="s">
        <v>481</v>
      </c>
      <c r="G368" s="4">
        <v>1764.35</v>
      </c>
      <c r="H368" s="4">
        <v>615.65</v>
      </c>
      <c r="I368" s="19">
        <v>25</v>
      </c>
      <c r="J368" s="16">
        <f>'Форма 2'!I1386</f>
        <v>2112787.67</v>
      </c>
      <c r="K368" s="4">
        <v>0</v>
      </c>
      <c r="L368" s="4">
        <v>0</v>
      </c>
      <c r="M368" s="4">
        <v>0</v>
      </c>
      <c r="N368" s="4">
        <f t="shared" si="59"/>
        <v>2096884.99</v>
      </c>
      <c r="O368" s="4">
        <v>15902.68</v>
      </c>
      <c r="P368" s="4">
        <f t="shared" si="60"/>
        <v>3431.8</v>
      </c>
      <c r="Q368" s="16">
        <f>'Форма 2'!K1386</f>
        <v>3771</v>
      </c>
      <c r="R368" s="26" t="s">
        <v>161</v>
      </c>
      <c r="S368" s="5">
        <v>1</v>
      </c>
      <c r="T368" s="1"/>
      <c r="U368" s="1"/>
      <c r="V368" s="3"/>
      <c r="W368" s="3"/>
    </row>
    <row r="369" spans="1:23" s="96" customFormat="1" x14ac:dyDescent="0.35">
      <c r="A369" s="20">
        <f t="shared" si="61"/>
        <v>26</v>
      </c>
      <c r="B369" s="20">
        <v>6072</v>
      </c>
      <c r="C369" s="34" t="s">
        <v>198</v>
      </c>
      <c r="D369" s="20">
        <v>1953</v>
      </c>
      <c r="E369" s="27" t="s">
        <v>74</v>
      </c>
      <c r="F369" s="27" t="s">
        <v>481</v>
      </c>
      <c r="G369" s="4">
        <v>1251.5999999999999</v>
      </c>
      <c r="H369" s="4">
        <v>534.9</v>
      </c>
      <c r="I369" s="19">
        <v>26</v>
      </c>
      <c r="J369" s="16">
        <f>'Форма 2'!I1394</f>
        <v>2577355.21</v>
      </c>
      <c r="K369" s="4">
        <v>0</v>
      </c>
      <c r="L369" s="4">
        <v>0</v>
      </c>
      <c r="M369" s="4">
        <v>0</v>
      </c>
      <c r="N369" s="4">
        <f t="shared" si="59"/>
        <v>2467990.2599999998</v>
      </c>
      <c r="O369" s="4">
        <v>109364.95</v>
      </c>
      <c r="P369" s="4">
        <f t="shared" si="60"/>
        <v>4818.3900000000003</v>
      </c>
      <c r="Q369" s="16">
        <f>'Форма 2'!K1394</f>
        <v>7066</v>
      </c>
      <c r="R369" s="26" t="s">
        <v>161</v>
      </c>
      <c r="S369" s="5">
        <v>1</v>
      </c>
      <c r="T369" s="1"/>
      <c r="V369" s="3"/>
      <c r="W369" s="3"/>
    </row>
    <row r="370" spans="1:23" s="96" customFormat="1" x14ac:dyDescent="0.35">
      <c r="A370" s="20">
        <f t="shared" si="61"/>
        <v>27</v>
      </c>
      <c r="B370" s="20">
        <v>6074</v>
      </c>
      <c r="C370" s="34" t="s">
        <v>199</v>
      </c>
      <c r="D370" s="20">
        <v>1953</v>
      </c>
      <c r="E370" s="27" t="s">
        <v>74</v>
      </c>
      <c r="F370" s="27" t="s">
        <v>481</v>
      </c>
      <c r="G370" s="4">
        <v>1695.18</v>
      </c>
      <c r="H370" s="4">
        <v>599.02</v>
      </c>
      <c r="I370" s="19">
        <v>25</v>
      </c>
      <c r="J370" s="16">
        <f>'Форма 2'!I1397</f>
        <v>2857302.04</v>
      </c>
      <c r="K370" s="4">
        <v>0</v>
      </c>
      <c r="L370" s="4">
        <v>0</v>
      </c>
      <c r="M370" s="4">
        <v>0</v>
      </c>
      <c r="N370" s="4">
        <f t="shared" si="59"/>
        <v>2734827.19</v>
      </c>
      <c r="O370" s="4">
        <v>122474.85</v>
      </c>
      <c r="P370" s="4">
        <f t="shared" si="60"/>
        <v>4769.96</v>
      </c>
      <c r="Q370" s="16">
        <f>'Форма 2'!K1397</f>
        <v>7066</v>
      </c>
      <c r="R370" s="26" t="s">
        <v>161</v>
      </c>
      <c r="S370" s="5">
        <v>1</v>
      </c>
      <c r="T370" s="1"/>
      <c r="V370" s="3"/>
      <c r="W370" s="3"/>
    </row>
    <row r="371" spans="1:23" s="96" customFormat="1" x14ac:dyDescent="0.35">
      <c r="A371" s="20">
        <f t="shared" si="61"/>
        <v>28</v>
      </c>
      <c r="B371" s="20">
        <v>6076</v>
      </c>
      <c r="C371" s="34" t="s">
        <v>200</v>
      </c>
      <c r="D371" s="20">
        <v>1953</v>
      </c>
      <c r="E371" s="27" t="s">
        <v>74</v>
      </c>
      <c r="F371" s="27" t="s">
        <v>481</v>
      </c>
      <c r="G371" s="4">
        <v>1237.5999999999999</v>
      </c>
      <c r="H371" s="4">
        <v>529.9</v>
      </c>
      <c r="I371" s="19">
        <v>25</v>
      </c>
      <c r="J371" s="16">
        <f>'Форма 2'!I1400</f>
        <v>2566093.7400000002</v>
      </c>
      <c r="K371" s="4">
        <v>0</v>
      </c>
      <c r="L371" s="4">
        <v>0</v>
      </c>
      <c r="M371" s="4">
        <v>0</v>
      </c>
      <c r="N371" s="4">
        <f t="shared" si="59"/>
        <v>2457751.08</v>
      </c>
      <c r="O371" s="4">
        <v>108342.66</v>
      </c>
      <c r="P371" s="4">
        <f t="shared" si="60"/>
        <v>4842.6000000000004</v>
      </c>
      <c r="Q371" s="16">
        <f>'Форма 2'!K1400</f>
        <v>7066</v>
      </c>
      <c r="R371" s="26" t="s">
        <v>161</v>
      </c>
      <c r="S371" s="5">
        <v>1</v>
      </c>
      <c r="T371" s="1"/>
      <c r="V371" s="3"/>
      <c r="W371" s="3"/>
    </row>
    <row r="372" spans="1:23" s="96" customFormat="1" ht="31" x14ac:dyDescent="0.35">
      <c r="A372" s="20">
        <f t="shared" si="61"/>
        <v>29</v>
      </c>
      <c r="B372" s="20">
        <v>6087</v>
      </c>
      <c r="C372" s="34" t="s">
        <v>201</v>
      </c>
      <c r="D372" s="20">
        <v>1964</v>
      </c>
      <c r="E372" s="27" t="s">
        <v>826</v>
      </c>
      <c r="F372" s="27" t="s">
        <v>698</v>
      </c>
      <c r="G372" s="4">
        <v>6557</v>
      </c>
      <c r="H372" s="4">
        <v>2447.1999999999998</v>
      </c>
      <c r="I372" s="19">
        <v>221</v>
      </c>
      <c r="J372" s="16">
        <f>'Форма 2'!I1403</f>
        <v>10131408</v>
      </c>
      <c r="K372" s="4">
        <v>0</v>
      </c>
      <c r="L372" s="4">
        <v>0</v>
      </c>
      <c r="M372" s="4">
        <v>0</v>
      </c>
      <c r="N372" s="4">
        <f t="shared" si="59"/>
        <v>9995021.8200000003</v>
      </c>
      <c r="O372" s="4">
        <v>136386.18</v>
      </c>
      <c r="P372" s="4">
        <f t="shared" si="60"/>
        <v>4140</v>
      </c>
      <c r="Q372" s="16">
        <f>'Форма 2'!K1403</f>
        <v>4227</v>
      </c>
      <c r="R372" s="26" t="s">
        <v>161</v>
      </c>
      <c r="S372" s="5">
        <v>1</v>
      </c>
      <c r="T372" s="1"/>
      <c r="V372" s="3"/>
      <c r="W372" s="3"/>
    </row>
    <row r="373" spans="1:23" s="96" customFormat="1" x14ac:dyDescent="0.35">
      <c r="A373" s="20">
        <f t="shared" si="61"/>
        <v>30</v>
      </c>
      <c r="B373" s="20">
        <v>6139</v>
      </c>
      <c r="C373" s="34" t="s">
        <v>203</v>
      </c>
      <c r="D373" s="20">
        <v>1954</v>
      </c>
      <c r="E373" s="27" t="s">
        <v>74</v>
      </c>
      <c r="F373" s="27" t="s">
        <v>481</v>
      </c>
      <c r="G373" s="4">
        <v>2337.1</v>
      </c>
      <c r="H373" s="4">
        <v>2152.6</v>
      </c>
      <c r="I373" s="19">
        <v>67</v>
      </c>
      <c r="J373" s="16">
        <f>'Форма 2'!I1413</f>
        <v>5816282.0899999999</v>
      </c>
      <c r="K373" s="4">
        <v>0</v>
      </c>
      <c r="L373" s="4">
        <v>0</v>
      </c>
      <c r="M373" s="4">
        <v>0</v>
      </c>
      <c r="N373" s="4">
        <f t="shared" si="59"/>
        <v>5521788.71</v>
      </c>
      <c r="O373" s="4">
        <v>294493.38</v>
      </c>
      <c r="P373" s="4">
        <f t="shared" si="60"/>
        <v>2701.98</v>
      </c>
      <c r="Q373" s="16">
        <f>'Форма 2'!K1413</f>
        <v>4728</v>
      </c>
      <c r="R373" s="26" t="s">
        <v>161</v>
      </c>
      <c r="S373" s="5">
        <v>1</v>
      </c>
      <c r="T373" s="1"/>
      <c r="V373" s="3"/>
      <c r="W373" s="3"/>
    </row>
    <row r="374" spans="1:23" s="96" customFormat="1" x14ac:dyDescent="0.35">
      <c r="A374" s="20">
        <f t="shared" si="61"/>
        <v>31</v>
      </c>
      <c r="B374" s="20">
        <v>6147</v>
      </c>
      <c r="C374" s="34" t="s">
        <v>205</v>
      </c>
      <c r="D374" s="20">
        <v>1954</v>
      </c>
      <c r="E374" s="16" t="s">
        <v>74</v>
      </c>
      <c r="F374" s="27" t="s">
        <v>481</v>
      </c>
      <c r="G374" s="4">
        <v>2576.3000000000002</v>
      </c>
      <c r="H374" s="4">
        <v>2345.3000000000002</v>
      </c>
      <c r="I374" s="19">
        <v>91</v>
      </c>
      <c r="J374" s="16">
        <f>'Форма 2'!I1416</f>
        <v>6806691.0499999998</v>
      </c>
      <c r="K374" s="4">
        <v>0</v>
      </c>
      <c r="L374" s="4">
        <v>0</v>
      </c>
      <c r="M374" s="4">
        <v>0</v>
      </c>
      <c r="N374" s="4">
        <f t="shared" si="59"/>
        <v>6485834.7300000004</v>
      </c>
      <c r="O374" s="4">
        <v>320856.32000000001</v>
      </c>
      <c r="P374" s="4">
        <f t="shared" si="60"/>
        <v>2902.27</v>
      </c>
      <c r="Q374" s="16">
        <f>'Форма 2'!K1416</f>
        <v>4728</v>
      </c>
      <c r="R374" s="26" t="s">
        <v>161</v>
      </c>
      <c r="S374" s="5">
        <v>1</v>
      </c>
      <c r="T374" s="1"/>
      <c r="V374" s="3"/>
      <c r="W374" s="3"/>
    </row>
    <row r="375" spans="1:23" s="96" customFormat="1" x14ac:dyDescent="0.35">
      <c r="A375" s="20">
        <f t="shared" si="61"/>
        <v>32</v>
      </c>
      <c r="B375" s="21">
        <v>6169</v>
      </c>
      <c r="C375" s="34" t="s">
        <v>501</v>
      </c>
      <c r="D375" s="27">
        <v>1965</v>
      </c>
      <c r="E375" s="41" t="s">
        <v>74</v>
      </c>
      <c r="F375" s="27" t="s">
        <v>152</v>
      </c>
      <c r="G375" s="4">
        <v>5448</v>
      </c>
      <c r="H375" s="4">
        <v>3518</v>
      </c>
      <c r="I375" s="19">
        <v>183</v>
      </c>
      <c r="J375" s="16">
        <f>'Форма 2'!I1419</f>
        <v>263242.44</v>
      </c>
      <c r="K375" s="4">
        <v>0</v>
      </c>
      <c r="L375" s="4">
        <v>0</v>
      </c>
      <c r="M375" s="4">
        <v>0</v>
      </c>
      <c r="N375" s="4">
        <f>J375-K375-L375-M375-O375</f>
        <v>238883.04</v>
      </c>
      <c r="O375" s="4">
        <v>24359.4</v>
      </c>
      <c r="P375" s="4">
        <f>J375/H375</f>
        <v>74.83</v>
      </c>
      <c r="Q375" s="16">
        <f>'Форма 2'!K1419</f>
        <v>169</v>
      </c>
      <c r="R375" s="26" t="s">
        <v>161</v>
      </c>
      <c r="S375" s="5">
        <v>1</v>
      </c>
      <c r="T375" s="1"/>
      <c r="V375" s="3"/>
      <c r="W375" s="3"/>
    </row>
    <row r="376" spans="1:23" s="96" customFormat="1" ht="31" x14ac:dyDescent="0.35">
      <c r="A376" s="20">
        <f t="shared" si="61"/>
        <v>33</v>
      </c>
      <c r="B376" s="21">
        <v>6171</v>
      </c>
      <c r="C376" s="34" t="s">
        <v>822</v>
      </c>
      <c r="D376" s="27" t="s">
        <v>827</v>
      </c>
      <c r="E376" s="41" t="s">
        <v>182</v>
      </c>
      <c r="F376" s="27" t="s">
        <v>183</v>
      </c>
      <c r="G376" s="4">
        <v>14841.66</v>
      </c>
      <c r="H376" s="4">
        <v>10922.43</v>
      </c>
      <c r="I376" s="19">
        <v>413</v>
      </c>
      <c r="J376" s="16">
        <f>'Форма 2'!I1421</f>
        <v>1741104</v>
      </c>
      <c r="K376" s="4">
        <v>0</v>
      </c>
      <c r="L376" s="4">
        <v>0</v>
      </c>
      <c r="M376" s="4">
        <v>0</v>
      </c>
      <c r="N376" s="4">
        <f>J376-K376-L376-M376-O376</f>
        <v>1741104</v>
      </c>
      <c r="O376" s="4">
        <v>0</v>
      </c>
      <c r="P376" s="4">
        <f>J376/H376</f>
        <v>159.41</v>
      </c>
      <c r="Q376" s="16">
        <f>'Форма 2'!K1421</f>
        <v>162.76</v>
      </c>
      <c r="R376" s="26" t="s">
        <v>161</v>
      </c>
      <c r="S376" s="5">
        <v>1</v>
      </c>
      <c r="T376" s="1"/>
      <c r="V376" s="3"/>
      <c r="W376" s="3"/>
    </row>
    <row r="377" spans="1:23" s="96" customFormat="1" x14ac:dyDescent="0.35">
      <c r="A377" s="20">
        <f t="shared" si="61"/>
        <v>34</v>
      </c>
      <c r="B377" s="21">
        <v>6174</v>
      </c>
      <c r="C377" s="34" t="s">
        <v>502</v>
      </c>
      <c r="D377" s="27">
        <v>1973</v>
      </c>
      <c r="E377" s="41" t="s">
        <v>74</v>
      </c>
      <c r="F377" s="27" t="s">
        <v>152</v>
      </c>
      <c r="G377" s="4">
        <v>5753.6</v>
      </c>
      <c r="H377" s="4">
        <v>4381.5200000000004</v>
      </c>
      <c r="I377" s="19">
        <v>254</v>
      </c>
      <c r="J377" s="16">
        <f>'Форма 2'!I1425</f>
        <v>585247.46</v>
      </c>
      <c r="K377" s="4">
        <v>0</v>
      </c>
      <c r="L377" s="4">
        <v>0</v>
      </c>
      <c r="M377" s="4">
        <v>0</v>
      </c>
      <c r="N377" s="4">
        <f>J377-K377-L377-M377-O377</f>
        <v>554908.85</v>
      </c>
      <c r="O377" s="4">
        <v>30338.61</v>
      </c>
      <c r="P377" s="4">
        <f>J377/H377</f>
        <v>133.57</v>
      </c>
      <c r="Q377" s="16">
        <f>'Форма 2'!K1425</f>
        <v>169</v>
      </c>
      <c r="R377" s="26" t="s">
        <v>161</v>
      </c>
      <c r="S377" s="5">
        <v>1</v>
      </c>
      <c r="T377" s="1"/>
      <c r="V377" s="3"/>
      <c r="W377" s="3"/>
    </row>
    <row r="378" spans="1:23" s="96" customFormat="1" x14ac:dyDescent="0.35">
      <c r="A378" s="20">
        <f t="shared" si="61"/>
        <v>35</v>
      </c>
      <c r="B378" s="21">
        <v>6192</v>
      </c>
      <c r="C378" s="34" t="s">
        <v>823</v>
      </c>
      <c r="D378" s="27">
        <v>1990</v>
      </c>
      <c r="E378" s="41" t="s">
        <v>182</v>
      </c>
      <c r="F378" s="27" t="s">
        <v>183</v>
      </c>
      <c r="G378" s="4">
        <v>2779</v>
      </c>
      <c r="H378" s="4">
        <v>2421</v>
      </c>
      <c r="I378" s="19">
        <v>91</v>
      </c>
      <c r="J378" s="16">
        <f>'Форма 2'!I1427</f>
        <v>1741104</v>
      </c>
      <c r="K378" s="4">
        <v>0</v>
      </c>
      <c r="L378" s="4">
        <v>0</v>
      </c>
      <c r="M378" s="4">
        <v>0</v>
      </c>
      <c r="N378" s="4">
        <f>J378-K378-L378-M378-O378</f>
        <v>1741104</v>
      </c>
      <c r="O378" s="4">
        <v>0</v>
      </c>
      <c r="P378" s="4">
        <f>J378/H378</f>
        <v>719.17</v>
      </c>
      <c r="Q378" s="16">
        <f>'Форма 2'!K1427</f>
        <v>734.26</v>
      </c>
      <c r="R378" s="26" t="s">
        <v>161</v>
      </c>
      <c r="S378" s="5">
        <v>1</v>
      </c>
      <c r="T378" s="1"/>
      <c r="V378" s="3"/>
      <c r="W378" s="3"/>
    </row>
    <row r="379" spans="1:23" s="96" customFormat="1" x14ac:dyDescent="0.35">
      <c r="A379" s="20">
        <f t="shared" si="61"/>
        <v>36</v>
      </c>
      <c r="B379" s="21">
        <v>6193</v>
      </c>
      <c r="C379" s="34" t="s">
        <v>824</v>
      </c>
      <c r="D379" s="27">
        <v>1990</v>
      </c>
      <c r="E379" s="41" t="s">
        <v>182</v>
      </c>
      <c r="F379" s="27" t="s">
        <v>183</v>
      </c>
      <c r="G379" s="4">
        <v>12387.7</v>
      </c>
      <c r="H379" s="4">
        <v>11067.6</v>
      </c>
      <c r="I379" s="19">
        <v>418</v>
      </c>
      <c r="J379" s="16">
        <f>'Форма 2'!I1431</f>
        <v>5223312</v>
      </c>
      <c r="K379" s="4">
        <v>0</v>
      </c>
      <c r="L379" s="4">
        <v>0</v>
      </c>
      <c r="M379" s="4">
        <v>0</v>
      </c>
      <c r="N379" s="4">
        <f>J379-K379-L379-M379-O379</f>
        <v>5223312</v>
      </c>
      <c r="O379" s="4">
        <v>0</v>
      </c>
      <c r="P379" s="4">
        <f>J379/H379</f>
        <v>471.95</v>
      </c>
      <c r="Q379" s="16">
        <f>'Форма 2'!K1431</f>
        <v>481.86</v>
      </c>
      <c r="R379" s="26" t="s">
        <v>161</v>
      </c>
      <c r="S379" s="5">
        <v>1</v>
      </c>
      <c r="T379" s="1"/>
      <c r="V379" s="3"/>
      <c r="W379" s="3"/>
    </row>
    <row r="380" spans="1:23" s="96" customFormat="1" x14ac:dyDescent="0.35">
      <c r="A380" s="20">
        <f t="shared" si="61"/>
        <v>37</v>
      </c>
      <c r="B380" s="20">
        <v>6207</v>
      </c>
      <c r="C380" s="34" t="s">
        <v>210</v>
      </c>
      <c r="D380" s="20">
        <v>1954</v>
      </c>
      <c r="E380" s="16" t="s">
        <v>74</v>
      </c>
      <c r="F380" s="27" t="s">
        <v>155</v>
      </c>
      <c r="G380" s="4">
        <v>2235.6999999999998</v>
      </c>
      <c r="H380" s="4">
        <v>2063.3000000000002</v>
      </c>
      <c r="I380" s="19">
        <v>79</v>
      </c>
      <c r="J380" s="16">
        <f>'Форма 2'!I1441</f>
        <v>6754876.2999999998</v>
      </c>
      <c r="K380" s="4">
        <v>0</v>
      </c>
      <c r="L380" s="4">
        <v>0</v>
      </c>
      <c r="M380" s="4">
        <v>0</v>
      </c>
      <c r="N380" s="4">
        <f t="shared" si="59"/>
        <v>6351624.29</v>
      </c>
      <c r="O380" s="4">
        <v>403252.01</v>
      </c>
      <c r="P380" s="4">
        <f t="shared" si="60"/>
        <v>3273.82</v>
      </c>
      <c r="Q380" s="16">
        <f>'Форма 2'!K1441</f>
        <v>4728</v>
      </c>
      <c r="R380" s="26" t="s">
        <v>161</v>
      </c>
      <c r="S380" s="5">
        <v>1</v>
      </c>
      <c r="T380" s="1"/>
      <c r="V380" s="3"/>
      <c r="W380" s="3"/>
    </row>
    <row r="381" spans="1:23" s="97" customFormat="1" x14ac:dyDescent="0.35">
      <c r="A381" s="27">
        <f t="shared" si="61"/>
        <v>38</v>
      </c>
      <c r="B381" s="27">
        <v>6208</v>
      </c>
      <c r="C381" s="34" t="s">
        <v>211</v>
      </c>
      <c r="D381" s="27">
        <v>1954</v>
      </c>
      <c r="E381" s="41" t="s">
        <v>178</v>
      </c>
      <c r="F381" s="27" t="s">
        <v>155</v>
      </c>
      <c r="G381" s="35">
        <v>1693</v>
      </c>
      <c r="H381" s="35">
        <v>1569.5</v>
      </c>
      <c r="I381" s="36">
        <v>53</v>
      </c>
      <c r="J381" s="41">
        <f>'Форма 2'!I1444</f>
        <v>5592128.5</v>
      </c>
      <c r="K381" s="35">
        <v>0</v>
      </c>
      <c r="L381" s="35">
        <v>0</v>
      </c>
      <c r="M381" s="35">
        <v>0</v>
      </c>
      <c r="N381" s="35">
        <f t="shared" si="59"/>
        <v>5356024.08</v>
      </c>
      <c r="O381" s="35">
        <v>236104.42</v>
      </c>
      <c r="P381" s="35">
        <f t="shared" si="60"/>
        <v>3563</v>
      </c>
      <c r="Q381" s="41">
        <f>'Форма 2'!K1444</f>
        <v>3640</v>
      </c>
      <c r="R381" s="95" t="s">
        <v>161</v>
      </c>
      <c r="S381" s="63">
        <v>1</v>
      </c>
      <c r="T381" s="1"/>
      <c r="U381" s="96"/>
      <c r="V381" s="3"/>
      <c r="W381" s="3"/>
    </row>
    <row r="382" spans="1:23" s="97" customFormat="1" x14ac:dyDescent="0.35">
      <c r="A382" s="27">
        <f t="shared" si="61"/>
        <v>39</v>
      </c>
      <c r="B382" s="27">
        <v>6234</v>
      </c>
      <c r="C382" s="34" t="s">
        <v>212</v>
      </c>
      <c r="D382" s="27">
        <v>1954</v>
      </c>
      <c r="E382" s="41" t="s">
        <v>178</v>
      </c>
      <c r="F382" s="27" t="s">
        <v>155</v>
      </c>
      <c r="G382" s="35">
        <v>2282.1</v>
      </c>
      <c r="H382" s="35">
        <v>2118.1</v>
      </c>
      <c r="I382" s="36">
        <v>73</v>
      </c>
      <c r="J382" s="41">
        <f>'Форма 2'!I1451</f>
        <v>7546790.2999999998</v>
      </c>
      <c r="K382" s="35">
        <v>0</v>
      </c>
      <c r="L382" s="35">
        <v>0</v>
      </c>
      <c r="M382" s="35">
        <v>0</v>
      </c>
      <c r="N382" s="35">
        <f t="shared" si="59"/>
        <v>7228158.3899999997</v>
      </c>
      <c r="O382" s="35">
        <v>318631.90999999997</v>
      </c>
      <c r="P382" s="35">
        <f t="shared" si="60"/>
        <v>3563</v>
      </c>
      <c r="Q382" s="41">
        <f>'Форма 2'!K1451</f>
        <v>3640</v>
      </c>
      <c r="R382" s="95" t="s">
        <v>161</v>
      </c>
      <c r="S382" s="63">
        <v>1</v>
      </c>
      <c r="T382" s="1"/>
      <c r="U382" s="96"/>
      <c r="V382" s="3"/>
      <c r="W382" s="3"/>
    </row>
    <row r="383" spans="1:23" s="96" customFormat="1" x14ac:dyDescent="0.35">
      <c r="A383" s="20">
        <f t="shared" si="61"/>
        <v>40</v>
      </c>
      <c r="B383" s="20">
        <v>6237</v>
      </c>
      <c r="C383" s="34" t="s">
        <v>503</v>
      </c>
      <c r="D383" s="20">
        <v>1953</v>
      </c>
      <c r="E383" s="27" t="s">
        <v>504</v>
      </c>
      <c r="F383" s="27" t="s">
        <v>152</v>
      </c>
      <c r="G383" s="4">
        <v>928.7</v>
      </c>
      <c r="H383" s="4">
        <v>542.70000000000005</v>
      </c>
      <c r="I383" s="19">
        <v>25</v>
      </c>
      <c r="J383" s="16">
        <f>'Форма 2'!I1458</f>
        <v>148214.74</v>
      </c>
      <c r="K383" s="4">
        <v>0</v>
      </c>
      <c r="L383" s="4">
        <v>0</v>
      </c>
      <c r="M383" s="4">
        <v>0</v>
      </c>
      <c r="N383" s="4">
        <f t="shared" si="59"/>
        <v>141609.1</v>
      </c>
      <c r="O383" s="4">
        <v>6605.64</v>
      </c>
      <c r="P383" s="4">
        <f t="shared" si="60"/>
        <v>273.11</v>
      </c>
      <c r="Q383" s="16">
        <f>'Форма 2'!K1458</f>
        <v>412</v>
      </c>
      <c r="R383" s="26" t="s">
        <v>161</v>
      </c>
      <c r="S383" s="5">
        <v>1</v>
      </c>
      <c r="T383" s="1"/>
      <c r="V383" s="3"/>
      <c r="W383" s="3"/>
    </row>
    <row r="384" spans="1:23" s="97" customFormat="1" x14ac:dyDescent="0.35">
      <c r="A384" s="27">
        <f t="shared" si="61"/>
        <v>41</v>
      </c>
      <c r="B384" s="27">
        <v>6244</v>
      </c>
      <c r="C384" s="34" t="s">
        <v>213</v>
      </c>
      <c r="D384" s="27">
        <v>1951</v>
      </c>
      <c r="E384" s="41" t="s">
        <v>178</v>
      </c>
      <c r="F384" s="27" t="s">
        <v>481</v>
      </c>
      <c r="G384" s="35">
        <v>946.7</v>
      </c>
      <c r="H384" s="35">
        <v>520.5</v>
      </c>
      <c r="I384" s="36">
        <v>20</v>
      </c>
      <c r="J384" s="41">
        <f>'Форма 2'!I1461</f>
        <v>1124698.71</v>
      </c>
      <c r="K384" s="35">
        <v>0</v>
      </c>
      <c r="L384" s="35">
        <v>0</v>
      </c>
      <c r="M384" s="35">
        <v>0</v>
      </c>
      <c r="N384" s="35">
        <f t="shared" si="59"/>
        <v>1069857.72</v>
      </c>
      <c r="O384" s="35">
        <v>54840.99</v>
      </c>
      <c r="P384" s="35">
        <f t="shared" si="60"/>
        <v>2160.8000000000002</v>
      </c>
      <c r="Q384" s="41">
        <f>'Форма 2'!K1461</f>
        <v>3642</v>
      </c>
      <c r="R384" s="95" t="s">
        <v>161</v>
      </c>
      <c r="S384" s="63">
        <v>1</v>
      </c>
      <c r="T384" s="1"/>
      <c r="V384" s="3"/>
      <c r="W384" s="3"/>
    </row>
    <row r="385" spans="1:23" s="96" customFormat="1" x14ac:dyDescent="0.35">
      <c r="A385" s="20">
        <f t="shared" si="61"/>
        <v>42</v>
      </c>
      <c r="B385" s="20">
        <v>6248</v>
      </c>
      <c r="C385" s="34" t="s">
        <v>505</v>
      </c>
      <c r="D385" s="20">
        <v>1951</v>
      </c>
      <c r="E385" s="27" t="s">
        <v>74</v>
      </c>
      <c r="F385" s="27" t="s">
        <v>152</v>
      </c>
      <c r="G385" s="4">
        <v>955.7</v>
      </c>
      <c r="H385" s="4">
        <v>526.4</v>
      </c>
      <c r="I385" s="19">
        <v>23</v>
      </c>
      <c r="J385" s="16">
        <f>'Форма 2'!I1468</f>
        <v>93699.199999999997</v>
      </c>
      <c r="K385" s="4">
        <v>0</v>
      </c>
      <c r="L385" s="4">
        <v>0</v>
      </c>
      <c r="M385" s="4">
        <v>0</v>
      </c>
      <c r="N385" s="4">
        <f t="shared" si="59"/>
        <v>89743.14</v>
      </c>
      <c r="O385" s="4">
        <v>3956.06</v>
      </c>
      <c r="P385" s="4">
        <f t="shared" si="60"/>
        <v>178</v>
      </c>
      <c r="Q385" s="16">
        <f>'Форма 2'!K1468</f>
        <v>260</v>
      </c>
      <c r="R385" s="26" t="s">
        <v>161</v>
      </c>
      <c r="S385" s="5">
        <v>1</v>
      </c>
      <c r="T385" s="1"/>
      <c r="U385" s="97"/>
      <c r="V385" s="3"/>
      <c r="W385" s="3"/>
    </row>
    <row r="386" spans="1:23" s="96" customFormat="1" x14ac:dyDescent="0.35">
      <c r="A386" s="20">
        <f t="shared" si="61"/>
        <v>43</v>
      </c>
      <c r="B386" s="20">
        <v>6250</v>
      </c>
      <c r="C386" s="34" t="s">
        <v>506</v>
      </c>
      <c r="D386" s="20">
        <v>1951</v>
      </c>
      <c r="E386" s="27" t="s">
        <v>74</v>
      </c>
      <c r="F386" s="27" t="s">
        <v>152</v>
      </c>
      <c r="G386" s="4">
        <v>950.8</v>
      </c>
      <c r="H386" s="4">
        <v>520.9</v>
      </c>
      <c r="I386" s="19">
        <v>21</v>
      </c>
      <c r="J386" s="16">
        <f>'Форма 2'!I1470</f>
        <v>92720.2</v>
      </c>
      <c r="K386" s="4">
        <v>0</v>
      </c>
      <c r="L386" s="4">
        <v>0</v>
      </c>
      <c r="M386" s="4">
        <v>0</v>
      </c>
      <c r="N386" s="4">
        <f t="shared" si="59"/>
        <v>88805.47</v>
      </c>
      <c r="O386" s="4">
        <v>3914.73</v>
      </c>
      <c r="P386" s="4">
        <f t="shared" si="60"/>
        <v>178</v>
      </c>
      <c r="Q386" s="16">
        <f>'Форма 2'!K1470</f>
        <v>260</v>
      </c>
      <c r="R386" s="26" t="s">
        <v>161</v>
      </c>
      <c r="S386" s="5">
        <v>1</v>
      </c>
      <c r="T386" s="1"/>
      <c r="V386" s="3"/>
      <c r="W386" s="3"/>
    </row>
    <row r="387" spans="1:23" s="96" customFormat="1" x14ac:dyDescent="0.35">
      <c r="A387" s="20">
        <f t="shared" si="61"/>
        <v>44</v>
      </c>
      <c r="B387" s="20">
        <v>6271</v>
      </c>
      <c r="C387" s="34" t="s">
        <v>507</v>
      </c>
      <c r="D387" s="20">
        <v>1953</v>
      </c>
      <c r="E387" s="27" t="s">
        <v>74</v>
      </c>
      <c r="F387" s="27" t="s">
        <v>152</v>
      </c>
      <c r="G387" s="4">
        <v>1600.5</v>
      </c>
      <c r="H387" s="4">
        <v>1461</v>
      </c>
      <c r="I387" s="19">
        <v>65</v>
      </c>
      <c r="J387" s="16">
        <f>'Форма 2'!I1472</f>
        <v>151084.54</v>
      </c>
      <c r="K387" s="4">
        <v>0</v>
      </c>
      <c r="L387" s="4">
        <v>0</v>
      </c>
      <c r="M387" s="4">
        <v>0</v>
      </c>
      <c r="N387" s="4">
        <f t="shared" si="59"/>
        <v>144474.54999999999</v>
      </c>
      <c r="O387" s="4">
        <v>6609.99</v>
      </c>
      <c r="P387" s="4">
        <f t="shared" si="60"/>
        <v>103.41</v>
      </c>
      <c r="Q387" s="16">
        <f>'Форма 2'!K1472</f>
        <v>252</v>
      </c>
      <c r="R387" s="26" t="s">
        <v>161</v>
      </c>
      <c r="S387" s="5">
        <v>1</v>
      </c>
      <c r="T387" s="1"/>
      <c r="U387" s="97"/>
      <c r="V387" s="3"/>
      <c r="W387" s="3"/>
    </row>
    <row r="388" spans="1:23" s="96" customFormat="1" x14ac:dyDescent="0.35">
      <c r="A388" s="20">
        <f t="shared" si="61"/>
        <v>45</v>
      </c>
      <c r="B388" s="20">
        <v>6282</v>
      </c>
      <c r="C388" s="34" t="s">
        <v>508</v>
      </c>
      <c r="D388" s="20">
        <v>1951</v>
      </c>
      <c r="E388" s="27" t="s">
        <v>74</v>
      </c>
      <c r="F388" s="27" t="s">
        <v>152</v>
      </c>
      <c r="G388" s="4">
        <v>960.4</v>
      </c>
      <c r="H388" s="4">
        <v>532.9</v>
      </c>
      <c r="I388" s="19">
        <v>21</v>
      </c>
      <c r="J388" s="16">
        <f>'Форма 2'!I1474</f>
        <v>93728.56</v>
      </c>
      <c r="K388" s="4">
        <v>0</v>
      </c>
      <c r="L388" s="4">
        <v>0</v>
      </c>
      <c r="M388" s="4">
        <v>0</v>
      </c>
      <c r="N388" s="4">
        <f t="shared" si="59"/>
        <v>89723.65</v>
      </c>
      <c r="O388" s="4">
        <v>4004.91</v>
      </c>
      <c r="P388" s="4">
        <f t="shared" si="60"/>
        <v>175.88</v>
      </c>
      <c r="Q388" s="16">
        <f>'Форма 2'!K1474</f>
        <v>260</v>
      </c>
      <c r="R388" s="26" t="s">
        <v>161</v>
      </c>
      <c r="S388" s="5">
        <v>1</v>
      </c>
      <c r="T388" s="1"/>
      <c r="V388" s="3"/>
      <c r="W388" s="3"/>
    </row>
    <row r="389" spans="1:23" s="96" customFormat="1" x14ac:dyDescent="0.35">
      <c r="A389" s="20">
        <f t="shared" si="61"/>
        <v>46</v>
      </c>
      <c r="B389" s="20">
        <v>6296</v>
      </c>
      <c r="C389" s="34" t="s">
        <v>214</v>
      </c>
      <c r="D389" s="20">
        <v>1953</v>
      </c>
      <c r="E389" s="27" t="s">
        <v>74</v>
      </c>
      <c r="F389" s="27" t="s">
        <v>481</v>
      </c>
      <c r="G389" s="4">
        <v>1600.5</v>
      </c>
      <c r="H389" s="4">
        <v>1473.9</v>
      </c>
      <c r="I389" s="19">
        <v>51</v>
      </c>
      <c r="J389" s="16">
        <f>'Форма 2'!I1476</f>
        <v>4471112.33</v>
      </c>
      <c r="K389" s="4">
        <v>0</v>
      </c>
      <c r="L389" s="4">
        <v>0</v>
      </c>
      <c r="M389" s="4">
        <v>0</v>
      </c>
      <c r="N389" s="4">
        <f t="shared" si="59"/>
        <v>4269470.6900000004</v>
      </c>
      <c r="O389" s="4">
        <v>201641.64</v>
      </c>
      <c r="P389" s="4">
        <f t="shared" si="60"/>
        <v>3033.52</v>
      </c>
      <c r="Q389" s="16">
        <f>'Форма 2'!K1476</f>
        <v>4728</v>
      </c>
      <c r="R389" s="26" t="s">
        <v>161</v>
      </c>
      <c r="S389" s="5">
        <v>1</v>
      </c>
      <c r="T389" s="1"/>
      <c r="V389" s="3"/>
      <c r="W389" s="3"/>
    </row>
    <row r="390" spans="1:23" s="96" customFormat="1" x14ac:dyDescent="0.35">
      <c r="A390" s="20">
        <f t="shared" si="61"/>
        <v>47</v>
      </c>
      <c r="B390" s="20">
        <v>6325</v>
      </c>
      <c r="C390" s="34" t="s">
        <v>825</v>
      </c>
      <c r="D390" s="20">
        <v>1990</v>
      </c>
      <c r="E390" s="27" t="s">
        <v>182</v>
      </c>
      <c r="F390" s="27" t="s">
        <v>183</v>
      </c>
      <c r="G390" s="4">
        <v>5706.5</v>
      </c>
      <c r="H390" s="4">
        <v>4725.2</v>
      </c>
      <c r="I390" s="19">
        <v>179</v>
      </c>
      <c r="J390" s="16">
        <f>'Форма 2'!I1479</f>
        <v>1741104</v>
      </c>
      <c r="K390" s="4">
        <v>0</v>
      </c>
      <c r="L390" s="4">
        <v>0</v>
      </c>
      <c r="M390" s="4">
        <v>0</v>
      </c>
      <c r="N390" s="4">
        <f>J390-K390-L390-M390-O390</f>
        <v>1741104</v>
      </c>
      <c r="O390" s="4">
        <v>0</v>
      </c>
      <c r="P390" s="4">
        <f t="shared" si="60"/>
        <v>368.47</v>
      </c>
      <c r="Q390" s="16">
        <f>'Форма 2'!K1479</f>
        <v>376.21</v>
      </c>
      <c r="R390" s="26" t="s">
        <v>161</v>
      </c>
      <c r="S390" s="5">
        <v>1</v>
      </c>
      <c r="T390" s="1"/>
      <c r="V390" s="3"/>
      <c r="W390" s="3"/>
    </row>
    <row r="391" spans="1:23" s="96" customFormat="1" x14ac:dyDescent="0.35">
      <c r="A391" s="20">
        <f t="shared" si="61"/>
        <v>48</v>
      </c>
      <c r="B391" s="20">
        <v>6341</v>
      </c>
      <c r="C391" s="34" t="s">
        <v>509</v>
      </c>
      <c r="D391" s="20">
        <v>1951</v>
      </c>
      <c r="E391" s="27" t="s">
        <v>74</v>
      </c>
      <c r="F391" s="27" t="s">
        <v>152</v>
      </c>
      <c r="G391" s="4">
        <v>1619.6</v>
      </c>
      <c r="H391" s="4">
        <v>884.5</v>
      </c>
      <c r="I391" s="19">
        <v>46</v>
      </c>
      <c r="J391" s="16">
        <f>'Форма 2'!I1483</f>
        <v>110728.95</v>
      </c>
      <c r="K391" s="4">
        <v>0</v>
      </c>
      <c r="L391" s="4">
        <v>0</v>
      </c>
      <c r="M391" s="4">
        <v>0</v>
      </c>
      <c r="N391" s="4">
        <f t="shared" si="59"/>
        <v>106053.88</v>
      </c>
      <c r="O391" s="4">
        <v>4675.07</v>
      </c>
      <c r="P391" s="4">
        <f t="shared" si="60"/>
        <v>125.19</v>
      </c>
      <c r="Q391" s="16">
        <f>'Форма 2'!K1483</f>
        <v>260</v>
      </c>
      <c r="R391" s="26" t="s">
        <v>161</v>
      </c>
      <c r="S391" s="5">
        <v>1</v>
      </c>
      <c r="T391" s="1"/>
      <c r="V391" s="3"/>
      <c r="W391" s="3"/>
    </row>
    <row r="392" spans="1:23" s="96" customFormat="1" x14ac:dyDescent="0.35">
      <c r="A392" s="20">
        <f t="shared" si="61"/>
        <v>49</v>
      </c>
      <c r="B392" s="20">
        <v>6343</v>
      </c>
      <c r="C392" s="34" t="s">
        <v>220</v>
      </c>
      <c r="D392" s="20">
        <v>1951</v>
      </c>
      <c r="E392" s="27" t="s">
        <v>74</v>
      </c>
      <c r="F392" s="27" t="s">
        <v>155</v>
      </c>
      <c r="G392" s="4">
        <v>964.5</v>
      </c>
      <c r="H392" s="4">
        <v>877.1</v>
      </c>
      <c r="I392" s="19">
        <v>30</v>
      </c>
      <c r="J392" s="16">
        <f>'Форма 2'!I1485</f>
        <v>4892666.28</v>
      </c>
      <c r="K392" s="4">
        <v>0</v>
      </c>
      <c r="L392" s="4">
        <v>0</v>
      </c>
      <c r="M392" s="4">
        <v>0</v>
      </c>
      <c r="N392" s="4">
        <f t="shared" si="59"/>
        <v>4636479.54</v>
      </c>
      <c r="O392" s="4">
        <v>256186.74</v>
      </c>
      <c r="P392" s="4">
        <f t="shared" si="60"/>
        <v>5578.23</v>
      </c>
      <c r="Q392" s="16">
        <f>'Форма 2'!K1485</f>
        <v>7066</v>
      </c>
      <c r="R392" s="26" t="s">
        <v>161</v>
      </c>
      <c r="S392" s="5">
        <v>1</v>
      </c>
      <c r="T392" s="1"/>
      <c r="V392" s="3"/>
      <c r="W392" s="3"/>
    </row>
    <row r="393" spans="1:23" x14ac:dyDescent="0.35">
      <c r="A393" s="20">
        <f t="shared" si="61"/>
        <v>50</v>
      </c>
      <c r="B393" s="20">
        <v>6345</v>
      </c>
      <c r="C393" s="34" t="s">
        <v>510</v>
      </c>
      <c r="D393" s="20">
        <v>1951</v>
      </c>
      <c r="E393" s="27" t="s">
        <v>74</v>
      </c>
      <c r="F393" s="27" t="s">
        <v>152</v>
      </c>
      <c r="G393" s="4">
        <v>977.4</v>
      </c>
      <c r="H393" s="4">
        <v>889.8</v>
      </c>
      <c r="I393" s="19">
        <v>37</v>
      </c>
      <c r="J393" s="16">
        <f>'Форма 2'!I1488</f>
        <v>107863.13</v>
      </c>
      <c r="K393" s="4">
        <v>0</v>
      </c>
      <c r="L393" s="4">
        <v>0</v>
      </c>
      <c r="M393" s="4">
        <v>0</v>
      </c>
      <c r="N393" s="4">
        <f t="shared" si="59"/>
        <v>103309.06</v>
      </c>
      <c r="O393" s="4">
        <v>4554.07</v>
      </c>
      <c r="P393" s="4">
        <f t="shared" si="60"/>
        <v>121.22</v>
      </c>
      <c r="Q393" s="16">
        <f>'Форма 2'!K1488</f>
        <v>260</v>
      </c>
      <c r="R393" s="26" t="s">
        <v>161</v>
      </c>
      <c r="S393" s="5">
        <v>1</v>
      </c>
      <c r="U393" s="96"/>
      <c r="V393" s="3"/>
      <c r="W393" s="3"/>
    </row>
    <row r="394" spans="1:23" s="3" customFormat="1" x14ac:dyDescent="0.35">
      <c r="A394" s="27">
        <f t="shared" si="61"/>
        <v>51</v>
      </c>
      <c r="B394" s="27">
        <v>6351</v>
      </c>
      <c r="C394" s="34" t="s">
        <v>222</v>
      </c>
      <c r="D394" s="27">
        <v>1953</v>
      </c>
      <c r="E394" s="41" t="s">
        <v>178</v>
      </c>
      <c r="F394" s="27" t="s">
        <v>155</v>
      </c>
      <c r="G394" s="35">
        <v>1538</v>
      </c>
      <c r="H394" s="35">
        <v>899.1</v>
      </c>
      <c r="I394" s="36">
        <v>43</v>
      </c>
      <c r="J394" s="35">
        <f>'Форма 2'!I1490</f>
        <v>2702675.38</v>
      </c>
      <c r="K394" s="35">
        <v>0</v>
      </c>
      <c r="L394" s="35">
        <v>0</v>
      </c>
      <c r="M394" s="35">
        <v>0</v>
      </c>
      <c r="N394" s="35">
        <f t="shared" si="59"/>
        <v>2567345.25</v>
      </c>
      <c r="O394" s="35">
        <v>135330.13</v>
      </c>
      <c r="P394" s="35">
        <f t="shared" si="60"/>
        <v>3005.98</v>
      </c>
      <c r="Q394" s="35">
        <f>'Форма 2'!K1490</f>
        <v>3642</v>
      </c>
      <c r="R394" s="95" t="s">
        <v>161</v>
      </c>
      <c r="S394" s="63">
        <v>1</v>
      </c>
      <c r="T394" s="1"/>
      <c r="U394" s="96"/>
    </row>
    <row r="395" spans="1:23" x14ac:dyDescent="0.35">
      <c r="A395" s="20">
        <f t="shared" si="61"/>
        <v>52</v>
      </c>
      <c r="B395" s="20">
        <v>6354</v>
      </c>
      <c r="C395" s="34" t="s">
        <v>223</v>
      </c>
      <c r="D395" s="20">
        <v>1957</v>
      </c>
      <c r="E395" s="27" t="s">
        <v>74</v>
      </c>
      <c r="F395" s="27" t="s">
        <v>481</v>
      </c>
      <c r="G395" s="4">
        <v>4033</v>
      </c>
      <c r="H395" s="4">
        <v>2328</v>
      </c>
      <c r="I395" s="19">
        <v>110</v>
      </c>
      <c r="J395" s="4">
        <f>'Форма 2'!I1497</f>
        <v>5209666.25</v>
      </c>
      <c r="K395" s="4">
        <v>0</v>
      </c>
      <c r="L395" s="4">
        <v>0</v>
      </c>
      <c r="M395" s="4">
        <v>0</v>
      </c>
      <c r="N395" s="4">
        <f t="shared" si="59"/>
        <v>4891176.71</v>
      </c>
      <c r="O395" s="4">
        <v>318489.53999999998</v>
      </c>
      <c r="P395" s="4">
        <f t="shared" si="60"/>
        <v>2237.83</v>
      </c>
      <c r="Q395" s="4">
        <f>'Форма 2'!K1497</f>
        <v>4728</v>
      </c>
      <c r="R395" s="26" t="s">
        <v>161</v>
      </c>
      <c r="S395" s="5">
        <v>1</v>
      </c>
      <c r="U395" s="96"/>
      <c r="V395" s="3"/>
      <c r="W395" s="3"/>
    </row>
    <row r="396" spans="1:23" x14ac:dyDescent="0.35">
      <c r="A396" s="20">
        <f t="shared" si="61"/>
        <v>53</v>
      </c>
      <c r="B396" s="20">
        <v>6356</v>
      </c>
      <c r="C396" s="34" t="s">
        <v>224</v>
      </c>
      <c r="D396" s="20">
        <v>1957</v>
      </c>
      <c r="E396" s="27" t="s">
        <v>74</v>
      </c>
      <c r="F396" s="27" t="s">
        <v>481</v>
      </c>
      <c r="G396" s="4">
        <v>4296</v>
      </c>
      <c r="H396" s="4">
        <v>2350</v>
      </c>
      <c r="I396" s="19">
        <v>107</v>
      </c>
      <c r="J396" s="4">
        <f>'Форма 2'!I1500</f>
        <v>6063951.9199999999</v>
      </c>
      <c r="K396" s="4">
        <v>0</v>
      </c>
      <c r="L396" s="4">
        <v>0</v>
      </c>
      <c r="M396" s="4">
        <v>0</v>
      </c>
      <c r="N396" s="4">
        <f t="shared" si="59"/>
        <v>5742452.5999999996</v>
      </c>
      <c r="O396" s="4">
        <v>321499.32</v>
      </c>
      <c r="P396" s="4">
        <f t="shared" si="60"/>
        <v>2580.41</v>
      </c>
      <c r="Q396" s="4">
        <f>'Форма 2'!K1500</f>
        <v>4728</v>
      </c>
      <c r="R396" s="26" t="s">
        <v>161</v>
      </c>
      <c r="S396" s="5">
        <v>1</v>
      </c>
      <c r="V396" s="3"/>
      <c r="W396" s="3"/>
    </row>
    <row r="397" spans="1:23" x14ac:dyDescent="0.35">
      <c r="A397" s="20">
        <f t="shared" si="61"/>
        <v>54</v>
      </c>
      <c r="B397" s="21">
        <v>6366</v>
      </c>
      <c r="C397" s="34" t="s">
        <v>511</v>
      </c>
      <c r="D397" s="27">
        <v>1967</v>
      </c>
      <c r="E397" s="41" t="s">
        <v>74</v>
      </c>
      <c r="F397" s="27" t="s">
        <v>152</v>
      </c>
      <c r="G397" s="4">
        <v>3386.5</v>
      </c>
      <c r="H397" s="4">
        <v>2500</v>
      </c>
      <c r="I397" s="19">
        <v>122</v>
      </c>
      <c r="J397" s="4">
        <f>'Форма 2'!I1503</f>
        <v>246077.17</v>
      </c>
      <c r="K397" s="4">
        <v>0</v>
      </c>
      <c r="L397" s="4">
        <v>0</v>
      </c>
      <c r="M397" s="4">
        <v>0</v>
      </c>
      <c r="N397" s="4">
        <f>J397-K397-L397-M397-O397</f>
        <v>228766.62</v>
      </c>
      <c r="O397" s="4">
        <v>17310.55</v>
      </c>
      <c r="P397" s="4">
        <f>J397/H397</f>
        <v>98.43</v>
      </c>
      <c r="Q397" s="4">
        <f>'Форма 2'!K1503</f>
        <v>169</v>
      </c>
      <c r="R397" s="26" t="s">
        <v>161</v>
      </c>
      <c r="S397" s="5">
        <v>1</v>
      </c>
      <c r="U397" s="3"/>
      <c r="V397" s="3"/>
      <c r="W397" s="3"/>
    </row>
    <row r="398" spans="1:23" x14ac:dyDescent="0.35">
      <c r="A398" s="20">
        <f t="shared" si="61"/>
        <v>55</v>
      </c>
      <c r="B398" s="20">
        <v>6389</v>
      </c>
      <c r="C398" s="34" t="s">
        <v>512</v>
      </c>
      <c r="D398" s="20">
        <v>1958</v>
      </c>
      <c r="E398" s="27" t="s">
        <v>74</v>
      </c>
      <c r="F398" s="27" t="s">
        <v>160</v>
      </c>
      <c r="G398" s="4">
        <v>4156</v>
      </c>
      <c r="H398" s="4">
        <v>2320</v>
      </c>
      <c r="I398" s="19">
        <v>98</v>
      </c>
      <c r="J398" s="16">
        <f>'Форма 2'!I1505</f>
        <v>3419967.58</v>
      </c>
      <c r="K398" s="4">
        <v>0</v>
      </c>
      <c r="L398" s="4">
        <v>0</v>
      </c>
      <c r="M398" s="4">
        <v>0</v>
      </c>
      <c r="N398" s="4">
        <f t="shared" si="59"/>
        <v>3274877.84</v>
      </c>
      <c r="O398" s="4">
        <v>145089.74</v>
      </c>
      <c r="P398" s="4">
        <f t="shared" si="60"/>
        <v>1474.12</v>
      </c>
      <c r="Q398" s="16">
        <f>'Форма 2'!K1505</f>
        <v>4868</v>
      </c>
      <c r="R398" s="26" t="s">
        <v>493</v>
      </c>
      <c r="S398" s="5">
        <v>1</v>
      </c>
      <c r="V398" s="3"/>
      <c r="W398" s="3"/>
    </row>
    <row r="399" spans="1:23" s="3" customFormat="1" x14ac:dyDescent="0.35">
      <c r="A399" s="27">
        <f t="shared" si="61"/>
        <v>56</v>
      </c>
      <c r="B399" s="27">
        <v>6392</v>
      </c>
      <c r="C399" s="34" t="s">
        <v>513</v>
      </c>
      <c r="D399" s="27">
        <v>1958</v>
      </c>
      <c r="E399" s="27" t="s">
        <v>178</v>
      </c>
      <c r="F399" s="27" t="s">
        <v>160</v>
      </c>
      <c r="G399" s="35">
        <v>5405</v>
      </c>
      <c r="H399" s="35">
        <v>2953.7</v>
      </c>
      <c r="I399" s="36">
        <v>91</v>
      </c>
      <c r="J399" s="41">
        <f>'Форма 2'!I1508</f>
        <v>3685922.23</v>
      </c>
      <c r="K399" s="35">
        <v>0</v>
      </c>
      <c r="L399" s="35">
        <v>0</v>
      </c>
      <c r="M399" s="35">
        <v>0</v>
      </c>
      <c r="N399" s="35">
        <f t="shared" si="59"/>
        <v>3570654.88</v>
      </c>
      <c r="O399" s="35">
        <v>115267.35</v>
      </c>
      <c r="P399" s="35">
        <f t="shared" si="60"/>
        <v>1247.9000000000001</v>
      </c>
      <c r="Q399" s="41">
        <f>'Форма 2'!K1508</f>
        <v>3742</v>
      </c>
      <c r="R399" s="95" t="s">
        <v>493</v>
      </c>
      <c r="S399" s="63">
        <v>1</v>
      </c>
      <c r="T399" s="1"/>
      <c r="U399" s="1"/>
    </row>
    <row r="400" spans="1:23" x14ac:dyDescent="0.35">
      <c r="A400" s="20">
        <f t="shared" si="61"/>
        <v>57</v>
      </c>
      <c r="B400" s="20">
        <v>6394</v>
      </c>
      <c r="C400" s="34" t="s">
        <v>514</v>
      </c>
      <c r="D400" s="20">
        <v>1958</v>
      </c>
      <c r="E400" s="27" t="s">
        <v>74</v>
      </c>
      <c r="F400" s="27" t="s">
        <v>160</v>
      </c>
      <c r="G400" s="4">
        <v>3388</v>
      </c>
      <c r="H400" s="4">
        <v>2015.8</v>
      </c>
      <c r="I400" s="19">
        <v>90</v>
      </c>
      <c r="J400" s="16">
        <f>'[1]форма 1'!$J$117</f>
        <v>2066707.89</v>
      </c>
      <c r="K400" s="4">
        <v>0</v>
      </c>
      <c r="L400" s="4">
        <v>0</v>
      </c>
      <c r="M400" s="4">
        <v>0</v>
      </c>
      <c r="N400" s="4">
        <f t="shared" si="59"/>
        <v>1939925.24</v>
      </c>
      <c r="O400" s="4">
        <v>126782.65</v>
      </c>
      <c r="P400" s="4">
        <f t="shared" si="60"/>
        <v>1025.25</v>
      </c>
      <c r="Q400" s="16">
        <f>'Форма 2'!K1515</f>
        <v>4868</v>
      </c>
      <c r="R400" s="26" t="s">
        <v>493</v>
      </c>
      <c r="S400" s="5">
        <v>1</v>
      </c>
      <c r="V400" s="3"/>
      <c r="W400" s="3"/>
    </row>
    <row r="401" spans="1:23" x14ac:dyDescent="0.35">
      <c r="A401" s="20">
        <f t="shared" si="61"/>
        <v>58</v>
      </c>
      <c r="B401" s="21">
        <v>6397</v>
      </c>
      <c r="C401" s="34" t="s">
        <v>515</v>
      </c>
      <c r="D401" s="27">
        <v>1959</v>
      </c>
      <c r="E401" s="41" t="s">
        <v>74</v>
      </c>
      <c r="F401" s="27" t="s">
        <v>152</v>
      </c>
      <c r="G401" s="98">
        <v>3760</v>
      </c>
      <c r="H401" s="4">
        <v>2127</v>
      </c>
      <c r="I401" s="19">
        <v>74</v>
      </c>
      <c r="J401" s="16">
        <f>'Форма 2'!I1518</f>
        <v>202895.74</v>
      </c>
      <c r="K401" s="4">
        <v>0</v>
      </c>
      <c r="L401" s="4">
        <v>0</v>
      </c>
      <c r="M401" s="4">
        <v>0</v>
      </c>
      <c r="N401" s="4">
        <f>J401-K401-L401-M401-O401</f>
        <v>188167.93</v>
      </c>
      <c r="O401" s="4">
        <v>14727.81</v>
      </c>
      <c r="P401" s="4">
        <f>J401/H401</f>
        <v>95.39</v>
      </c>
      <c r="Q401" s="16">
        <f>'Форма 2'!K1518</f>
        <v>239</v>
      </c>
      <c r="R401" s="26" t="s">
        <v>161</v>
      </c>
      <c r="S401" s="5">
        <v>1</v>
      </c>
      <c r="V401" s="3"/>
      <c r="W401" s="3"/>
    </row>
    <row r="402" spans="1:23" x14ac:dyDescent="0.35">
      <c r="A402" s="20">
        <f t="shared" si="61"/>
        <v>59</v>
      </c>
      <c r="B402" s="21">
        <v>6406</v>
      </c>
      <c r="C402" s="34" t="s">
        <v>516</v>
      </c>
      <c r="D402" s="27">
        <v>1972</v>
      </c>
      <c r="E402" s="41" t="s">
        <v>74</v>
      </c>
      <c r="F402" s="27" t="s">
        <v>152</v>
      </c>
      <c r="G402" s="98">
        <v>5695.12</v>
      </c>
      <c r="H402" s="4">
        <v>4336.58</v>
      </c>
      <c r="I402" s="19">
        <v>251</v>
      </c>
      <c r="J402" s="16">
        <f>'Форма 2'!I1520</f>
        <v>578770.49</v>
      </c>
      <c r="K402" s="4">
        <v>0</v>
      </c>
      <c r="L402" s="4">
        <v>0</v>
      </c>
      <c r="M402" s="4">
        <v>0</v>
      </c>
      <c r="N402" s="4">
        <f>J402-K402-L402-M402-O402</f>
        <v>548743.06000000006</v>
      </c>
      <c r="O402" s="4">
        <v>30027.43</v>
      </c>
      <c r="P402" s="4">
        <f>J402/H402</f>
        <v>133.46</v>
      </c>
      <c r="Q402" s="16">
        <f>'Форма 2'!K1520</f>
        <v>169</v>
      </c>
      <c r="R402" s="26" t="s">
        <v>161</v>
      </c>
      <c r="S402" s="5">
        <v>1</v>
      </c>
      <c r="U402" s="3"/>
      <c r="V402" s="3"/>
      <c r="W402" s="3"/>
    </row>
    <row r="403" spans="1:23" x14ac:dyDescent="0.35">
      <c r="A403" s="20">
        <f t="shared" si="61"/>
        <v>60</v>
      </c>
      <c r="B403" s="20">
        <v>6420</v>
      </c>
      <c r="C403" s="34" t="s">
        <v>226</v>
      </c>
      <c r="D403" s="20">
        <v>1955</v>
      </c>
      <c r="E403" s="27" t="s">
        <v>74</v>
      </c>
      <c r="F403" s="27" t="s">
        <v>481</v>
      </c>
      <c r="G403" s="4">
        <v>882</v>
      </c>
      <c r="H403" s="4">
        <v>486</v>
      </c>
      <c r="I403" s="19">
        <v>33</v>
      </c>
      <c r="J403" s="16">
        <f>'Форма 2'!I1522</f>
        <v>2341736.08</v>
      </c>
      <c r="K403" s="4">
        <v>0</v>
      </c>
      <c r="L403" s="4">
        <v>0</v>
      </c>
      <c r="M403" s="4">
        <v>0</v>
      </c>
      <c r="N403" s="4">
        <f t="shared" si="59"/>
        <v>2242369.16</v>
      </c>
      <c r="O403" s="4">
        <v>99366.92</v>
      </c>
      <c r="P403" s="4">
        <f t="shared" si="60"/>
        <v>4818.3900000000003</v>
      </c>
      <c r="Q403" s="16">
        <f>'Форма 2'!K1522</f>
        <v>7066</v>
      </c>
      <c r="R403" s="26" t="s">
        <v>161</v>
      </c>
      <c r="S403" s="5">
        <v>1</v>
      </c>
      <c r="V403" s="3"/>
      <c r="W403" s="3"/>
    </row>
    <row r="404" spans="1:23" x14ac:dyDescent="0.35">
      <c r="A404" s="20">
        <f t="shared" si="61"/>
        <v>61</v>
      </c>
      <c r="B404" s="20">
        <v>6421</v>
      </c>
      <c r="C404" s="34" t="s">
        <v>517</v>
      </c>
      <c r="D404" s="20">
        <v>1954</v>
      </c>
      <c r="E404" s="27" t="s">
        <v>504</v>
      </c>
      <c r="F404" s="27" t="s">
        <v>152</v>
      </c>
      <c r="G404" s="4">
        <v>898</v>
      </c>
      <c r="H404" s="4">
        <v>491.4</v>
      </c>
      <c r="I404" s="19">
        <v>27</v>
      </c>
      <c r="J404" s="16">
        <f>'Форма 2'!I1525</f>
        <v>146260.17000000001</v>
      </c>
      <c r="K404" s="4">
        <v>0</v>
      </c>
      <c r="L404" s="4">
        <v>0</v>
      </c>
      <c r="M404" s="4">
        <v>0</v>
      </c>
      <c r="N404" s="4">
        <f t="shared" si="59"/>
        <v>140056.72</v>
      </c>
      <c r="O404" s="4">
        <v>6203.45</v>
      </c>
      <c r="P404" s="4">
        <f t="shared" si="60"/>
        <v>297.64</v>
      </c>
      <c r="Q404" s="16">
        <f>'Форма 2'!K1525</f>
        <v>412</v>
      </c>
      <c r="R404" s="26" t="s">
        <v>161</v>
      </c>
      <c r="S404" s="5">
        <v>1</v>
      </c>
      <c r="V404" s="3"/>
      <c r="W404" s="3"/>
    </row>
    <row r="405" spans="1:23" x14ac:dyDescent="0.35">
      <c r="A405" s="20">
        <f t="shared" si="61"/>
        <v>62</v>
      </c>
      <c r="B405" s="20">
        <v>6447</v>
      </c>
      <c r="C405" s="34" t="s">
        <v>518</v>
      </c>
      <c r="D405" s="20">
        <v>1958</v>
      </c>
      <c r="E405" s="27" t="s">
        <v>74</v>
      </c>
      <c r="F405" s="27" t="s">
        <v>152</v>
      </c>
      <c r="G405" s="4">
        <v>7156</v>
      </c>
      <c r="H405" s="4">
        <v>4297.8</v>
      </c>
      <c r="I405" s="19">
        <v>193</v>
      </c>
      <c r="J405" s="16">
        <f>'Форма 2'!I1528</f>
        <v>270455.53000000003</v>
      </c>
      <c r="K405" s="4">
        <v>0</v>
      </c>
      <c r="L405" s="4">
        <v>0</v>
      </c>
      <c r="M405" s="4">
        <v>0</v>
      </c>
      <c r="N405" s="4">
        <f t="shared" si="59"/>
        <v>257197.89</v>
      </c>
      <c r="O405" s="4">
        <v>13257.64</v>
      </c>
      <c r="P405" s="4">
        <f t="shared" si="60"/>
        <v>62.93</v>
      </c>
      <c r="Q405" s="16">
        <f>'Форма 2'!K1529</f>
        <v>239</v>
      </c>
      <c r="R405" s="26" t="s">
        <v>161</v>
      </c>
      <c r="S405" s="5">
        <v>1</v>
      </c>
      <c r="V405" s="3"/>
      <c r="W405" s="3"/>
    </row>
    <row r="406" spans="1:23" x14ac:dyDescent="0.35">
      <c r="A406" s="20">
        <f t="shared" si="61"/>
        <v>63</v>
      </c>
      <c r="B406" s="21">
        <v>6452</v>
      </c>
      <c r="C406" s="34" t="s">
        <v>519</v>
      </c>
      <c r="D406" s="20">
        <v>1958</v>
      </c>
      <c r="E406" s="27" t="s">
        <v>74</v>
      </c>
      <c r="F406" s="27" t="s">
        <v>152</v>
      </c>
      <c r="G406" s="4">
        <v>5213</v>
      </c>
      <c r="H406" s="4">
        <v>2935.1</v>
      </c>
      <c r="I406" s="19">
        <v>129</v>
      </c>
      <c r="J406" s="16">
        <f>'Форма 2'!I1530</f>
        <v>230413</v>
      </c>
      <c r="K406" s="4">
        <v>0</v>
      </c>
      <c r="L406" s="4">
        <v>0</v>
      </c>
      <c r="M406" s="4">
        <v>0</v>
      </c>
      <c r="N406" s="4">
        <f>J406-K406-L406-M406-O406</f>
        <v>210089.72</v>
      </c>
      <c r="O406" s="4">
        <v>20323.28</v>
      </c>
      <c r="P406" s="4">
        <f t="shared" si="60"/>
        <v>78.5</v>
      </c>
      <c r="Q406" s="16">
        <f>'Форма 2'!K1530</f>
        <v>239</v>
      </c>
      <c r="R406" s="26" t="s">
        <v>161</v>
      </c>
      <c r="S406" s="5">
        <v>1</v>
      </c>
      <c r="V406" s="3"/>
      <c r="W406" s="3"/>
    </row>
    <row r="407" spans="1:23" x14ac:dyDescent="0.35">
      <c r="A407" s="20">
        <f t="shared" si="61"/>
        <v>64</v>
      </c>
      <c r="B407" s="20">
        <v>6453</v>
      </c>
      <c r="C407" s="34" t="s">
        <v>520</v>
      </c>
      <c r="D407" s="20">
        <v>1958</v>
      </c>
      <c r="E407" s="27" t="s">
        <v>74</v>
      </c>
      <c r="F407" s="27" t="s">
        <v>152</v>
      </c>
      <c r="G407" s="4">
        <v>5255</v>
      </c>
      <c r="H407" s="4">
        <v>2955.7</v>
      </c>
      <c r="I407" s="19">
        <v>109</v>
      </c>
      <c r="J407" s="16">
        <f>'Форма 2'!I1532</f>
        <v>233239.82</v>
      </c>
      <c r="K407" s="4">
        <v>0</v>
      </c>
      <c r="L407" s="4">
        <v>0</v>
      </c>
      <c r="M407" s="4">
        <v>0</v>
      </c>
      <c r="N407" s="4">
        <f t="shared" si="59"/>
        <v>212773.9</v>
      </c>
      <c r="O407" s="4">
        <v>20465.919999999998</v>
      </c>
      <c r="P407" s="4">
        <f t="shared" si="60"/>
        <v>78.91</v>
      </c>
      <c r="Q407" s="16">
        <f>'Форма 2'!K1532</f>
        <v>239</v>
      </c>
      <c r="R407" s="26" t="s">
        <v>161</v>
      </c>
      <c r="S407" s="5">
        <v>1</v>
      </c>
      <c r="V407" s="3"/>
      <c r="W407" s="3"/>
    </row>
    <row r="408" spans="1:23" x14ac:dyDescent="0.35">
      <c r="A408" s="20">
        <f t="shared" si="61"/>
        <v>65</v>
      </c>
      <c r="B408" s="20">
        <v>6461</v>
      </c>
      <c r="C408" s="34" t="s">
        <v>521</v>
      </c>
      <c r="D408" s="20">
        <v>1955</v>
      </c>
      <c r="E408" s="27" t="s">
        <v>74</v>
      </c>
      <c r="F408" s="27" t="s">
        <v>152</v>
      </c>
      <c r="G408" s="4">
        <v>975</v>
      </c>
      <c r="H408" s="4">
        <v>483.4</v>
      </c>
      <c r="I408" s="19">
        <v>38</v>
      </c>
      <c r="J408" s="16">
        <f>'Форма 2'!I1534</f>
        <v>86045.2</v>
      </c>
      <c r="K408" s="4">
        <v>0</v>
      </c>
      <c r="L408" s="4">
        <v>0</v>
      </c>
      <c r="M408" s="4">
        <v>0</v>
      </c>
      <c r="N408" s="4">
        <f t="shared" si="59"/>
        <v>82412.3</v>
      </c>
      <c r="O408" s="4">
        <v>3632.9</v>
      </c>
      <c r="P408" s="4">
        <f t="shared" si="60"/>
        <v>178</v>
      </c>
      <c r="Q408" s="16">
        <f>'Форма 2'!K1534</f>
        <v>260</v>
      </c>
      <c r="R408" s="26" t="s">
        <v>161</v>
      </c>
      <c r="S408" s="5">
        <v>1</v>
      </c>
      <c r="V408" s="3"/>
      <c r="W408" s="3"/>
    </row>
    <row r="409" spans="1:23" x14ac:dyDescent="0.35">
      <c r="A409" s="20">
        <f>A408+1</f>
        <v>66</v>
      </c>
      <c r="B409" s="20">
        <v>6480</v>
      </c>
      <c r="C409" s="34" t="s">
        <v>522</v>
      </c>
      <c r="D409" s="20">
        <v>1954</v>
      </c>
      <c r="E409" s="27" t="s">
        <v>504</v>
      </c>
      <c r="F409" s="27" t="s">
        <v>152</v>
      </c>
      <c r="G409" s="4">
        <v>1861</v>
      </c>
      <c r="H409" s="4">
        <v>402.4</v>
      </c>
      <c r="I409" s="19">
        <v>24</v>
      </c>
      <c r="J409" s="16">
        <f>'Форма 2'!I1536</f>
        <v>120317.6</v>
      </c>
      <c r="K409" s="4">
        <v>0</v>
      </c>
      <c r="L409" s="4">
        <v>0</v>
      </c>
      <c r="M409" s="4">
        <v>0</v>
      </c>
      <c r="N409" s="4">
        <f>J409-K409-L409-M409-O409</f>
        <v>115237.69</v>
      </c>
      <c r="O409" s="4">
        <v>5079.91</v>
      </c>
      <c r="P409" s="4">
        <f t="shared" ref="P409:P416" si="62">J409/H409</f>
        <v>299</v>
      </c>
      <c r="Q409" s="16">
        <f>'Форма 2'!K1536</f>
        <v>412</v>
      </c>
      <c r="R409" s="26" t="s">
        <v>161</v>
      </c>
      <c r="S409" s="5">
        <v>1</v>
      </c>
      <c r="V409" s="3"/>
      <c r="W409" s="3"/>
    </row>
    <row r="410" spans="1:23" s="3" customFormat="1" ht="31" x14ac:dyDescent="0.35">
      <c r="A410" s="27">
        <f t="shared" si="61"/>
        <v>67</v>
      </c>
      <c r="B410" s="27">
        <v>6482</v>
      </c>
      <c r="C410" s="34" t="s">
        <v>228</v>
      </c>
      <c r="D410" s="27">
        <v>1955</v>
      </c>
      <c r="E410" s="41" t="s">
        <v>770</v>
      </c>
      <c r="F410" s="27" t="s">
        <v>155</v>
      </c>
      <c r="G410" s="35">
        <v>1442</v>
      </c>
      <c r="H410" s="35">
        <v>892.1</v>
      </c>
      <c r="I410" s="36">
        <v>58</v>
      </c>
      <c r="J410" s="41">
        <f>'Форма 2'!I1539</f>
        <v>3299505.42</v>
      </c>
      <c r="K410" s="35">
        <v>0</v>
      </c>
      <c r="L410" s="35">
        <v>0</v>
      </c>
      <c r="M410" s="35">
        <v>0</v>
      </c>
      <c r="N410" s="35">
        <f>J410-K410-L410-M410-O410</f>
        <v>3160197.49</v>
      </c>
      <c r="O410" s="35">
        <v>139307.93</v>
      </c>
      <c r="P410" s="35">
        <f t="shared" si="62"/>
        <v>3698.58</v>
      </c>
      <c r="Q410" s="41">
        <f>'Форма 2'!K1539</f>
        <v>4843</v>
      </c>
      <c r="R410" s="95" t="s">
        <v>161</v>
      </c>
      <c r="S410" s="63">
        <v>1</v>
      </c>
      <c r="T410" s="1"/>
      <c r="U410" s="1"/>
    </row>
    <row r="411" spans="1:23" x14ac:dyDescent="0.35">
      <c r="A411" s="20">
        <f t="shared" si="61"/>
        <v>68</v>
      </c>
      <c r="B411" s="21">
        <v>6496</v>
      </c>
      <c r="C411" s="34" t="s">
        <v>523</v>
      </c>
      <c r="D411" s="27">
        <v>1966</v>
      </c>
      <c r="E411" s="41" t="s">
        <v>74</v>
      </c>
      <c r="F411" s="27" t="s">
        <v>152</v>
      </c>
      <c r="G411" s="98">
        <v>5542.5</v>
      </c>
      <c r="H411" s="4">
        <v>3824.9</v>
      </c>
      <c r="I411" s="19">
        <v>198</v>
      </c>
      <c r="J411" s="16">
        <f>'Форма 2'!I1548</f>
        <v>274741.08</v>
      </c>
      <c r="K411" s="4">
        <v>0</v>
      </c>
      <c r="L411" s="4">
        <v>0</v>
      </c>
      <c r="M411" s="4">
        <v>0</v>
      </c>
      <c r="N411" s="4">
        <f>J411-K411-L411-M411-O411</f>
        <v>248256.63</v>
      </c>
      <c r="O411" s="4">
        <v>26484.45</v>
      </c>
      <c r="P411" s="4">
        <f t="shared" si="62"/>
        <v>71.83</v>
      </c>
      <c r="Q411" s="16">
        <f>'Форма 2'!K1548</f>
        <v>169</v>
      </c>
      <c r="R411" s="26" t="s">
        <v>161</v>
      </c>
      <c r="S411" s="5">
        <v>1</v>
      </c>
      <c r="V411" s="3"/>
      <c r="W411" s="3"/>
    </row>
    <row r="412" spans="1:23" x14ac:dyDescent="0.35">
      <c r="A412" s="20">
        <f t="shared" si="61"/>
        <v>69</v>
      </c>
      <c r="B412" s="20">
        <v>6550</v>
      </c>
      <c r="C412" s="34" t="s">
        <v>229</v>
      </c>
      <c r="D412" s="20">
        <v>1957</v>
      </c>
      <c r="E412" s="27" t="s">
        <v>230</v>
      </c>
      <c r="F412" s="27" t="s">
        <v>160</v>
      </c>
      <c r="G412" s="4">
        <v>531.6</v>
      </c>
      <c r="H412" s="4">
        <v>485.6</v>
      </c>
      <c r="I412" s="19">
        <v>27</v>
      </c>
      <c r="J412" s="16">
        <f>'Форма 2'!I1550</f>
        <v>1023660.5</v>
      </c>
      <c r="K412" s="4">
        <v>0</v>
      </c>
      <c r="L412" s="4">
        <v>0</v>
      </c>
      <c r="M412" s="4">
        <v>0</v>
      </c>
      <c r="N412" s="4">
        <f>J412-K412-L412-M412-O412</f>
        <v>987611.05</v>
      </c>
      <c r="O412" s="4">
        <v>36049.449999999997</v>
      </c>
      <c r="P412" s="4">
        <f t="shared" si="62"/>
        <v>2108.0300000000002</v>
      </c>
      <c r="Q412" s="16">
        <f>'Форма 2'!K1550</f>
        <v>5909</v>
      </c>
      <c r="R412" s="42" t="s">
        <v>493</v>
      </c>
      <c r="S412" s="5">
        <v>1</v>
      </c>
      <c r="V412" s="3"/>
      <c r="W412" s="3"/>
    </row>
    <row r="413" spans="1:23" s="3" customFormat="1" x14ac:dyDescent="0.35">
      <c r="A413" s="20">
        <f t="shared" ref="A413" si="63">A412+1</f>
        <v>70</v>
      </c>
      <c r="B413" s="27">
        <v>6514</v>
      </c>
      <c r="C413" s="34" t="s">
        <v>231</v>
      </c>
      <c r="D413" s="27">
        <v>1957</v>
      </c>
      <c r="E413" s="41" t="s">
        <v>178</v>
      </c>
      <c r="F413" s="27" t="s">
        <v>155</v>
      </c>
      <c r="G413" s="35">
        <v>481.3</v>
      </c>
      <c r="H413" s="35">
        <v>432.5</v>
      </c>
      <c r="I413" s="36">
        <v>19</v>
      </c>
      <c r="J413" s="41">
        <f>'Форма 2'!I1553</f>
        <v>1541862.5</v>
      </c>
      <c r="K413" s="35">
        <v>0</v>
      </c>
      <c r="L413" s="35">
        <v>0</v>
      </c>
      <c r="M413" s="35">
        <v>0</v>
      </c>
      <c r="N413" s="35">
        <f t="shared" si="59"/>
        <v>1476763.75</v>
      </c>
      <c r="O413" s="35">
        <v>65098.75</v>
      </c>
      <c r="P413" s="35">
        <f t="shared" si="62"/>
        <v>3565</v>
      </c>
      <c r="Q413" s="41">
        <f>'Форма 2'!K1553</f>
        <v>3642</v>
      </c>
      <c r="R413" s="95" t="s">
        <v>161</v>
      </c>
      <c r="S413" s="63">
        <v>1</v>
      </c>
      <c r="T413" s="1"/>
      <c r="U413" s="1"/>
    </row>
    <row r="414" spans="1:23" s="3" customFormat="1" x14ac:dyDescent="0.35">
      <c r="A414" s="27">
        <f>A413+1</f>
        <v>71</v>
      </c>
      <c r="B414" s="27">
        <v>6516</v>
      </c>
      <c r="C414" s="34" t="s">
        <v>232</v>
      </c>
      <c r="D414" s="27">
        <v>1957</v>
      </c>
      <c r="E414" s="41" t="s">
        <v>178</v>
      </c>
      <c r="F414" s="27" t="s">
        <v>155</v>
      </c>
      <c r="G414" s="35">
        <v>471.9</v>
      </c>
      <c r="H414" s="35">
        <v>424.9</v>
      </c>
      <c r="I414" s="36">
        <v>17</v>
      </c>
      <c r="J414" s="41">
        <f>'Форма 2'!I1560</f>
        <v>1514768.5</v>
      </c>
      <c r="K414" s="35">
        <v>0</v>
      </c>
      <c r="L414" s="35">
        <v>0</v>
      </c>
      <c r="M414" s="35">
        <v>0</v>
      </c>
      <c r="N414" s="35">
        <f t="shared" si="59"/>
        <v>1450813.69</v>
      </c>
      <c r="O414" s="35">
        <v>63954.81</v>
      </c>
      <c r="P414" s="35">
        <f t="shared" si="62"/>
        <v>3565</v>
      </c>
      <c r="Q414" s="41">
        <f>'Форма 2'!K1560</f>
        <v>3642</v>
      </c>
      <c r="R414" s="95" t="s">
        <v>161</v>
      </c>
      <c r="S414" s="63">
        <v>1</v>
      </c>
      <c r="T414" s="1"/>
      <c r="U414" s="1"/>
    </row>
    <row r="415" spans="1:23" s="3" customFormat="1" x14ac:dyDescent="0.35">
      <c r="A415" s="27">
        <f>A414+1</f>
        <v>72</v>
      </c>
      <c r="B415" s="27">
        <v>6517</v>
      </c>
      <c r="C415" s="34" t="s">
        <v>233</v>
      </c>
      <c r="D415" s="27">
        <v>1956</v>
      </c>
      <c r="E415" s="41" t="s">
        <v>702</v>
      </c>
      <c r="F415" s="27" t="s">
        <v>155</v>
      </c>
      <c r="G415" s="35">
        <v>341.69</v>
      </c>
      <c r="H415" s="35">
        <v>315.08999999999997</v>
      </c>
      <c r="I415" s="36">
        <v>18</v>
      </c>
      <c r="J415" s="41">
        <f>'Форма 2'!I1567</f>
        <v>909743.18</v>
      </c>
      <c r="K415" s="35">
        <v>0</v>
      </c>
      <c r="L415" s="35">
        <v>0</v>
      </c>
      <c r="M415" s="35">
        <v>0</v>
      </c>
      <c r="N415" s="35">
        <f t="shared" si="59"/>
        <v>861970.79</v>
      </c>
      <c r="O415" s="35">
        <v>47772.39</v>
      </c>
      <c r="P415" s="35">
        <f t="shared" si="62"/>
        <v>2887.25</v>
      </c>
      <c r="Q415" s="41">
        <f>'Форма 2'!K1567</f>
        <v>3669</v>
      </c>
      <c r="R415" s="95" t="s">
        <v>161</v>
      </c>
      <c r="S415" s="63">
        <v>1</v>
      </c>
      <c r="T415" s="1"/>
      <c r="U415" s="1"/>
    </row>
    <row r="416" spans="1:23" s="3" customFormat="1" x14ac:dyDescent="0.35">
      <c r="A416" s="27">
        <f>A415+1</f>
        <v>73</v>
      </c>
      <c r="B416" s="27">
        <v>6524</v>
      </c>
      <c r="C416" s="34" t="s">
        <v>234</v>
      </c>
      <c r="D416" s="27">
        <v>1930</v>
      </c>
      <c r="E416" s="27" t="s">
        <v>235</v>
      </c>
      <c r="F416" s="27" t="s">
        <v>698</v>
      </c>
      <c r="G416" s="35">
        <v>675.65</v>
      </c>
      <c r="H416" s="35">
        <v>536.63</v>
      </c>
      <c r="I416" s="36">
        <v>38</v>
      </c>
      <c r="J416" s="41">
        <f>'Форма 2'!I1574</f>
        <v>1099876.1599999999</v>
      </c>
      <c r="K416" s="35">
        <v>0</v>
      </c>
      <c r="L416" s="35">
        <v>0</v>
      </c>
      <c r="M416" s="35">
        <v>0</v>
      </c>
      <c r="N416" s="35">
        <f t="shared" si="59"/>
        <v>1038906.24</v>
      </c>
      <c r="O416" s="35">
        <v>60969.919999999998</v>
      </c>
      <c r="P416" s="35">
        <f t="shared" si="62"/>
        <v>2049.6</v>
      </c>
      <c r="Q416" s="41">
        <f>'Форма 2'!K1574</f>
        <v>2749</v>
      </c>
      <c r="R416" s="95" t="s">
        <v>161</v>
      </c>
      <c r="S416" s="63">
        <v>1</v>
      </c>
      <c r="T416" s="1"/>
    </row>
    <row r="417" spans="1:23" x14ac:dyDescent="0.35">
      <c r="A417" s="233" t="s">
        <v>46</v>
      </c>
      <c r="B417" s="234"/>
      <c r="C417" s="235"/>
      <c r="D417" s="18" t="s">
        <v>13</v>
      </c>
      <c r="E417" s="4" t="s">
        <v>13</v>
      </c>
      <c r="F417" s="4" t="s">
        <v>13</v>
      </c>
      <c r="G417" s="4">
        <f>SUM(G418:G438)</f>
        <v>83148.800000000003</v>
      </c>
      <c r="H417" s="4">
        <f t="shared" ref="H417:O417" si="64">SUM(H418:H438)</f>
        <v>69349.05</v>
      </c>
      <c r="I417" s="19">
        <f t="shared" si="64"/>
        <v>2785</v>
      </c>
      <c r="J417" s="4">
        <f t="shared" si="64"/>
        <v>79303067.349999994</v>
      </c>
      <c r="K417" s="4">
        <f t="shared" si="64"/>
        <v>0</v>
      </c>
      <c r="L417" s="4">
        <f t="shared" si="64"/>
        <v>0</v>
      </c>
      <c r="M417" s="4">
        <f t="shared" si="64"/>
        <v>0</v>
      </c>
      <c r="N417" s="4">
        <f t="shared" si="64"/>
        <v>76529761.510000005</v>
      </c>
      <c r="O417" s="4">
        <f t="shared" si="64"/>
        <v>2773305.84</v>
      </c>
      <c r="P417" s="4" t="s">
        <v>13</v>
      </c>
      <c r="Q417" s="4" t="s">
        <v>13</v>
      </c>
      <c r="R417" s="4" t="s">
        <v>13</v>
      </c>
      <c r="S417" s="19" t="s">
        <v>13</v>
      </c>
      <c r="U417" s="3"/>
    </row>
    <row r="418" spans="1:23" s="3" customFormat="1" ht="31" x14ac:dyDescent="0.35">
      <c r="A418" s="68">
        <v>1</v>
      </c>
      <c r="B418" s="28">
        <v>5072</v>
      </c>
      <c r="C418" s="69" t="s">
        <v>794</v>
      </c>
      <c r="D418" s="27">
        <v>1979</v>
      </c>
      <c r="E418" s="27" t="s">
        <v>366</v>
      </c>
      <c r="F418" s="27" t="s">
        <v>152</v>
      </c>
      <c r="G418" s="85">
        <v>3478.9</v>
      </c>
      <c r="H418" s="35">
        <v>3100.9</v>
      </c>
      <c r="I418" s="99">
        <v>117</v>
      </c>
      <c r="J418" s="35">
        <f>'Форма 2'!I1578</f>
        <v>398075.83</v>
      </c>
      <c r="K418" s="35">
        <v>0</v>
      </c>
      <c r="L418" s="86">
        <v>0</v>
      </c>
      <c r="M418" s="86">
        <v>0</v>
      </c>
      <c r="N418" s="35">
        <f>J418-K418-L418-M418-O418</f>
        <v>378424.28</v>
      </c>
      <c r="O418" s="35">
        <v>19651.55</v>
      </c>
      <c r="P418" s="35">
        <f>J418/H418</f>
        <v>128.37</v>
      </c>
      <c r="Q418" s="41">
        <f>'Форма 2'!K1578</f>
        <v>177</v>
      </c>
      <c r="R418" s="87" t="s">
        <v>161</v>
      </c>
      <c r="S418" s="27">
        <v>1</v>
      </c>
      <c r="T418" s="1"/>
    </row>
    <row r="419" spans="1:23" s="3" customFormat="1" ht="31" x14ac:dyDescent="0.35">
      <c r="A419" s="46">
        <f>A418+1</f>
        <v>2</v>
      </c>
      <c r="B419" s="28">
        <v>5098</v>
      </c>
      <c r="C419" s="48" t="s">
        <v>795</v>
      </c>
      <c r="D419" s="46">
        <v>1972</v>
      </c>
      <c r="E419" s="46" t="s">
        <v>771</v>
      </c>
      <c r="F419" s="46" t="s">
        <v>152</v>
      </c>
      <c r="G419" s="85">
        <v>396.5</v>
      </c>
      <c r="H419" s="35">
        <v>374.5</v>
      </c>
      <c r="I419" s="99">
        <v>23</v>
      </c>
      <c r="J419" s="35">
        <f>'Форма 2'!I1583</f>
        <v>147553</v>
      </c>
      <c r="K419" s="86">
        <v>0</v>
      </c>
      <c r="L419" s="86">
        <v>0</v>
      </c>
      <c r="M419" s="86">
        <v>0</v>
      </c>
      <c r="N419" s="35">
        <f>J419-K419-L419-M419-O419</f>
        <v>142524.48000000001</v>
      </c>
      <c r="O419" s="35">
        <v>5028.5200000000004</v>
      </c>
      <c r="P419" s="35">
        <f t="shared" ref="P419:P438" si="65">J419/H419</f>
        <v>394</v>
      </c>
      <c r="Q419" s="35">
        <f>'Форма 2'!K1583</f>
        <v>394</v>
      </c>
      <c r="R419" s="100" t="s">
        <v>161</v>
      </c>
      <c r="S419" s="36">
        <v>1</v>
      </c>
      <c r="T419" s="1"/>
    </row>
    <row r="420" spans="1:23" s="3" customFormat="1" ht="31" x14ac:dyDescent="0.35">
      <c r="A420" s="46">
        <f t="shared" ref="A420:A438" si="66">A419+1</f>
        <v>3</v>
      </c>
      <c r="B420" s="28">
        <v>5099</v>
      </c>
      <c r="C420" s="48" t="s">
        <v>796</v>
      </c>
      <c r="D420" s="46">
        <v>1972</v>
      </c>
      <c r="E420" s="46" t="s">
        <v>771</v>
      </c>
      <c r="F420" s="46" t="s">
        <v>152</v>
      </c>
      <c r="G420" s="85">
        <v>393.3</v>
      </c>
      <c r="H420" s="35">
        <v>368.8</v>
      </c>
      <c r="I420" s="99">
        <v>18</v>
      </c>
      <c r="J420" s="35">
        <f>'Форма 2'!I1589</f>
        <v>145307.20000000001</v>
      </c>
      <c r="K420" s="86">
        <v>0</v>
      </c>
      <c r="L420" s="86">
        <v>0</v>
      </c>
      <c r="M420" s="86">
        <v>0</v>
      </c>
      <c r="N420" s="35">
        <f>J420-K420-L420-M420-O420</f>
        <v>140355.21</v>
      </c>
      <c r="O420" s="35">
        <v>4951.99</v>
      </c>
      <c r="P420" s="35">
        <f t="shared" si="65"/>
        <v>394</v>
      </c>
      <c r="Q420" s="35">
        <f>'Форма 2'!K1589</f>
        <v>394</v>
      </c>
      <c r="R420" s="100" t="s">
        <v>161</v>
      </c>
      <c r="S420" s="36">
        <v>1</v>
      </c>
      <c r="T420" s="1"/>
      <c r="U420" s="1"/>
    </row>
    <row r="421" spans="1:23" x14ac:dyDescent="0.35">
      <c r="A421" s="46">
        <f t="shared" si="66"/>
        <v>4</v>
      </c>
      <c r="B421" s="28">
        <v>5100</v>
      </c>
      <c r="C421" s="48" t="s">
        <v>797</v>
      </c>
      <c r="D421" s="49">
        <v>1974</v>
      </c>
      <c r="E421" s="49" t="s">
        <v>74</v>
      </c>
      <c r="F421" s="46" t="s">
        <v>160</v>
      </c>
      <c r="G421" s="50">
        <v>3099.7</v>
      </c>
      <c r="H421" s="4">
        <v>2705.3</v>
      </c>
      <c r="I421" s="51">
        <v>139</v>
      </c>
      <c r="J421" s="4">
        <f>'Форма 2'!I1595</f>
        <v>2902516.37</v>
      </c>
      <c r="K421" s="52">
        <v>0</v>
      </c>
      <c r="L421" s="52">
        <v>0</v>
      </c>
      <c r="M421" s="52">
        <v>0</v>
      </c>
      <c r="N421" s="4">
        <f t="shared" ref="N421:N434" si="67">J421-K421-L421-M421-O421</f>
        <v>2788087.66</v>
      </c>
      <c r="O421" s="4">
        <v>114428.71</v>
      </c>
      <c r="P421" s="4">
        <f t="shared" si="65"/>
        <v>1072.9000000000001</v>
      </c>
      <c r="Q421" s="4">
        <f>'Форма 2'!K1595</f>
        <v>3175</v>
      </c>
      <c r="R421" s="26" t="s">
        <v>493</v>
      </c>
      <c r="S421" s="19">
        <v>1</v>
      </c>
      <c r="U421" s="3"/>
      <c r="V421" s="3"/>
      <c r="W421" s="3"/>
    </row>
    <row r="422" spans="1:23" s="3" customFormat="1" ht="31" x14ac:dyDescent="0.35">
      <c r="A422" s="46">
        <f t="shared" si="66"/>
        <v>5</v>
      </c>
      <c r="B422" s="28">
        <v>5102</v>
      </c>
      <c r="C422" s="48" t="s">
        <v>798</v>
      </c>
      <c r="D422" s="46">
        <v>1973</v>
      </c>
      <c r="E422" s="46" t="s">
        <v>524</v>
      </c>
      <c r="F422" s="46" t="s">
        <v>160</v>
      </c>
      <c r="G422" s="85">
        <v>4103.3</v>
      </c>
      <c r="H422" s="35">
        <v>3535.3</v>
      </c>
      <c r="I422" s="99">
        <v>183</v>
      </c>
      <c r="J422" s="35">
        <f>'Форма 2'!I1598</f>
        <v>3978356.45</v>
      </c>
      <c r="K422" s="86">
        <v>0</v>
      </c>
      <c r="L422" s="86">
        <v>0</v>
      </c>
      <c r="M422" s="86">
        <v>0</v>
      </c>
      <c r="N422" s="35">
        <f t="shared" si="67"/>
        <v>3800982.84</v>
      </c>
      <c r="O422" s="35">
        <v>177373.61</v>
      </c>
      <c r="P422" s="35">
        <f t="shared" si="65"/>
        <v>1125.32</v>
      </c>
      <c r="Q422" s="35">
        <f>'Форма 2'!K1598</f>
        <v>3866</v>
      </c>
      <c r="R422" s="95" t="s">
        <v>493</v>
      </c>
      <c r="S422" s="36">
        <v>1</v>
      </c>
      <c r="T422" s="1"/>
    </row>
    <row r="423" spans="1:23" x14ac:dyDescent="0.35">
      <c r="A423" s="46">
        <f t="shared" si="66"/>
        <v>6</v>
      </c>
      <c r="B423" s="47">
        <v>5107</v>
      </c>
      <c r="C423" s="48" t="s">
        <v>799</v>
      </c>
      <c r="D423" s="49">
        <v>1972</v>
      </c>
      <c r="E423" s="49" t="s">
        <v>74</v>
      </c>
      <c r="F423" s="49" t="s">
        <v>152</v>
      </c>
      <c r="G423" s="50">
        <v>804.2</v>
      </c>
      <c r="H423" s="4">
        <v>743</v>
      </c>
      <c r="I423" s="51">
        <v>43</v>
      </c>
      <c r="J423" s="4">
        <f>'Форма 2'!I1607</f>
        <v>94615</v>
      </c>
      <c r="K423" s="52">
        <v>0</v>
      </c>
      <c r="L423" s="52">
        <v>0</v>
      </c>
      <c r="M423" s="52">
        <v>0</v>
      </c>
      <c r="N423" s="4">
        <f t="shared" si="67"/>
        <v>89700.33</v>
      </c>
      <c r="O423" s="4">
        <v>4914.67</v>
      </c>
      <c r="P423" s="4">
        <f t="shared" si="65"/>
        <v>127.34</v>
      </c>
      <c r="Q423" s="4">
        <f>'Форма 2'!K1607</f>
        <v>250</v>
      </c>
      <c r="R423" s="57" t="s">
        <v>161</v>
      </c>
      <c r="S423" s="19">
        <v>1</v>
      </c>
      <c r="U423" s="3"/>
      <c r="V423" s="3"/>
      <c r="W423" s="3"/>
    </row>
    <row r="424" spans="1:23" s="3" customFormat="1" ht="31" x14ac:dyDescent="0.35">
      <c r="A424" s="46">
        <f t="shared" si="66"/>
        <v>7</v>
      </c>
      <c r="B424" s="47">
        <v>5108</v>
      </c>
      <c r="C424" s="48" t="s">
        <v>800</v>
      </c>
      <c r="D424" s="46">
        <v>1973</v>
      </c>
      <c r="E424" s="46" t="s">
        <v>524</v>
      </c>
      <c r="F424" s="46" t="s">
        <v>152</v>
      </c>
      <c r="G424" s="85">
        <v>2778.4</v>
      </c>
      <c r="H424" s="35">
        <v>2556</v>
      </c>
      <c r="I424" s="99">
        <v>159</v>
      </c>
      <c r="J424" s="35">
        <f>'Форма 2'!I1609</f>
        <v>358477.56</v>
      </c>
      <c r="K424" s="86">
        <v>0</v>
      </c>
      <c r="L424" s="86">
        <v>0</v>
      </c>
      <c r="M424" s="86">
        <v>0</v>
      </c>
      <c r="N424" s="35">
        <f t="shared" si="67"/>
        <v>339647.02</v>
      </c>
      <c r="O424" s="35">
        <v>18830.54</v>
      </c>
      <c r="P424" s="35">
        <f t="shared" si="65"/>
        <v>140.25</v>
      </c>
      <c r="Q424" s="35">
        <f>'Форма 2'!K1609</f>
        <v>216</v>
      </c>
      <c r="R424" s="100" t="s">
        <v>161</v>
      </c>
      <c r="S424" s="36">
        <v>1</v>
      </c>
      <c r="T424" s="1"/>
      <c r="U424" s="1"/>
    </row>
    <row r="425" spans="1:23" x14ac:dyDescent="0.35">
      <c r="A425" s="46">
        <f t="shared" si="66"/>
        <v>8</v>
      </c>
      <c r="B425" s="28">
        <v>5109</v>
      </c>
      <c r="C425" s="48" t="s">
        <v>801</v>
      </c>
      <c r="D425" s="49">
        <v>1973</v>
      </c>
      <c r="E425" s="49" t="s">
        <v>74</v>
      </c>
      <c r="F425" s="46" t="s">
        <v>160</v>
      </c>
      <c r="G425" s="50">
        <v>989.4</v>
      </c>
      <c r="H425" s="4">
        <v>901.46</v>
      </c>
      <c r="I425" s="51">
        <v>52</v>
      </c>
      <c r="J425" s="4">
        <f>'Форма 2'!I1614</f>
        <v>2089027.3</v>
      </c>
      <c r="K425" s="52">
        <v>0</v>
      </c>
      <c r="L425" s="52">
        <v>0</v>
      </c>
      <c r="M425" s="52">
        <v>0</v>
      </c>
      <c r="N425" s="4">
        <f t="shared" si="67"/>
        <v>2004001.73</v>
      </c>
      <c r="O425" s="4">
        <v>85025.57</v>
      </c>
      <c r="P425" s="4">
        <f t="shared" si="65"/>
        <v>2317.38</v>
      </c>
      <c r="Q425" s="4">
        <f>'Форма 2'!K1614</f>
        <v>7631</v>
      </c>
      <c r="R425" s="26" t="s">
        <v>493</v>
      </c>
      <c r="S425" s="19">
        <v>1</v>
      </c>
      <c r="U425" s="3"/>
      <c r="V425" s="3"/>
      <c r="W425" s="3"/>
    </row>
    <row r="426" spans="1:23" s="3" customFormat="1" ht="31" x14ac:dyDescent="0.35">
      <c r="A426" s="46">
        <f t="shared" si="66"/>
        <v>9</v>
      </c>
      <c r="B426" s="47">
        <v>5114</v>
      </c>
      <c r="C426" s="48" t="s">
        <v>802</v>
      </c>
      <c r="D426" s="46">
        <v>1973</v>
      </c>
      <c r="E426" s="46" t="s">
        <v>524</v>
      </c>
      <c r="F426" s="46" t="s">
        <v>152</v>
      </c>
      <c r="G426" s="85">
        <v>1002.9</v>
      </c>
      <c r="H426" s="35">
        <v>909.6</v>
      </c>
      <c r="I426" s="99">
        <v>56</v>
      </c>
      <c r="J426" s="35">
        <f>'Форма 2'!I1617</f>
        <v>209383.53</v>
      </c>
      <c r="K426" s="86">
        <v>0</v>
      </c>
      <c r="L426" s="86">
        <v>0</v>
      </c>
      <c r="M426" s="86">
        <v>0</v>
      </c>
      <c r="N426" s="35">
        <f t="shared" si="67"/>
        <v>202682.33</v>
      </c>
      <c r="O426" s="35">
        <v>6701.2</v>
      </c>
      <c r="P426" s="35">
        <f t="shared" si="65"/>
        <v>230.19</v>
      </c>
      <c r="Q426" s="35">
        <f>'Форма 2'!K1617</f>
        <v>241</v>
      </c>
      <c r="R426" s="95" t="s">
        <v>161</v>
      </c>
      <c r="S426" s="36">
        <v>1</v>
      </c>
      <c r="T426" s="1"/>
      <c r="U426" s="1"/>
    </row>
    <row r="427" spans="1:23" s="3" customFormat="1" ht="31" x14ac:dyDescent="0.35">
      <c r="A427" s="46">
        <f t="shared" si="66"/>
        <v>10</v>
      </c>
      <c r="B427" s="47">
        <v>5127</v>
      </c>
      <c r="C427" s="48" t="s">
        <v>803</v>
      </c>
      <c r="D427" s="46">
        <v>1974</v>
      </c>
      <c r="E427" s="46" t="s">
        <v>524</v>
      </c>
      <c r="F427" s="46" t="s">
        <v>152</v>
      </c>
      <c r="G427" s="85">
        <v>3744.4</v>
      </c>
      <c r="H427" s="35">
        <v>3273.7</v>
      </c>
      <c r="I427" s="99">
        <v>187</v>
      </c>
      <c r="J427" s="35">
        <f>'Форма 2'!I1622</f>
        <v>410459.06</v>
      </c>
      <c r="K427" s="86">
        <v>0</v>
      </c>
      <c r="L427" s="86">
        <v>0</v>
      </c>
      <c r="M427" s="86">
        <v>0</v>
      </c>
      <c r="N427" s="35">
        <f t="shared" si="67"/>
        <v>389712.42</v>
      </c>
      <c r="O427" s="35">
        <v>20746.64</v>
      </c>
      <c r="P427" s="35">
        <f t="shared" si="65"/>
        <v>125.38</v>
      </c>
      <c r="Q427" s="35">
        <f>'Форма 2'!K1622</f>
        <v>177</v>
      </c>
      <c r="R427" s="100" t="s">
        <v>161</v>
      </c>
      <c r="S427" s="36">
        <v>1</v>
      </c>
      <c r="T427" s="1"/>
    </row>
    <row r="428" spans="1:23" s="3" customFormat="1" ht="31" x14ac:dyDescent="0.35">
      <c r="A428" s="46">
        <f t="shared" si="66"/>
        <v>11</v>
      </c>
      <c r="B428" s="47">
        <v>5128</v>
      </c>
      <c r="C428" s="48" t="s">
        <v>804</v>
      </c>
      <c r="D428" s="46">
        <v>1992</v>
      </c>
      <c r="E428" s="27" t="s">
        <v>366</v>
      </c>
      <c r="F428" s="27" t="s">
        <v>152</v>
      </c>
      <c r="G428" s="85">
        <v>3176.8</v>
      </c>
      <c r="H428" s="35">
        <v>3054.1</v>
      </c>
      <c r="I428" s="99">
        <v>97</v>
      </c>
      <c r="J428" s="35">
        <f>'Форма 2'!I1627</f>
        <v>457742.57</v>
      </c>
      <c r="K428" s="86">
        <v>0</v>
      </c>
      <c r="L428" s="86">
        <v>0</v>
      </c>
      <c r="M428" s="86">
        <v>0</v>
      </c>
      <c r="N428" s="35">
        <f t="shared" si="67"/>
        <v>438387.61</v>
      </c>
      <c r="O428" s="35">
        <v>19354.96</v>
      </c>
      <c r="P428" s="35">
        <f t="shared" si="65"/>
        <v>149.88</v>
      </c>
      <c r="Q428" s="35">
        <f>'Форма 2'!K1627</f>
        <v>177</v>
      </c>
      <c r="R428" s="95" t="s">
        <v>161</v>
      </c>
      <c r="S428" s="27">
        <v>1</v>
      </c>
      <c r="T428" s="1"/>
      <c r="U428" s="1"/>
    </row>
    <row r="429" spans="1:23" x14ac:dyDescent="0.35">
      <c r="A429" s="46">
        <f t="shared" si="66"/>
        <v>12</v>
      </c>
      <c r="B429" s="28">
        <v>5130</v>
      </c>
      <c r="C429" s="48" t="s">
        <v>805</v>
      </c>
      <c r="D429" s="49">
        <v>1977</v>
      </c>
      <c r="E429" s="49" t="s">
        <v>74</v>
      </c>
      <c r="F429" s="49" t="s">
        <v>155</v>
      </c>
      <c r="G429" s="50">
        <v>8894</v>
      </c>
      <c r="H429" s="4">
        <v>7561.6</v>
      </c>
      <c r="I429" s="51">
        <v>303</v>
      </c>
      <c r="J429" s="4">
        <f>'Форма 2'!I1632</f>
        <v>17723771.359999999</v>
      </c>
      <c r="K429" s="52">
        <v>0</v>
      </c>
      <c r="L429" s="52">
        <v>0</v>
      </c>
      <c r="M429" s="52">
        <v>0</v>
      </c>
      <c r="N429" s="4">
        <f t="shared" si="67"/>
        <v>17224498.140000001</v>
      </c>
      <c r="O429" s="4">
        <v>499273.22</v>
      </c>
      <c r="P429" s="4">
        <f t="shared" si="65"/>
        <v>2343.92</v>
      </c>
      <c r="Q429" s="4">
        <f>'Форма 2'!K1632</f>
        <v>2679</v>
      </c>
      <c r="R429" s="4" t="s">
        <v>161</v>
      </c>
      <c r="S429" s="19">
        <v>1</v>
      </c>
      <c r="U429" s="3"/>
      <c r="V429" s="3"/>
      <c r="W429" s="3"/>
    </row>
    <row r="430" spans="1:23" x14ac:dyDescent="0.35">
      <c r="A430" s="46">
        <f t="shared" si="66"/>
        <v>13</v>
      </c>
      <c r="B430" s="28">
        <v>5131</v>
      </c>
      <c r="C430" s="48" t="s">
        <v>806</v>
      </c>
      <c r="D430" s="49">
        <v>1978</v>
      </c>
      <c r="E430" s="49" t="s">
        <v>74</v>
      </c>
      <c r="F430" s="49" t="s">
        <v>155</v>
      </c>
      <c r="G430" s="50">
        <v>9757.6</v>
      </c>
      <c r="H430" s="4">
        <v>8069.69</v>
      </c>
      <c r="I430" s="51">
        <v>307</v>
      </c>
      <c r="J430" s="4">
        <f>'Форма 2'!I1635</f>
        <v>17894835.539999999</v>
      </c>
      <c r="K430" s="52">
        <v>0</v>
      </c>
      <c r="L430" s="52">
        <v>0</v>
      </c>
      <c r="M430" s="52">
        <v>0</v>
      </c>
      <c r="N430" s="4">
        <f t="shared" si="67"/>
        <v>17362014.43</v>
      </c>
      <c r="O430" s="4">
        <v>532821.11</v>
      </c>
      <c r="P430" s="4">
        <f t="shared" si="65"/>
        <v>2217.54</v>
      </c>
      <c r="Q430" s="4">
        <f>'Форма 2'!K1635</f>
        <v>2679</v>
      </c>
      <c r="R430" s="4" t="s">
        <v>161</v>
      </c>
      <c r="S430" s="19">
        <v>1</v>
      </c>
      <c r="U430" s="3"/>
      <c r="V430" s="3"/>
      <c r="W430" s="3"/>
    </row>
    <row r="431" spans="1:23" x14ac:dyDescent="0.35">
      <c r="A431" s="46">
        <f t="shared" si="66"/>
        <v>14</v>
      </c>
      <c r="B431" s="47">
        <v>5133</v>
      </c>
      <c r="C431" s="48" t="s">
        <v>807</v>
      </c>
      <c r="D431" s="49">
        <v>1979</v>
      </c>
      <c r="E431" s="49" t="s">
        <v>74</v>
      </c>
      <c r="F431" s="49" t="s">
        <v>155</v>
      </c>
      <c r="G431" s="50">
        <v>10531.4</v>
      </c>
      <c r="H431" s="4">
        <v>8595.5</v>
      </c>
      <c r="I431" s="51">
        <v>406</v>
      </c>
      <c r="J431" s="4">
        <f>'Форма 2'!I1638</f>
        <v>15000621.41</v>
      </c>
      <c r="K431" s="52">
        <v>0</v>
      </c>
      <c r="L431" s="52">
        <v>0</v>
      </c>
      <c r="M431" s="52">
        <v>0</v>
      </c>
      <c r="N431" s="4">
        <f t="shared" si="67"/>
        <v>14433082.41</v>
      </c>
      <c r="O431" s="4">
        <v>567539</v>
      </c>
      <c r="P431" s="4">
        <f t="shared" si="65"/>
        <v>1745.17</v>
      </c>
      <c r="Q431" s="4">
        <f>'Форма 2'!K1638</f>
        <v>2679</v>
      </c>
      <c r="R431" s="4" t="s">
        <v>161</v>
      </c>
      <c r="S431" s="19">
        <v>1</v>
      </c>
      <c r="U431" s="3"/>
      <c r="V431" s="3"/>
      <c r="W431" s="3"/>
    </row>
    <row r="432" spans="1:23" x14ac:dyDescent="0.35">
      <c r="A432" s="46">
        <f t="shared" si="66"/>
        <v>15</v>
      </c>
      <c r="B432" s="28">
        <v>5140</v>
      </c>
      <c r="C432" s="48" t="s">
        <v>808</v>
      </c>
      <c r="D432" s="49">
        <v>1980</v>
      </c>
      <c r="E432" s="49" t="s">
        <v>74</v>
      </c>
      <c r="F432" s="46" t="s">
        <v>160</v>
      </c>
      <c r="G432" s="50">
        <v>10503.6</v>
      </c>
      <c r="H432" s="50">
        <v>8292.2000000000007</v>
      </c>
      <c r="I432" s="56">
        <v>381</v>
      </c>
      <c r="J432" s="4">
        <f>'Форма 2'!I1641</f>
        <v>6045571.4100000001</v>
      </c>
      <c r="K432" s="4">
        <v>0</v>
      </c>
      <c r="L432" s="52">
        <v>0</v>
      </c>
      <c r="M432" s="4">
        <v>0</v>
      </c>
      <c r="N432" s="4">
        <f t="shared" si="67"/>
        <v>5829916.3700000001</v>
      </c>
      <c r="O432" s="4">
        <v>215655.04000000001</v>
      </c>
      <c r="P432" s="4">
        <f t="shared" si="65"/>
        <v>729.07</v>
      </c>
      <c r="Q432" s="4">
        <f>'Форма 2'!K1641</f>
        <v>2790</v>
      </c>
      <c r="R432" s="26" t="s">
        <v>493</v>
      </c>
      <c r="S432" s="19">
        <v>1</v>
      </c>
      <c r="V432" s="3"/>
      <c r="W432" s="3"/>
    </row>
    <row r="433" spans="1:23" x14ac:dyDescent="0.35">
      <c r="A433" s="46">
        <f t="shared" si="66"/>
        <v>16</v>
      </c>
      <c r="B433" s="28">
        <v>5164</v>
      </c>
      <c r="C433" s="48" t="s">
        <v>809</v>
      </c>
      <c r="D433" s="49">
        <v>1986</v>
      </c>
      <c r="E433" s="49" t="s">
        <v>74</v>
      </c>
      <c r="F433" s="49" t="s">
        <v>152</v>
      </c>
      <c r="G433" s="50">
        <v>3212.9</v>
      </c>
      <c r="H433" s="50">
        <v>2523.3000000000002</v>
      </c>
      <c r="I433" s="56">
        <v>118</v>
      </c>
      <c r="J433" s="4">
        <f>'Форма 2'!I1644</f>
        <v>434007.6</v>
      </c>
      <c r="K433" s="4">
        <v>0</v>
      </c>
      <c r="L433" s="52">
        <v>0</v>
      </c>
      <c r="M433" s="52">
        <v>0</v>
      </c>
      <c r="N433" s="4">
        <f t="shared" si="67"/>
        <v>417316.91</v>
      </c>
      <c r="O433" s="4">
        <v>16690.689999999999</v>
      </c>
      <c r="P433" s="4">
        <f t="shared" si="65"/>
        <v>172</v>
      </c>
      <c r="Q433" s="4">
        <f>'Форма 2'!K1644</f>
        <v>172</v>
      </c>
      <c r="R433" s="57" t="s">
        <v>161</v>
      </c>
      <c r="S433" s="19">
        <v>1</v>
      </c>
      <c r="V433" s="3"/>
      <c r="W433" s="3"/>
    </row>
    <row r="434" spans="1:23" x14ac:dyDescent="0.35">
      <c r="A434" s="46">
        <f t="shared" si="66"/>
        <v>17</v>
      </c>
      <c r="B434" s="28">
        <v>5186</v>
      </c>
      <c r="C434" s="48" t="s">
        <v>810</v>
      </c>
      <c r="D434" s="49">
        <v>1992</v>
      </c>
      <c r="E434" s="46" t="s">
        <v>182</v>
      </c>
      <c r="F434" s="46" t="s">
        <v>155</v>
      </c>
      <c r="G434" s="50">
        <v>13110.3</v>
      </c>
      <c r="H434" s="50">
        <v>10091</v>
      </c>
      <c r="I434" s="56">
        <v>107</v>
      </c>
      <c r="J434" s="4">
        <f>'Форма 2'!I1646</f>
        <v>8238401.4800000004</v>
      </c>
      <c r="K434" s="4">
        <v>0</v>
      </c>
      <c r="L434" s="52">
        <v>0</v>
      </c>
      <c r="M434" s="52">
        <v>0</v>
      </c>
      <c r="N434" s="4">
        <f t="shared" si="67"/>
        <v>7891722.4800000004</v>
      </c>
      <c r="O434" s="4">
        <v>346679</v>
      </c>
      <c r="P434" s="4">
        <f>J434/H434</f>
        <v>816.41</v>
      </c>
      <c r="Q434" s="4">
        <f>'Форма 2'!K1646</f>
        <v>867.37</v>
      </c>
      <c r="R434" s="53" t="s">
        <v>161</v>
      </c>
      <c r="S434" s="19">
        <v>1</v>
      </c>
      <c r="V434" s="3"/>
      <c r="W434" s="3"/>
    </row>
    <row r="435" spans="1:23" s="3" customFormat="1" x14ac:dyDescent="0.35">
      <c r="A435" s="46">
        <f t="shared" si="66"/>
        <v>18</v>
      </c>
      <c r="B435" s="47">
        <v>5210</v>
      </c>
      <c r="C435" s="48" t="s">
        <v>249</v>
      </c>
      <c r="D435" s="46">
        <v>1976</v>
      </c>
      <c r="E435" s="46" t="s">
        <v>250</v>
      </c>
      <c r="F435" s="46" t="s">
        <v>481</v>
      </c>
      <c r="G435" s="85">
        <v>1063.2</v>
      </c>
      <c r="H435" s="85">
        <v>990.3</v>
      </c>
      <c r="I435" s="67">
        <v>25</v>
      </c>
      <c r="J435" s="35">
        <f>'Форма 2'!I1657</f>
        <v>2522294.61</v>
      </c>
      <c r="K435" s="35">
        <v>0</v>
      </c>
      <c r="L435" s="86">
        <v>0</v>
      </c>
      <c r="M435" s="35">
        <v>0</v>
      </c>
      <c r="N435" s="35">
        <f>J435-K435-L435-M435-O435</f>
        <v>2415918.17</v>
      </c>
      <c r="O435" s="35">
        <v>106376.44</v>
      </c>
      <c r="P435" s="35">
        <f t="shared" si="65"/>
        <v>2547</v>
      </c>
      <c r="Q435" s="35">
        <f>'Форма 2'!K1657</f>
        <v>3840</v>
      </c>
      <c r="R435" s="35" t="s">
        <v>161</v>
      </c>
      <c r="S435" s="63">
        <v>1</v>
      </c>
      <c r="T435" s="1"/>
      <c r="U435" s="1"/>
    </row>
    <row r="436" spans="1:23" x14ac:dyDescent="0.35">
      <c r="A436" s="46">
        <f t="shared" si="66"/>
        <v>19</v>
      </c>
      <c r="B436" s="47">
        <v>5257</v>
      </c>
      <c r="C436" s="48" t="s">
        <v>811</v>
      </c>
      <c r="D436" s="49">
        <v>1978</v>
      </c>
      <c r="E436" s="49" t="s">
        <v>74</v>
      </c>
      <c r="F436" s="49" t="s">
        <v>152</v>
      </c>
      <c r="G436" s="50">
        <v>713.8</v>
      </c>
      <c r="H436" s="50">
        <v>576.6</v>
      </c>
      <c r="I436" s="56">
        <v>22</v>
      </c>
      <c r="J436" s="4">
        <f>'Форма 2'!I1664</f>
        <v>83387.48</v>
      </c>
      <c r="K436" s="52">
        <v>0</v>
      </c>
      <c r="L436" s="52">
        <v>0</v>
      </c>
      <c r="M436" s="52">
        <v>0</v>
      </c>
      <c r="N436" s="4">
        <f>J436-K436-L436-M436-O436</f>
        <v>79573.490000000005</v>
      </c>
      <c r="O436" s="4">
        <v>3813.99</v>
      </c>
      <c r="P436" s="4">
        <f t="shared" si="65"/>
        <v>144.62</v>
      </c>
      <c r="Q436" s="4">
        <f>'Форма 2'!K1664</f>
        <v>250</v>
      </c>
      <c r="R436" s="57" t="s">
        <v>161</v>
      </c>
      <c r="S436" s="19">
        <v>1</v>
      </c>
      <c r="V436" s="3"/>
      <c r="W436" s="3"/>
    </row>
    <row r="437" spans="1:23" x14ac:dyDescent="0.35">
      <c r="A437" s="46">
        <f t="shared" si="66"/>
        <v>20</v>
      </c>
      <c r="B437" s="47">
        <v>5259</v>
      </c>
      <c r="C437" s="48" t="s">
        <v>812</v>
      </c>
      <c r="D437" s="49">
        <v>1978</v>
      </c>
      <c r="E437" s="49" t="s">
        <v>74</v>
      </c>
      <c r="F437" s="49" t="s">
        <v>152</v>
      </c>
      <c r="G437" s="50">
        <v>696.4</v>
      </c>
      <c r="H437" s="50">
        <v>565.6</v>
      </c>
      <c r="I437" s="56">
        <v>21</v>
      </c>
      <c r="J437" s="4">
        <f>'Форма 2'!I1666</f>
        <v>87449.96</v>
      </c>
      <c r="K437" s="52">
        <v>0</v>
      </c>
      <c r="L437" s="52">
        <v>0</v>
      </c>
      <c r="M437" s="52">
        <v>0</v>
      </c>
      <c r="N437" s="4">
        <f>J437-K437-L437-M437-O437</f>
        <v>83708.73</v>
      </c>
      <c r="O437" s="4">
        <v>3741.23</v>
      </c>
      <c r="P437" s="4">
        <f t="shared" si="65"/>
        <v>154.61000000000001</v>
      </c>
      <c r="Q437" s="4">
        <f>'Форма 2'!K1666</f>
        <v>250</v>
      </c>
      <c r="R437" s="57" t="s">
        <v>161</v>
      </c>
      <c r="S437" s="19">
        <v>1</v>
      </c>
      <c r="V437" s="3"/>
      <c r="W437" s="3"/>
    </row>
    <row r="438" spans="1:23" x14ac:dyDescent="0.35">
      <c r="A438" s="46">
        <f t="shared" si="66"/>
        <v>21</v>
      </c>
      <c r="B438" s="47">
        <v>5263</v>
      </c>
      <c r="C438" s="48" t="s">
        <v>813</v>
      </c>
      <c r="D438" s="49">
        <v>1978</v>
      </c>
      <c r="E438" s="49" t="s">
        <v>74</v>
      </c>
      <c r="F438" s="49" t="s">
        <v>152</v>
      </c>
      <c r="G438" s="50">
        <v>697.8</v>
      </c>
      <c r="H438" s="50">
        <v>560.6</v>
      </c>
      <c r="I438" s="56">
        <v>21</v>
      </c>
      <c r="J438" s="4">
        <f>'Форма 2'!I1668</f>
        <v>81212.63</v>
      </c>
      <c r="K438" s="52">
        <v>0</v>
      </c>
      <c r="L438" s="52">
        <v>0</v>
      </c>
      <c r="M438" s="52">
        <v>0</v>
      </c>
      <c r="N438" s="4">
        <f>J438-K438-L438-M438-O438</f>
        <v>77504.47</v>
      </c>
      <c r="O438" s="4">
        <v>3708.16</v>
      </c>
      <c r="P438" s="4">
        <f t="shared" si="65"/>
        <v>144.87</v>
      </c>
      <c r="Q438" s="4">
        <f>'Форма 2'!K1668</f>
        <v>250</v>
      </c>
      <c r="R438" s="57" t="s">
        <v>161</v>
      </c>
      <c r="S438" s="5">
        <v>1</v>
      </c>
      <c r="U438" s="3"/>
      <c r="V438" s="3"/>
      <c r="W438" s="3"/>
    </row>
    <row r="439" spans="1:23" x14ac:dyDescent="0.35">
      <c r="A439" s="236" t="s">
        <v>47</v>
      </c>
      <c r="B439" s="236"/>
      <c r="C439" s="236"/>
      <c r="D439" s="60" t="s">
        <v>13</v>
      </c>
      <c r="E439" s="60" t="s">
        <v>13</v>
      </c>
      <c r="F439" s="60" t="s">
        <v>13</v>
      </c>
      <c r="G439" s="4">
        <f t="shared" ref="G439:O439" si="68">G440+G517+G566+G651</f>
        <v>1143945.58</v>
      </c>
      <c r="H439" s="4">
        <f t="shared" si="68"/>
        <v>993681.35</v>
      </c>
      <c r="I439" s="19">
        <f t="shared" si="68"/>
        <v>40271</v>
      </c>
      <c r="J439" s="4">
        <f t="shared" si="68"/>
        <v>689240466.00999999</v>
      </c>
      <c r="K439" s="4">
        <f t="shared" si="68"/>
        <v>0</v>
      </c>
      <c r="L439" s="4">
        <f t="shared" si="68"/>
        <v>0</v>
      </c>
      <c r="M439" s="4">
        <f t="shared" si="68"/>
        <v>0</v>
      </c>
      <c r="N439" s="4">
        <f t="shared" si="68"/>
        <v>661412994.16999996</v>
      </c>
      <c r="O439" s="4">
        <f t="shared" si="68"/>
        <v>27827471.84</v>
      </c>
      <c r="P439" s="4" t="s">
        <v>13</v>
      </c>
      <c r="Q439" s="4" t="s">
        <v>13</v>
      </c>
      <c r="R439" s="4" t="s">
        <v>13</v>
      </c>
      <c r="S439" s="4" t="s">
        <v>13</v>
      </c>
    </row>
    <row r="440" spans="1:23" x14ac:dyDescent="0.35">
      <c r="A440" s="236" t="s">
        <v>254</v>
      </c>
      <c r="B440" s="236"/>
      <c r="C440" s="236"/>
      <c r="D440" s="60" t="s">
        <v>13</v>
      </c>
      <c r="E440" s="60" t="s">
        <v>13</v>
      </c>
      <c r="F440" s="60" t="s">
        <v>13</v>
      </c>
      <c r="G440" s="4">
        <f t="shared" ref="G440:O440" si="69">SUM(G441:G516)</f>
        <v>249620.83</v>
      </c>
      <c r="H440" s="4">
        <f t="shared" si="69"/>
        <v>218604.61</v>
      </c>
      <c r="I440" s="19">
        <f t="shared" si="69"/>
        <v>8710</v>
      </c>
      <c r="J440" s="4">
        <f t="shared" si="69"/>
        <v>238482957.34999999</v>
      </c>
      <c r="K440" s="4">
        <f t="shared" si="69"/>
        <v>0</v>
      </c>
      <c r="L440" s="4">
        <f t="shared" si="69"/>
        <v>0</v>
      </c>
      <c r="M440" s="4">
        <f t="shared" si="69"/>
        <v>0</v>
      </c>
      <c r="N440" s="4">
        <f t="shared" si="69"/>
        <v>228774694.25</v>
      </c>
      <c r="O440" s="4">
        <f t="shared" si="69"/>
        <v>9708263.0999999996</v>
      </c>
      <c r="P440" s="4" t="s">
        <v>13</v>
      </c>
      <c r="Q440" s="4" t="s">
        <v>13</v>
      </c>
      <c r="R440" s="60" t="s">
        <v>13</v>
      </c>
      <c r="S440" s="60" t="s">
        <v>13</v>
      </c>
    </row>
    <row r="441" spans="1:23" x14ac:dyDescent="0.35">
      <c r="A441" s="20">
        <v>1</v>
      </c>
      <c r="B441" s="101">
        <v>654</v>
      </c>
      <c r="C441" s="102" t="s">
        <v>525</v>
      </c>
      <c r="D441" s="60">
        <v>1979</v>
      </c>
      <c r="E441" s="25" t="s">
        <v>434</v>
      </c>
      <c r="F441" s="25" t="s">
        <v>152</v>
      </c>
      <c r="G441" s="4">
        <v>4341.5</v>
      </c>
      <c r="H441" s="4">
        <v>3916.7</v>
      </c>
      <c r="I441" s="103">
        <v>191</v>
      </c>
      <c r="J441" s="4">
        <f>'Форма 2'!I1671</f>
        <v>693725.61</v>
      </c>
      <c r="K441" s="4">
        <v>0</v>
      </c>
      <c r="L441" s="4">
        <v>0</v>
      </c>
      <c r="M441" s="4">
        <v>0</v>
      </c>
      <c r="N441" s="4">
        <f t="shared" ref="N441:N505" si="70">J441-K441-L441-M441-O441</f>
        <v>662071.86</v>
      </c>
      <c r="O441" s="4">
        <v>31653.75</v>
      </c>
      <c r="P441" s="4">
        <f t="shared" ref="P441:P505" si="71">J441/H441</f>
        <v>177.12</v>
      </c>
      <c r="Q441" s="4">
        <f>'Форма 2'!K1671</f>
        <v>259</v>
      </c>
      <c r="R441" s="53" t="s">
        <v>161</v>
      </c>
      <c r="S441" s="5">
        <v>1</v>
      </c>
    </row>
    <row r="442" spans="1:23" x14ac:dyDescent="0.35">
      <c r="A442" s="20">
        <f>A441+1</f>
        <v>2</v>
      </c>
      <c r="B442" s="20">
        <v>734</v>
      </c>
      <c r="C442" s="61" t="s">
        <v>255</v>
      </c>
      <c r="D442" s="60">
        <v>1982</v>
      </c>
      <c r="E442" s="25" t="s">
        <v>74</v>
      </c>
      <c r="F442" s="25" t="s">
        <v>481</v>
      </c>
      <c r="G442" s="4">
        <v>4395.8999999999996</v>
      </c>
      <c r="H442" s="4">
        <v>3971.1</v>
      </c>
      <c r="I442" s="19">
        <v>212</v>
      </c>
      <c r="J442" s="4">
        <f>'Форма 2'!I1674</f>
        <v>7067571.1699999999</v>
      </c>
      <c r="K442" s="4">
        <v>0</v>
      </c>
      <c r="L442" s="4">
        <v>0</v>
      </c>
      <c r="M442" s="4">
        <v>0</v>
      </c>
      <c r="N442" s="4">
        <f t="shared" si="70"/>
        <v>6766315.1500000004</v>
      </c>
      <c r="O442" s="4">
        <v>301256.02</v>
      </c>
      <c r="P442" s="4">
        <f t="shared" si="71"/>
        <v>1779.75</v>
      </c>
      <c r="Q442" s="4">
        <f>'Форма 2'!K1674</f>
        <v>3242</v>
      </c>
      <c r="R442" s="53" t="s">
        <v>161</v>
      </c>
      <c r="S442" s="5">
        <v>1</v>
      </c>
    </row>
    <row r="443" spans="1:23" x14ac:dyDescent="0.35">
      <c r="A443" s="20">
        <f>A442+1</f>
        <v>3</v>
      </c>
      <c r="B443" s="20">
        <v>757</v>
      </c>
      <c r="C443" s="61" t="s">
        <v>256</v>
      </c>
      <c r="D443" s="60">
        <v>1984</v>
      </c>
      <c r="E443" s="25" t="s">
        <v>434</v>
      </c>
      <c r="F443" s="25" t="s">
        <v>257</v>
      </c>
      <c r="G443" s="4">
        <v>1323.5</v>
      </c>
      <c r="H443" s="4">
        <v>1020.67</v>
      </c>
      <c r="I443" s="19">
        <v>41</v>
      </c>
      <c r="J443" s="4">
        <f>'Форма 2'!I1677</f>
        <v>264353.53000000003</v>
      </c>
      <c r="K443" s="4">
        <v>0</v>
      </c>
      <c r="L443" s="4">
        <v>0</v>
      </c>
      <c r="M443" s="4">
        <v>0</v>
      </c>
      <c r="N443" s="4">
        <f t="shared" si="70"/>
        <v>264353.53000000003</v>
      </c>
      <c r="O443" s="4">
        <v>0</v>
      </c>
      <c r="P443" s="4">
        <f t="shared" si="71"/>
        <v>259</v>
      </c>
      <c r="Q443" s="4">
        <f>'Форма 2'!K1677</f>
        <v>259</v>
      </c>
      <c r="R443" s="53" t="s">
        <v>161</v>
      </c>
      <c r="S443" s="5">
        <v>1</v>
      </c>
    </row>
    <row r="444" spans="1:23" x14ac:dyDescent="0.35">
      <c r="A444" s="20">
        <f>A443+1</f>
        <v>4</v>
      </c>
      <c r="B444" s="101">
        <v>736</v>
      </c>
      <c r="C444" s="102" t="s">
        <v>526</v>
      </c>
      <c r="D444" s="60">
        <v>1982</v>
      </c>
      <c r="E444" s="60" t="s">
        <v>308</v>
      </c>
      <c r="F444" s="60" t="s">
        <v>152</v>
      </c>
      <c r="G444" s="4">
        <v>1017</v>
      </c>
      <c r="H444" s="4">
        <v>930.1</v>
      </c>
      <c r="I444" s="103">
        <v>35</v>
      </c>
      <c r="J444" s="4">
        <f>'Форма 2'!I1680</f>
        <v>390879.81</v>
      </c>
      <c r="K444" s="4">
        <v>0</v>
      </c>
      <c r="L444" s="4">
        <v>0</v>
      </c>
      <c r="M444" s="4">
        <v>0</v>
      </c>
      <c r="N444" s="4">
        <f t="shared" si="70"/>
        <v>377575.38</v>
      </c>
      <c r="O444" s="4">
        <v>13304.43</v>
      </c>
      <c r="P444" s="4">
        <f t="shared" si="71"/>
        <v>420.26</v>
      </c>
      <c r="Q444" s="4">
        <f>'Форма 2'!K1680</f>
        <v>421</v>
      </c>
      <c r="R444" s="53" t="s">
        <v>161</v>
      </c>
      <c r="S444" s="5">
        <v>1</v>
      </c>
    </row>
    <row r="445" spans="1:23" x14ac:dyDescent="0.35">
      <c r="A445" s="20">
        <f t="shared" ref="A445:A507" si="72">A444+1</f>
        <v>5</v>
      </c>
      <c r="B445" s="101">
        <v>822</v>
      </c>
      <c r="C445" s="102" t="s">
        <v>750</v>
      </c>
      <c r="D445" s="60">
        <v>1988</v>
      </c>
      <c r="E445" s="25" t="s">
        <v>308</v>
      </c>
      <c r="F445" s="25" t="s">
        <v>152</v>
      </c>
      <c r="G445" s="4">
        <v>1281.0999999999999</v>
      </c>
      <c r="H445" s="4">
        <v>982.57</v>
      </c>
      <c r="I445" s="103">
        <v>37</v>
      </c>
      <c r="J445" s="4">
        <f>'Форма 2'!I1684</f>
        <v>399420.34</v>
      </c>
      <c r="K445" s="4">
        <v>0</v>
      </c>
      <c r="L445" s="4">
        <v>0</v>
      </c>
      <c r="M445" s="4">
        <v>0</v>
      </c>
      <c r="N445" s="4">
        <f t="shared" si="70"/>
        <v>385365.36</v>
      </c>
      <c r="O445" s="4">
        <v>14054.98</v>
      </c>
      <c r="P445" s="4">
        <f t="shared" si="71"/>
        <v>406.51</v>
      </c>
      <c r="Q445" s="4">
        <f>'Форма 2'!K1684</f>
        <v>421</v>
      </c>
      <c r="R445" s="53" t="s">
        <v>161</v>
      </c>
      <c r="S445" s="5">
        <v>1</v>
      </c>
    </row>
    <row r="446" spans="1:23" x14ac:dyDescent="0.35">
      <c r="A446" s="20">
        <f t="shared" si="72"/>
        <v>6</v>
      </c>
      <c r="B446" s="20">
        <v>818</v>
      </c>
      <c r="C446" s="61" t="s">
        <v>258</v>
      </c>
      <c r="D446" s="60">
        <v>1987</v>
      </c>
      <c r="E446" s="25" t="s">
        <v>74</v>
      </c>
      <c r="F446" s="25" t="s">
        <v>481</v>
      </c>
      <c r="G446" s="4">
        <v>816.04</v>
      </c>
      <c r="H446" s="4">
        <v>746.74</v>
      </c>
      <c r="I446" s="19">
        <v>32</v>
      </c>
      <c r="J446" s="4">
        <f>'Форма 2'!I1688</f>
        <v>2381933.11</v>
      </c>
      <c r="K446" s="4">
        <v>0</v>
      </c>
      <c r="L446" s="4">
        <v>0</v>
      </c>
      <c r="M446" s="4">
        <v>0</v>
      </c>
      <c r="N446" s="4">
        <f t="shared" si="70"/>
        <v>2291556.7599999998</v>
      </c>
      <c r="O446" s="4">
        <v>90376.35</v>
      </c>
      <c r="P446" s="4">
        <f t="shared" si="71"/>
        <v>3189.78</v>
      </c>
      <c r="Q446" s="4">
        <f>'Форма 2'!K1688</f>
        <v>4728</v>
      </c>
      <c r="R446" s="53" t="s">
        <v>161</v>
      </c>
      <c r="S446" s="5">
        <v>1</v>
      </c>
    </row>
    <row r="447" spans="1:23" x14ac:dyDescent="0.35">
      <c r="A447" s="20">
        <f t="shared" si="72"/>
        <v>7</v>
      </c>
      <c r="B447" s="20">
        <v>722</v>
      </c>
      <c r="C447" s="61" t="s">
        <v>259</v>
      </c>
      <c r="D447" s="60">
        <v>1981</v>
      </c>
      <c r="E447" s="25" t="s">
        <v>74</v>
      </c>
      <c r="F447" s="25" t="s">
        <v>481</v>
      </c>
      <c r="G447" s="4">
        <v>833.48</v>
      </c>
      <c r="H447" s="4">
        <v>722.6</v>
      </c>
      <c r="I447" s="19">
        <v>28</v>
      </c>
      <c r="J447" s="4">
        <f>'Форма 2'!I1691</f>
        <v>2288180.9</v>
      </c>
      <c r="K447" s="4">
        <v>0</v>
      </c>
      <c r="L447" s="4">
        <v>0</v>
      </c>
      <c r="M447" s="4">
        <v>0</v>
      </c>
      <c r="N447" s="4">
        <f t="shared" si="70"/>
        <v>2201361.7400000002</v>
      </c>
      <c r="O447" s="4">
        <v>86819.16</v>
      </c>
      <c r="P447" s="4">
        <f t="shared" si="71"/>
        <v>3166.59</v>
      </c>
      <c r="Q447" s="4">
        <f>'Форма 2'!K1691</f>
        <v>4728</v>
      </c>
      <c r="R447" s="53" t="s">
        <v>161</v>
      </c>
      <c r="S447" s="5">
        <v>1</v>
      </c>
    </row>
    <row r="448" spans="1:23" x14ac:dyDescent="0.35">
      <c r="A448" s="20">
        <f t="shared" si="72"/>
        <v>8</v>
      </c>
      <c r="B448" s="101">
        <v>887</v>
      </c>
      <c r="C448" s="102" t="s">
        <v>709</v>
      </c>
      <c r="D448" s="60">
        <v>1993</v>
      </c>
      <c r="E448" s="60" t="s">
        <v>434</v>
      </c>
      <c r="F448" s="60" t="s">
        <v>152</v>
      </c>
      <c r="G448" s="4">
        <v>2904.4</v>
      </c>
      <c r="H448" s="4">
        <v>2590.4</v>
      </c>
      <c r="I448" s="103">
        <v>98</v>
      </c>
      <c r="J448" s="4">
        <f>'Форма 2'!I1694</f>
        <v>727902.4</v>
      </c>
      <c r="K448" s="4">
        <v>0</v>
      </c>
      <c r="L448" s="4">
        <v>0</v>
      </c>
      <c r="M448" s="4">
        <v>0</v>
      </c>
      <c r="N448" s="4">
        <f t="shared" si="70"/>
        <v>702249.73</v>
      </c>
      <c r="O448" s="4">
        <v>25652.67</v>
      </c>
      <c r="P448" s="4">
        <f t="shared" si="71"/>
        <v>281</v>
      </c>
      <c r="Q448" s="4">
        <f>'Форма 2'!K1694</f>
        <v>281</v>
      </c>
      <c r="R448" s="53" t="s">
        <v>161</v>
      </c>
      <c r="S448" s="5">
        <v>1</v>
      </c>
    </row>
    <row r="449" spans="1:19" x14ac:dyDescent="0.35">
      <c r="A449" s="20">
        <f t="shared" si="72"/>
        <v>9</v>
      </c>
      <c r="B449" s="101">
        <v>875</v>
      </c>
      <c r="C449" s="102" t="s">
        <v>710</v>
      </c>
      <c r="D449" s="60">
        <v>1991</v>
      </c>
      <c r="E449" s="60" t="s">
        <v>308</v>
      </c>
      <c r="F449" s="60" t="s">
        <v>152</v>
      </c>
      <c r="G449" s="4">
        <v>3020.2</v>
      </c>
      <c r="H449" s="4">
        <v>2739.2</v>
      </c>
      <c r="I449" s="103">
        <v>103</v>
      </c>
      <c r="J449" s="4">
        <f>'Форма 2'!I1697</f>
        <v>1172377.6000000001</v>
      </c>
      <c r="K449" s="4">
        <v>0</v>
      </c>
      <c r="L449" s="4">
        <v>0</v>
      </c>
      <c r="M449" s="4">
        <v>0</v>
      </c>
      <c r="N449" s="4">
        <f t="shared" si="70"/>
        <v>1133195.26</v>
      </c>
      <c r="O449" s="4">
        <v>39182.339999999997</v>
      </c>
      <c r="P449" s="4">
        <f t="shared" si="71"/>
        <v>428</v>
      </c>
      <c r="Q449" s="4">
        <f>'Форма 2'!K1697</f>
        <v>428</v>
      </c>
      <c r="R449" s="53" t="s">
        <v>161</v>
      </c>
      <c r="S449" s="5">
        <v>1</v>
      </c>
    </row>
    <row r="450" spans="1:19" x14ac:dyDescent="0.35">
      <c r="A450" s="20">
        <f t="shared" si="72"/>
        <v>10</v>
      </c>
      <c r="B450" s="101">
        <v>876</v>
      </c>
      <c r="C450" s="102" t="s">
        <v>711</v>
      </c>
      <c r="D450" s="60">
        <v>1991</v>
      </c>
      <c r="E450" s="60" t="s">
        <v>308</v>
      </c>
      <c r="F450" s="60" t="s">
        <v>152</v>
      </c>
      <c r="G450" s="4">
        <v>3026.8</v>
      </c>
      <c r="H450" s="4">
        <v>2745.8</v>
      </c>
      <c r="I450" s="103">
        <v>104</v>
      </c>
      <c r="J450" s="4">
        <f>'Форма 2'!I1701</f>
        <v>1175202.3999999999</v>
      </c>
      <c r="K450" s="4">
        <v>0</v>
      </c>
      <c r="L450" s="4">
        <v>0</v>
      </c>
      <c r="M450" s="4">
        <v>0</v>
      </c>
      <c r="N450" s="4">
        <f t="shared" si="70"/>
        <v>1135925.6599999999</v>
      </c>
      <c r="O450" s="4">
        <v>39276.74</v>
      </c>
      <c r="P450" s="4">
        <f t="shared" si="71"/>
        <v>428</v>
      </c>
      <c r="Q450" s="4">
        <f>'Форма 2'!K1701</f>
        <v>428</v>
      </c>
      <c r="R450" s="53" t="s">
        <v>161</v>
      </c>
      <c r="S450" s="5">
        <v>1</v>
      </c>
    </row>
    <row r="451" spans="1:19" x14ac:dyDescent="0.35">
      <c r="A451" s="20">
        <f t="shared" si="72"/>
        <v>11</v>
      </c>
      <c r="B451" s="20">
        <v>339</v>
      </c>
      <c r="C451" s="61" t="s">
        <v>266</v>
      </c>
      <c r="D451" s="60">
        <v>1960</v>
      </c>
      <c r="E451" s="25" t="s">
        <v>74</v>
      </c>
      <c r="F451" s="25" t="s">
        <v>481</v>
      </c>
      <c r="G451" s="4">
        <v>8006.3</v>
      </c>
      <c r="H451" s="4">
        <v>7469.5</v>
      </c>
      <c r="I451" s="19">
        <v>201</v>
      </c>
      <c r="J451" s="4">
        <f>'Форма 2'!I1705</f>
        <v>3317800.04</v>
      </c>
      <c r="K451" s="4">
        <v>0</v>
      </c>
      <c r="L451" s="4">
        <v>0</v>
      </c>
      <c r="M451" s="4">
        <v>0</v>
      </c>
      <c r="N451" s="4">
        <f t="shared" si="70"/>
        <v>3111092.37</v>
      </c>
      <c r="O451" s="4">
        <v>206707.67</v>
      </c>
      <c r="P451" s="4">
        <f t="shared" si="71"/>
        <v>444.18</v>
      </c>
      <c r="Q451" s="4">
        <f>'Форма 2'!K1705</f>
        <v>3242</v>
      </c>
      <c r="R451" s="53" t="s">
        <v>161</v>
      </c>
      <c r="S451" s="5">
        <v>1</v>
      </c>
    </row>
    <row r="452" spans="1:19" x14ac:dyDescent="0.35">
      <c r="A452" s="20">
        <f t="shared" si="72"/>
        <v>12</v>
      </c>
      <c r="B452" s="101">
        <v>122</v>
      </c>
      <c r="C452" s="102" t="s">
        <v>90</v>
      </c>
      <c r="D452" s="60">
        <v>1946</v>
      </c>
      <c r="E452" s="25" t="s">
        <v>434</v>
      </c>
      <c r="F452" s="25" t="s">
        <v>152</v>
      </c>
      <c r="G452" s="4">
        <v>896.3</v>
      </c>
      <c r="H452" s="4">
        <v>821.3</v>
      </c>
      <c r="I452" s="104">
        <v>31</v>
      </c>
      <c r="J452" s="4">
        <f>'Форма 2'!I1708</f>
        <v>120088.13</v>
      </c>
      <c r="K452" s="4">
        <v>0</v>
      </c>
      <c r="L452" s="4">
        <v>0</v>
      </c>
      <c r="M452" s="4">
        <v>0</v>
      </c>
      <c r="N452" s="4">
        <f t="shared" si="70"/>
        <v>113481.76</v>
      </c>
      <c r="O452" s="4">
        <v>6606.37</v>
      </c>
      <c r="P452" s="4">
        <f t="shared" si="71"/>
        <v>146.22</v>
      </c>
      <c r="Q452" s="4">
        <f>'Форма 2'!K1708</f>
        <v>223</v>
      </c>
      <c r="R452" s="53" t="s">
        <v>161</v>
      </c>
      <c r="S452" s="5">
        <v>1</v>
      </c>
    </row>
    <row r="453" spans="1:19" x14ac:dyDescent="0.35">
      <c r="A453" s="20">
        <f t="shared" si="72"/>
        <v>13</v>
      </c>
      <c r="B453" s="101">
        <v>347</v>
      </c>
      <c r="C453" s="102" t="s">
        <v>91</v>
      </c>
      <c r="D453" s="60">
        <v>1960</v>
      </c>
      <c r="E453" s="25" t="s">
        <v>74</v>
      </c>
      <c r="F453" s="25" t="s">
        <v>152</v>
      </c>
      <c r="G453" s="4">
        <v>3366.7</v>
      </c>
      <c r="H453" s="4">
        <v>3127.4</v>
      </c>
      <c r="I453" s="103">
        <v>118</v>
      </c>
      <c r="J453" s="4">
        <f>'Форма 2'!I1710</f>
        <v>170126.82</v>
      </c>
      <c r="K453" s="4">
        <v>0</v>
      </c>
      <c r="L453" s="4">
        <v>0</v>
      </c>
      <c r="M453" s="4">
        <v>0</v>
      </c>
      <c r="N453" s="4">
        <f t="shared" si="70"/>
        <v>150666.39000000001</v>
      </c>
      <c r="O453" s="4">
        <v>19460.43</v>
      </c>
      <c r="P453" s="4">
        <f t="shared" si="71"/>
        <v>54.4</v>
      </c>
      <c r="Q453" s="4">
        <f>'Форма 2'!K1710</f>
        <v>169</v>
      </c>
      <c r="R453" s="53" t="s">
        <v>161</v>
      </c>
      <c r="S453" s="5">
        <v>1</v>
      </c>
    </row>
    <row r="454" spans="1:19" x14ac:dyDescent="0.35">
      <c r="A454" s="20">
        <f t="shared" si="72"/>
        <v>14</v>
      </c>
      <c r="B454" s="101">
        <v>367</v>
      </c>
      <c r="C454" s="102" t="s">
        <v>92</v>
      </c>
      <c r="D454" s="60">
        <v>1961</v>
      </c>
      <c r="E454" s="25" t="s">
        <v>527</v>
      </c>
      <c r="F454" s="25" t="s">
        <v>152</v>
      </c>
      <c r="G454" s="4">
        <v>3386</v>
      </c>
      <c r="H454" s="4">
        <v>3136</v>
      </c>
      <c r="I454" s="103">
        <v>118</v>
      </c>
      <c r="J454" s="4">
        <f>'Форма 2'!I1712</f>
        <v>1090070.31</v>
      </c>
      <c r="K454" s="4">
        <v>0</v>
      </c>
      <c r="L454" s="4">
        <v>0</v>
      </c>
      <c r="M454" s="4">
        <v>0</v>
      </c>
      <c r="N454" s="4">
        <f t="shared" si="70"/>
        <v>1065320.9099999999</v>
      </c>
      <c r="O454" s="4">
        <v>24749.4</v>
      </c>
      <c r="P454" s="4">
        <f t="shared" si="71"/>
        <v>347.6</v>
      </c>
      <c r="Q454" s="4">
        <f>'Форма 2'!K1712</f>
        <v>428</v>
      </c>
      <c r="R454" s="53" t="s">
        <v>161</v>
      </c>
      <c r="S454" s="5">
        <v>1</v>
      </c>
    </row>
    <row r="455" spans="1:19" ht="31" x14ac:dyDescent="0.35">
      <c r="A455" s="20">
        <f t="shared" si="72"/>
        <v>15</v>
      </c>
      <c r="B455" s="20">
        <v>626</v>
      </c>
      <c r="C455" s="61" t="s">
        <v>268</v>
      </c>
      <c r="D455" s="60">
        <v>1975</v>
      </c>
      <c r="E455" s="60" t="s">
        <v>74</v>
      </c>
      <c r="F455" s="60" t="s">
        <v>481</v>
      </c>
      <c r="G455" s="4">
        <v>3081.9</v>
      </c>
      <c r="H455" s="4">
        <v>2793.5</v>
      </c>
      <c r="I455" s="19">
        <v>159</v>
      </c>
      <c r="J455" s="4">
        <f>'Форма 2'!I1716</f>
        <v>5557397.2800000003</v>
      </c>
      <c r="K455" s="4">
        <v>0</v>
      </c>
      <c r="L455" s="4">
        <v>0</v>
      </c>
      <c r="M455" s="4">
        <v>0</v>
      </c>
      <c r="N455" s="4">
        <f t="shared" si="70"/>
        <v>5345476.4800000004</v>
      </c>
      <c r="O455" s="4">
        <v>211920.8</v>
      </c>
      <c r="P455" s="4">
        <f t="shared" si="71"/>
        <v>1989.4</v>
      </c>
      <c r="Q455" s="4">
        <f>'Форма 2'!K1716</f>
        <v>3242</v>
      </c>
      <c r="R455" s="53" t="s">
        <v>161</v>
      </c>
      <c r="S455" s="5">
        <v>1</v>
      </c>
    </row>
    <row r="456" spans="1:19" x14ac:dyDescent="0.35">
      <c r="A456" s="20">
        <f t="shared" si="72"/>
        <v>16</v>
      </c>
      <c r="B456" s="20">
        <v>759</v>
      </c>
      <c r="C456" s="61" t="s">
        <v>271</v>
      </c>
      <c r="D456" s="60">
        <v>1984</v>
      </c>
      <c r="E456" s="25" t="s">
        <v>74</v>
      </c>
      <c r="F456" s="25" t="s">
        <v>481</v>
      </c>
      <c r="G456" s="4">
        <v>1269.5</v>
      </c>
      <c r="H456" s="4">
        <v>1217.5</v>
      </c>
      <c r="I456" s="19">
        <v>43</v>
      </c>
      <c r="J456" s="4">
        <f>'Форма 2'!I1719</f>
        <v>2479345.58</v>
      </c>
      <c r="K456" s="4">
        <v>0</v>
      </c>
      <c r="L456" s="4">
        <v>0</v>
      </c>
      <c r="M456" s="4">
        <v>0</v>
      </c>
      <c r="N456" s="4">
        <f t="shared" si="70"/>
        <v>2325086.89</v>
      </c>
      <c r="O456" s="4">
        <v>154258.69</v>
      </c>
      <c r="P456" s="4">
        <f t="shared" si="71"/>
        <v>2036.42</v>
      </c>
      <c r="Q456" s="4">
        <f>'Форма 2'!K1719</f>
        <v>4728</v>
      </c>
      <c r="R456" s="53" t="s">
        <v>161</v>
      </c>
      <c r="S456" s="5">
        <v>1</v>
      </c>
    </row>
    <row r="457" spans="1:19" x14ac:dyDescent="0.35">
      <c r="A457" s="20">
        <f t="shared" si="72"/>
        <v>17</v>
      </c>
      <c r="B457" s="20">
        <v>845</v>
      </c>
      <c r="C457" s="61" t="s">
        <v>272</v>
      </c>
      <c r="D457" s="60">
        <v>1989</v>
      </c>
      <c r="E457" s="25" t="s">
        <v>74</v>
      </c>
      <c r="F457" s="25" t="s">
        <v>155</v>
      </c>
      <c r="G457" s="4">
        <v>3146.3</v>
      </c>
      <c r="H457" s="4">
        <v>2810.3</v>
      </c>
      <c r="I457" s="19">
        <v>80</v>
      </c>
      <c r="J457" s="4">
        <f>'Форма 2'!I1722</f>
        <v>6203078.5199999996</v>
      </c>
      <c r="K457" s="4">
        <v>0</v>
      </c>
      <c r="L457" s="4">
        <v>0</v>
      </c>
      <c r="M457" s="4">
        <v>0</v>
      </c>
      <c r="N457" s="4">
        <f t="shared" si="70"/>
        <v>5901210.0300000003</v>
      </c>
      <c r="O457" s="4">
        <v>301868.49</v>
      </c>
      <c r="P457" s="4">
        <f t="shared" si="71"/>
        <v>2207.27</v>
      </c>
      <c r="Q457" s="4">
        <f>'Форма 2'!K1722</f>
        <v>3242</v>
      </c>
      <c r="R457" s="53" t="s">
        <v>161</v>
      </c>
      <c r="S457" s="5">
        <v>1</v>
      </c>
    </row>
    <row r="458" spans="1:19" x14ac:dyDescent="0.35">
      <c r="A458" s="20">
        <f t="shared" si="72"/>
        <v>18</v>
      </c>
      <c r="B458" s="101">
        <v>870</v>
      </c>
      <c r="C458" s="102" t="s">
        <v>712</v>
      </c>
      <c r="D458" s="60">
        <v>1991</v>
      </c>
      <c r="E458" s="60" t="s">
        <v>74</v>
      </c>
      <c r="F458" s="60" t="s">
        <v>152</v>
      </c>
      <c r="G458" s="4">
        <v>3789.5</v>
      </c>
      <c r="H458" s="4">
        <v>3342.5</v>
      </c>
      <c r="I458" s="103">
        <v>126</v>
      </c>
      <c r="J458" s="4">
        <f>'Форма 2'!I1725</f>
        <v>342657.28000000003</v>
      </c>
      <c r="K458" s="4">
        <v>0</v>
      </c>
      <c r="L458" s="4">
        <v>0</v>
      </c>
      <c r="M458" s="4">
        <v>0</v>
      </c>
      <c r="N458" s="4">
        <f t="shared" si="70"/>
        <v>321858.37</v>
      </c>
      <c r="O458" s="4">
        <v>20798.91</v>
      </c>
      <c r="P458" s="4">
        <f t="shared" si="71"/>
        <v>102.52</v>
      </c>
      <c r="Q458" s="4">
        <f>'Форма 2'!K1725</f>
        <v>169</v>
      </c>
      <c r="R458" s="53" t="s">
        <v>161</v>
      </c>
      <c r="S458" s="5">
        <v>1</v>
      </c>
    </row>
    <row r="459" spans="1:19" x14ac:dyDescent="0.35">
      <c r="A459" s="20">
        <f t="shared" si="72"/>
        <v>19</v>
      </c>
      <c r="B459" s="20">
        <v>585</v>
      </c>
      <c r="C459" s="61" t="s">
        <v>277</v>
      </c>
      <c r="D459" s="60">
        <v>1972</v>
      </c>
      <c r="E459" s="60" t="s">
        <v>74</v>
      </c>
      <c r="F459" s="60" t="s">
        <v>481</v>
      </c>
      <c r="G459" s="4">
        <v>5089.3999999999996</v>
      </c>
      <c r="H459" s="4">
        <v>4627.3999999999996</v>
      </c>
      <c r="I459" s="19">
        <v>168</v>
      </c>
      <c r="J459" s="4">
        <f>'Форма 2'!I1727</f>
        <v>6307376.9699999997</v>
      </c>
      <c r="K459" s="4">
        <v>0</v>
      </c>
      <c r="L459" s="4">
        <v>0</v>
      </c>
      <c r="M459" s="4">
        <v>0</v>
      </c>
      <c r="N459" s="4">
        <f t="shared" si="70"/>
        <v>5956332.6399999997</v>
      </c>
      <c r="O459" s="4">
        <v>351044.33</v>
      </c>
      <c r="P459" s="4">
        <f t="shared" si="71"/>
        <v>1363.05</v>
      </c>
      <c r="Q459" s="4">
        <f>'Форма 2'!K1727</f>
        <v>3242</v>
      </c>
      <c r="R459" s="53" t="s">
        <v>161</v>
      </c>
      <c r="S459" s="5">
        <v>1</v>
      </c>
    </row>
    <row r="460" spans="1:19" x14ac:dyDescent="0.35">
      <c r="A460" s="20">
        <f t="shared" si="72"/>
        <v>20</v>
      </c>
      <c r="B460" s="101">
        <v>518</v>
      </c>
      <c r="C460" s="102" t="s">
        <v>93</v>
      </c>
      <c r="D460" s="60">
        <v>1967</v>
      </c>
      <c r="E460" s="25" t="s">
        <v>74</v>
      </c>
      <c r="F460" s="25" t="s">
        <v>152</v>
      </c>
      <c r="G460" s="4">
        <v>3114.19</v>
      </c>
      <c r="H460" s="4">
        <v>2925.19</v>
      </c>
      <c r="I460" s="103">
        <v>111</v>
      </c>
      <c r="J460" s="4">
        <f>'Форма 2'!I1730</f>
        <v>282992.38</v>
      </c>
      <c r="K460" s="4">
        <v>0</v>
      </c>
      <c r="L460" s="4">
        <v>0</v>
      </c>
      <c r="M460" s="4">
        <v>0</v>
      </c>
      <c r="N460" s="4">
        <f t="shared" si="70"/>
        <v>264790.21000000002</v>
      </c>
      <c r="O460" s="4">
        <v>18202.169999999998</v>
      </c>
      <c r="P460" s="4">
        <f t="shared" si="71"/>
        <v>96.74</v>
      </c>
      <c r="Q460" s="4">
        <f>'Форма 2'!K1730</f>
        <v>169</v>
      </c>
      <c r="R460" s="53" t="s">
        <v>161</v>
      </c>
      <c r="S460" s="5">
        <v>1</v>
      </c>
    </row>
    <row r="461" spans="1:19" x14ac:dyDescent="0.35">
      <c r="A461" s="20">
        <f t="shared" si="72"/>
        <v>21</v>
      </c>
      <c r="B461" s="20">
        <v>401</v>
      </c>
      <c r="C461" s="61" t="s">
        <v>80</v>
      </c>
      <c r="D461" s="60">
        <v>1962</v>
      </c>
      <c r="E461" s="25" t="s">
        <v>278</v>
      </c>
      <c r="F461" s="25" t="s">
        <v>152</v>
      </c>
      <c r="G461" s="4">
        <v>1419.1</v>
      </c>
      <c r="H461" s="4">
        <v>1277.0999999999999</v>
      </c>
      <c r="I461" s="19">
        <v>58</v>
      </c>
      <c r="J461" s="4">
        <f>'Форма 2'!I1732</f>
        <v>693465.3</v>
      </c>
      <c r="K461" s="4">
        <v>0</v>
      </c>
      <c r="L461" s="4">
        <v>0</v>
      </c>
      <c r="M461" s="4">
        <v>0</v>
      </c>
      <c r="N461" s="4">
        <f t="shared" si="70"/>
        <v>690994.03</v>
      </c>
      <c r="O461" s="4">
        <v>2471.27</v>
      </c>
      <c r="P461" s="4">
        <f t="shared" si="71"/>
        <v>543</v>
      </c>
      <c r="Q461" s="4">
        <f>'Форма 2'!K1732</f>
        <v>543</v>
      </c>
      <c r="R461" s="53" t="s">
        <v>161</v>
      </c>
      <c r="S461" s="5">
        <v>1</v>
      </c>
    </row>
    <row r="462" spans="1:19" x14ac:dyDescent="0.35">
      <c r="A462" s="20">
        <f t="shared" si="72"/>
        <v>22</v>
      </c>
      <c r="B462" s="101">
        <v>156</v>
      </c>
      <c r="C462" s="102" t="s">
        <v>528</v>
      </c>
      <c r="D462" s="60">
        <v>1951</v>
      </c>
      <c r="E462" s="60" t="s">
        <v>529</v>
      </c>
      <c r="F462" s="60" t="s">
        <v>183</v>
      </c>
      <c r="G462" s="4">
        <v>880</v>
      </c>
      <c r="H462" s="4">
        <v>835</v>
      </c>
      <c r="I462" s="103">
        <v>32</v>
      </c>
      <c r="J462" s="4">
        <f>'Форма 2'!I1735</f>
        <v>10959291</v>
      </c>
      <c r="K462" s="4">
        <v>0</v>
      </c>
      <c r="L462" s="4">
        <v>0</v>
      </c>
      <c r="M462" s="4">
        <v>0</v>
      </c>
      <c r="N462" s="4">
        <f t="shared" si="70"/>
        <v>10392057.630000001</v>
      </c>
      <c r="O462" s="4">
        <v>567233.37</v>
      </c>
      <c r="P462" s="4">
        <f t="shared" si="71"/>
        <v>13124.9</v>
      </c>
      <c r="Q462" s="4">
        <f>'Форма 2'!K1735</f>
        <v>18563</v>
      </c>
      <c r="R462" s="53" t="s">
        <v>161</v>
      </c>
      <c r="S462" s="5">
        <v>1</v>
      </c>
    </row>
    <row r="463" spans="1:19" x14ac:dyDescent="0.35">
      <c r="A463" s="20">
        <f t="shared" si="72"/>
        <v>23</v>
      </c>
      <c r="B463" s="101">
        <v>167</v>
      </c>
      <c r="C463" s="102" t="s">
        <v>530</v>
      </c>
      <c r="D463" s="60">
        <v>1952</v>
      </c>
      <c r="E463" s="60" t="s">
        <v>308</v>
      </c>
      <c r="F463" s="60" t="s">
        <v>183</v>
      </c>
      <c r="G463" s="4">
        <v>1004.08</v>
      </c>
      <c r="H463" s="4">
        <v>836.38</v>
      </c>
      <c r="I463" s="103">
        <v>32</v>
      </c>
      <c r="J463" s="4">
        <f>'Форма 2'!I1745</f>
        <v>8657014.7400000002</v>
      </c>
      <c r="K463" s="4">
        <v>0</v>
      </c>
      <c r="L463" s="4">
        <v>0</v>
      </c>
      <c r="M463" s="4">
        <v>0</v>
      </c>
      <c r="N463" s="4">
        <f t="shared" si="70"/>
        <v>8261891.0199999996</v>
      </c>
      <c r="O463" s="4">
        <v>395123.72</v>
      </c>
      <c r="P463" s="4">
        <f t="shared" si="71"/>
        <v>10350.58</v>
      </c>
      <c r="Q463" s="4">
        <f>'Форма 2'!K1745</f>
        <v>12544</v>
      </c>
      <c r="R463" s="53" t="s">
        <v>161</v>
      </c>
      <c r="S463" s="5">
        <v>1</v>
      </c>
    </row>
    <row r="464" spans="1:19" x14ac:dyDescent="0.35">
      <c r="A464" s="20">
        <f t="shared" si="72"/>
        <v>24</v>
      </c>
      <c r="B464" s="101">
        <v>203</v>
      </c>
      <c r="C464" s="102" t="s">
        <v>94</v>
      </c>
      <c r="D464" s="60">
        <v>1954</v>
      </c>
      <c r="E464" s="25" t="s">
        <v>527</v>
      </c>
      <c r="F464" s="25" t="s">
        <v>152</v>
      </c>
      <c r="G464" s="4">
        <v>454.23</v>
      </c>
      <c r="H464" s="4">
        <v>408.23</v>
      </c>
      <c r="I464" s="103">
        <v>15</v>
      </c>
      <c r="J464" s="4">
        <f>'Форма 2'!I1752</f>
        <v>84911.84</v>
      </c>
      <c r="K464" s="4">
        <v>0</v>
      </c>
      <c r="L464" s="4">
        <v>0</v>
      </c>
      <c r="M464" s="4">
        <v>0</v>
      </c>
      <c r="N464" s="4">
        <f t="shared" si="70"/>
        <v>81690.080000000002</v>
      </c>
      <c r="O464" s="4">
        <v>3221.76</v>
      </c>
      <c r="P464" s="4">
        <f t="shared" si="71"/>
        <v>208</v>
      </c>
      <c r="Q464" s="4">
        <f>'Форма 2'!K1752</f>
        <v>315</v>
      </c>
      <c r="R464" s="53" t="s">
        <v>161</v>
      </c>
      <c r="S464" s="5">
        <v>1</v>
      </c>
    </row>
    <row r="465" spans="1:19" x14ac:dyDescent="0.35">
      <c r="A465" s="20">
        <f t="shared" si="72"/>
        <v>25</v>
      </c>
      <c r="B465" s="101">
        <v>204</v>
      </c>
      <c r="C465" s="102" t="s">
        <v>95</v>
      </c>
      <c r="D465" s="60">
        <v>1954</v>
      </c>
      <c r="E465" s="25" t="s">
        <v>308</v>
      </c>
      <c r="F465" s="25" t="s">
        <v>152</v>
      </c>
      <c r="G465" s="4">
        <v>451.9</v>
      </c>
      <c r="H465" s="4">
        <v>405.9</v>
      </c>
      <c r="I465" s="103">
        <v>15</v>
      </c>
      <c r="J465" s="4">
        <f>'Форма 2'!I1755</f>
        <v>83116.800000000003</v>
      </c>
      <c r="K465" s="4">
        <v>0</v>
      </c>
      <c r="L465" s="4">
        <v>0</v>
      </c>
      <c r="M465" s="4">
        <v>0</v>
      </c>
      <c r="N465" s="4">
        <f t="shared" si="70"/>
        <v>79913.429999999993</v>
      </c>
      <c r="O465" s="4">
        <v>3203.37</v>
      </c>
      <c r="P465" s="4">
        <f t="shared" si="71"/>
        <v>204.77</v>
      </c>
      <c r="Q465" s="4">
        <f>'Форма 2'!K1755</f>
        <v>315</v>
      </c>
      <c r="R465" s="53" t="s">
        <v>161</v>
      </c>
      <c r="S465" s="5">
        <v>1</v>
      </c>
    </row>
    <row r="466" spans="1:19" x14ac:dyDescent="0.35">
      <c r="A466" s="20">
        <f t="shared" si="72"/>
        <v>26</v>
      </c>
      <c r="B466" s="101">
        <v>602</v>
      </c>
      <c r="C466" s="102" t="s">
        <v>531</v>
      </c>
      <c r="D466" s="60">
        <v>1973</v>
      </c>
      <c r="E466" s="60" t="s">
        <v>434</v>
      </c>
      <c r="F466" s="60" t="s">
        <v>152</v>
      </c>
      <c r="G466" s="4">
        <v>3290.6</v>
      </c>
      <c r="H466" s="4">
        <v>3240.43</v>
      </c>
      <c r="I466" s="103">
        <v>122</v>
      </c>
      <c r="J466" s="4">
        <f>'Форма 2'!I1758</f>
        <v>182393.47</v>
      </c>
      <c r="K466" s="4">
        <v>0</v>
      </c>
      <c r="L466" s="4">
        <v>0</v>
      </c>
      <c r="M466" s="4">
        <v>0</v>
      </c>
      <c r="N466" s="4">
        <f t="shared" si="70"/>
        <v>161614.95000000001</v>
      </c>
      <c r="O466" s="4">
        <v>20778.52</v>
      </c>
      <c r="P466" s="4">
        <f t="shared" si="71"/>
        <v>56.29</v>
      </c>
      <c r="Q466" s="4">
        <f>'Форма 2'!K1758</f>
        <v>184</v>
      </c>
      <c r="R466" s="53" t="s">
        <v>161</v>
      </c>
      <c r="S466" s="5">
        <v>1</v>
      </c>
    </row>
    <row r="467" spans="1:19" x14ac:dyDescent="0.35">
      <c r="A467" s="20">
        <f t="shared" si="72"/>
        <v>27</v>
      </c>
      <c r="B467" s="101">
        <v>284</v>
      </c>
      <c r="C467" s="102" t="s">
        <v>532</v>
      </c>
      <c r="D467" s="60">
        <v>1958</v>
      </c>
      <c r="E467" s="60" t="s">
        <v>527</v>
      </c>
      <c r="F467" s="60" t="s">
        <v>183</v>
      </c>
      <c r="G467" s="4">
        <v>2623.6</v>
      </c>
      <c r="H467" s="4">
        <v>2256.9</v>
      </c>
      <c r="I467" s="103">
        <v>80</v>
      </c>
      <c r="J467" s="4">
        <f>'Форма 2'!I1760</f>
        <v>14570273.43</v>
      </c>
      <c r="K467" s="4">
        <v>0</v>
      </c>
      <c r="L467" s="4">
        <v>0</v>
      </c>
      <c r="M467" s="4">
        <v>0</v>
      </c>
      <c r="N467" s="4">
        <f t="shared" si="70"/>
        <v>14092851.119999999</v>
      </c>
      <c r="O467" s="4">
        <v>477422.31</v>
      </c>
      <c r="P467" s="4">
        <f t="shared" si="71"/>
        <v>6455.88</v>
      </c>
      <c r="Q467" s="4">
        <f>'Форма 2'!K1760</f>
        <v>6642</v>
      </c>
      <c r="R467" s="53" t="s">
        <v>161</v>
      </c>
      <c r="S467" s="5">
        <v>1</v>
      </c>
    </row>
    <row r="468" spans="1:19" x14ac:dyDescent="0.35">
      <c r="A468" s="20">
        <f t="shared" si="72"/>
        <v>28</v>
      </c>
      <c r="B468" s="20">
        <v>527</v>
      </c>
      <c r="C468" s="61" t="s">
        <v>280</v>
      </c>
      <c r="D468" s="60">
        <v>1967</v>
      </c>
      <c r="E468" s="60" t="s">
        <v>74</v>
      </c>
      <c r="F468" s="60" t="s">
        <v>481</v>
      </c>
      <c r="G468" s="4">
        <v>3699.7</v>
      </c>
      <c r="H468" s="4">
        <v>3506</v>
      </c>
      <c r="I468" s="19">
        <v>155</v>
      </c>
      <c r="J468" s="4">
        <f>'Форма 2'!I1767</f>
        <v>6398795.1500000004</v>
      </c>
      <c r="K468" s="4">
        <v>0</v>
      </c>
      <c r="L468" s="4">
        <v>0</v>
      </c>
      <c r="M468" s="4">
        <v>0</v>
      </c>
      <c r="N468" s="4">
        <f t="shared" si="70"/>
        <v>6132822.5899999999</v>
      </c>
      <c r="O468" s="4">
        <v>265972.56</v>
      </c>
      <c r="P468" s="4">
        <f t="shared" si="71"/>
        <v>1825.1</v>
      </c>
      <c r="Q468" s="4">
        <f>'Форма 2'!K1767</f>
        <v>3242</v>
      </c>
      <c r="R468" s="53" t="s">
        <v>161</v>
      </c>
      <c r="S468" s="5">
        <v>1</v>
      </c>
    </row>
    <row r="469" spans="1:19" x14ac:dyDescent="0.35">
      <c r="A469" s="20">
        <f t="shared" si="72"/>
        <v>29</v>
      </c>
      <c r="B469" s="101">
        <v>606</v>
      </c>
      <c r="C469" s="102" t="s">
        <v>533</v>
      </c>
      <c r="D469" s="60">
        <v>1973</v>
      </c>
      <c r="E469" s="25" t="s">
        <v>74</v>
      </c>
      <c r="F469" s="25" t="s">
        <v>152</v>
      </c>
      <c r="G469" s="4">
        <v>6175.82</v>
      </c>
      <c r="H469" s="4">
        <v>5330.83</v>
      </c>
      <c r="I469" s="103">
        <v>127</v>
      </c>
      <c r="J469" s="4">
        <f>'Форма 2'!I1770</f>
        <v>415478.27</v>
      </c>
      <c r="K469" s="4">
        <v>0</v>
      </c>
      <c r="L469" s="4">
        <v>0</v>
      </c>
      <c r="M469" s="4">
        <v>0</v>
      </c>
      <c r="N469" s="4">
        <f t="shared" si="70"/>
        <v>394577.94</v>
      </c>
      <c r="O469" s="4">
        <v>20900.330000000002</v>
      </c>
      <c r="P469" s="4">
        <f t="shared" si="71"/>
        <v>77.94</v>
      </c>
      <c r="Q469" s="4">
        <f>'Форма 2'!K1770</f>
        <v>169</v>
      </c>
      <c r="R469" s="53" t="s">
        <v>161</v>
      </c>
      <c r="S469" s="5">
        <v>1</v>
      </c>
    </row>
    <row r="470" spans="1:19" x14ac:dyDescent="0.35">
      <c r="A470" s="20">
        <f t="shared" si="72"/>
        <v>30</v>
      </c>
      <c r="B470" s="20">
        <v>546</v>
      </c>
      <c r="C470" s="61" t="s">
        <v>283</v>
      </c>
      <c r="D470" s="60">
        <v>1968</v>
      </c>
      <c r="E470" s="60" t="s">
        <v>74</v>
      </c>
      <c r="F470" s="60" t="s">
        <v>481</v>
      </c>
      <c r="G470" s="4">
        <v>3855.8</v>
      </c>
      <c r="H470" s="4">
        <v>3568.8</v>
      </c>
      <c r="I470" s="19">
        <v>156</v>
      </c>
      <c r="J470" s="4">
        <f>'Форма 2'!I1772</f>
        <v>7134405.9199999999</v>
      </c>
      <c r="K470" s="4">
        <v>0</v>
      </c>
      <c r="L470" s="4">
        <v>0</v>
      </c>
      <c r="M470" s="4">
        <v>0</v>
      </c>
      <c r="N470" s="4">
        <f t="shared" si="70"/>
        <v>6863669.2199999997</v>
      </c>
      <c r="O470" s="4">
        <v>270736.7</v>
      </c>
      <c r="P470" s="4">
        <f t="shared" si="71"/>
        <v>1999.1</v>
      </c>
      <c r="Q470" s="4">
        <f>'Форма 2'!K1772</f>
        <v>3242</v>
      </c>
      <c r="R470" s="53" t="s">
        <v>161</v>
      </c>
      <c r="S470" s="5">
        <v>1</v>
      </c>
    </row>
    <row r="471" spans="1:19" x14ac:dyDescent="0.35">
      <c r="A471" s="20">
        <f t="shared" si="72"/>
        <v>31</v>
      </c>
      <c r="B471" s="20">
        <v>559</v>
      </c>
      <c r="C471" s="61" t="s">
        <v>284</v>
      </c>
      <c r="D471" s="60">
        <v>1969</v>
      </c>
      <c r="E471" s="60" t="s">
        <v>74</v>
      </c>
      <c r="F471" s="60" t="s">
        <v>481</v>
      </c>
      <c r="G471" s="4">
        <v>3872.2</v>
      </c>
      <c r="H471" s="4">
        <v>3585.2</v>
      </c>
      <c r="I471" s="19">
        <v>131</v>
      </c>
      <c r="J471" s="4">
        <f>'Форма 2'!I1775</f>
        <v>7097624.0300000003</v>
      </c>
      <c r="K471" s="4">
        <v>0</v>
      </c>
      <c r="L471" s="4">
        <v>0</v>
      </c>
      <c r="M471" s="4">
        <v>0</v>
      </c>
      <c r="N471" s="4">
        <f t="shared" si="70"/>
        <v>6825643.1900000004</v>
      </c>
      <c r="O471" s="4">
        <v>271980.84000000003</v>
      </c>
      <c r="P471" s="4">
        <f t="shared" si="71"/>
        <v>1979.7</v>
      </c>
      <c r="Q471" s="4">
        <f>'Форма 2'!K1775</f>
        <v>3242</v>
      </c>
      <c r="R471" s="53" t="s">
        <v>161</v>
      </c>
      <c r="S471" s="5">
        <v>1</v>
      </c>
    </row>
    <row r="472" spans="1:19" x14ac:dyDescent="0.35">
      <c r="A472" s="20">
        <f t="shared" si="72"/>
        <v>32</v>
      </c>
      <c r="B472" s="101">
        <v>521</v>
      </c>
      <c r="C472" s="102" t="s">
        <v>96</v>
      </c>
      <c r="D472" s="60">
        <v>1967</v>
      </c>
      <c r="E472" s="60" t="s">
        <v>74</v>
      </c>
      <c r="F472" s="60" t="s">
        <v>152</v>
      </c>
      <c r="G472" s="4">
        <v>3355.6</v>
      </c>
      <c r="H472" s="4">
        <v>2828.7</v>
      </c>
      <c r="I472" s="103">
        <v>107</v>
      </c>
      <c r="J472" s="4">
        <f>'Форма 2'!I1778</f>
        <v>223311.68</v>
      </c>
      <c r="K472" s="4">
        <v>0</v>
      </c>
      <c r="L472" s="4">
        <v>0</v>
      </c>
      <c r="M472" s="4">
        <v>0</v>
      </c>
      <c r="N472" s="4">
        <f t="shared" si="70"/>
        <v>205709.93</v>
      </c>
      <c r="O472" s="4">
        <v>17601.75</v>
      </c>
      <c r="P472" s="4">
        <f t="shared" si="71"/>
        <v>78.94</v>
      </c>
      <c r="Q472" s="4">
        <f>'Форма 2'!K1778</f>
        <v>169</v>
      </c>
      <c r="R472" s="53" t="s">
        <v>161</v>
      </c>
      <c r="S472" s="5">
        <v>1</v>
      </c>
    </row>
    <row r="473" spans="1:19" x14ac:dyDescent="0.35">
      <c r="A473" s="20">
        <f t="shared" si="72"/>
        <v>33</v>
      </c>
      <c r="B473" s="20">
        <v>524</v>
      </c>
      <c r="C473" s="61" t="s">
        <v>285</v>
      </c>
      <c r="D473" s="60">
        <v>1967</v>
      </c>
      <c r="E473" s="25" t="s">
        <v>74</v>
      </c>
      <c r="F473" s="25" t="s">
        <v>481</v>
      </c>
      <c r="G473" s="4">
        <v>4124.3100000000004</v>
      </c>
      <c r="H473" s="4">
        <v>3856.05</v>
      </c>
      <c r="I473" s="19">
        <v>103</v>
      </c>
      <c r="J473" s="4">
        <f>'Форма 2'!I1780</f>
        <v>5792997.9900000002</v>
      </c>
      <c r="K473" s="4">
        <v>0</v>
      </c>
      <c r="L473" s="4">
        <v>0</v>
      </c>
      <c r="M473" s="4">
        <v>0</v>
      </c>
      <c r="N473" s="4">
        <f t="shared" si="70"/>
        <v>5572093</v>
      </c>
      <c r="O473" s="4">
        <v>220904.99</v>
      </c>
      <c r="P473" s="4">
        <f t="shared" si="71"/>
        <v>1502.31</v>
      </c>
      <c r="Q473" s="4">
        <f>'Форма 2'!K1780</f>
        <v>3242</v>
      </c>
      <c r="R473" s="53" t="s">
        <v>161</v>
      </c>
      <c r="S473" s="5">
        <v>1</v>
      </c>
    </row>
    <row r="474" spans="1:19" x14ac:dyDescent="0.35">
      <c r="A474" s="20">
        <f t="shared" si="72"/>
        <v>34</v>
      </c>
      <c r="B474" s="20">
        <v>509</v>
      </c>
      <c r="C474" s="61" t="s">
        <v>286</v>
      </c>
      <c r="D474" s="60">
        <v>1965</v>
      </c>
      <c r="E474" s="25" t="s">
        <v>74</v>
      </c>
      <c r="F474" s="25" t="s">
        <v>481</v>
      </c>
      <c r="G474" s="4">
        <v>3249.8</v>
      </c>
      <c r="H474" s="4">
        <v>3004.2</v>
      </c>
      <c r="I474" s="19">
        <v>111</v>
      </c>
      <c r="J474" s="4">
        <f>'Форма 2'!I1783</f>
        <v>4574315.17</v>
      </c>
      <c r="K474" s="4">
        <v>0</v>
      </c>
      <c r="L474" s="4">
        <v>0</v>
      </c>
      <c r="M474" s="4">
        <v>0</v>
      </c>
      <c r="N474" s="4">
        <f t="shared" si="70"/>
        <v>4370989.07</v>
      </c>
      <c r="O474" s="4">
        <v>203326.1</v>
      </c>
      <c r="P474" s="4">
        <f t="shared" si="71"/>
        <v>1522.64</v>
      </c>
      <c r="Q474" s="4">
        <f>'Форма 2'!K1783</f>
        <v>3242</v>
      </c>
      <c r="R474" s="53" t="s">
        <v>161</v>
      </c>
      <c r="S474" s="5">
        <v>1</v>
      </c>
    </row>
    <row r="475" spans="1:19" x14ac:dyDescent="0.35">
      <c r="A475" s="20">
        <f t="shared" si="72"/>
        <v>35</v>
      </c>
      <c r="B475" s="20">
        <v>617</v>
      </c>
      <c r="C475" s="61" t="s">
        <v>287</v>
      </c>
      <c r="D475" s="60">
        <v>1974</v>
      </c>
      <c r="E475" s="25" t="s">
        <v>74</v>
      </c>
      <c r="F475" s="25" t="s">
        <v>481</v>
      </c>
      <c r="G475" s="4">
        <v>5219.72</v>
      </c>
      <c r="H475" s="4">
        <v>4525.22</v>
      </c>
      <c r="I475" s="19">
        <v>182</v>
      </c>
      <c r="J475" s="4">
        <f>'Форма 2'!I1786</f>
        <v>6810797.4800000004</v>
      </c>
      <c r="K475" s="4">
        <v>0</v>
      </c>
      <c r="L475" s="4">
        <v>0</v>
      </c>
      <c r="M475" s="4">
        <v>0</v>
      </c>
      <c r="N475" s="4">
        <f t="shared" si="70"/>
        <v>6549768.9400000004</v>
      </c>
      <c r="O475" s="4">
        <v>261028.54</v>
      </c>
      <c r="P475" s="4">
        <f t="shared" si="71"/>
        <v>1505.08</v>
      </c>
      <c r="Q475" s="4">
        <f>'Форма 2'!K1786</f>
        <v>3242</v>
      </c>
      <c r="R475" s="53" t="s">
        <v>161</v>
      </c>
      <c r="S475" s="5">
        <v>1</v>
      </c>
    </row>
    <row r="476" spans="1:19" x14ac:dyDescent="0.35">
      <c r="A476" s="20">
        <f t="shared" si="72"/>
        <v>36</v>
      </c>
      <c r="B476" s="101">
        <v>479</v>
      </c>
      <c r="C476" s="102" t="s">
        <v>97</v>
      </c>
      <c r="D476" s="60">
        <v>1964</v>
      </c>
      <c r="E476" s="25" t="s">
        <v>74</v>
      </c>
      <c r="F476" s="25" t="s">
        <v>152</v>
      </c>
      <c r="G476" s="4">
        <v>2748.2</v>
      </c>
      <c r="H476" s="4">
        <v>1986.2</v>
      </c>
      <c r="I476" s="103">
        <v>75</v>
      </c>
      <c r="J476" s="4">
        <f>'Форма 2'!I1789</f>
        <v>259427.87</v>
      </c>
      <c r="K476" s="4">
        <v>0</v>
      </c>
      <c r="L476" s="4">
        <v>0</v>
      </c>
      <c r="M476" s="4">
        <v>0</v>
      </c>
      <c r="N476" s="4">
        <f t="shared" si="70"/>
        <v>247068.62</v>
      </c>
      <c r="O476" s="4">
        <v>12359.25</v>
      </c>
      <c r="P476" s="4">
        <f t="shared" si="71"/>
        <v>130.62</v>
      </c>
      <c r="Q476" s="4">
        <f>'Форма 2'!K1789</f>
        <v>169</v>
      </c>
      <c r="R476" s="53" t="s">
        <v>161</v>
      </c>
      <c r="S476" s="5">
        <v>1</v>
      </c>
    </row>
    <row r="477" spans="1:19" x14ac:dyDescent="0.35">
      <c r="A477" s="20">
        <f t="shared" si="72"/>
        <v>37</v>
      </c>
      <c r="B477" s="20">
        <v>512</v>
      </c>
      <c r="C477" s="61" t="s">
        <v>288</v>
      </c>
      <c r="D477" s="60">
        <v>1966</v>
      </c>
      <c r="E477" s="25" t="s">
        <v>289</v>
      </c>
      <c r="F477" s="25" t="s">
        <v>160</v>
      </c>
      <c r="G477" s="4">
        <v>1736.9</v>
      </c>
      <c r="H477" s="4">
        <v>1615.9</v>
      </c>
      <c r="I477" s="19">
        <v>71</v>
      </c>
      <c r="J477" s="4">
        <f>'Форма 2'!I1791</f>
        <v>170154.26</v>
      </c>
      <c r="K477" s="4">
        <v>0</v>
      </c>
      <c r="L477" s="4">
        <v>0</v>
      </c>
      <c r="M477" s="4">
        <v>0</v>
      </c>
      <c r="N477" s="4">
        <f t="shared" si="70"/>
        <v>164433.93</v>
      </c>
      <c r="O477" s="4">
        <v>5720.33</v>
      </c>
      <c r="P477" s="4">
        <f t="shared" si="71"/>
        <v>105.3</v>
      </c>
      <c r="Q477" s="4">
        <f>'Форма 2'!K1791</f>
        <v>295</v>
      </c>
      <c r="R477" s="53" t="s">
        <v>493</v>
      </c>
      <c r="S477" s="5">
        <v>1</v>
      </c>
    </row>
    <row r="478" spans="1:19" x14ac:dyDescent="0.35">
      <c r="A478" s="20">
        <f t="shared" si="72"/>
        <v>38</v>
      </c>
      <c r="B478" s="101">
        <v>717</v>
      </c>
      <c r="C478" s="102" t="s">
        <v>534</v>
      </c>
      <c r="D478" s="60">
        <v>1980</v>
      </c>
      <c r="E478" s="60" t="s">
        <v>74</v>
      </c>
      <c r="F478" s="60" t="s">
        <v>152</v>
      </c>
      <c r="G478" s="4">
        <v>3065.92</v>
      </c>
      <c r="H478" s="4">
        <v>2621.92</v>
      </c>
      <c r="I478" s="103">
        <v>99</v>
      </c>
      <c r="J478" s="4">
        <f>'Форма 2'!I1794</f>
        <v>441328.72</v>
      </c>
      <c r="K478" s="4">
        <v>0</v>
      </c>
      <c r="L478" s="4">
        <v>0</v>
      </c>
      <c r="M478" s="4">
        <v>0</v>
      </c>
      <c r="N478" s="4">
        <f t="shared" si="70"/>
        <v>425013.67</v>
      </c>
      <c r="O478" s="4">
        <v>16315.05</v>
      </c>
      <c r="P478" s="4">
        <f t="shared" si="71"/>
        <v>168.32</v>
      </c>
      <c r="Q478" s="4">
        <f>'Форма 2'!K1794</f>
        <v>169</v>
      </c>
      <c r="R478" s="53" t="s">
        <v>161</v>
      </c>
      <c r="S478" s="5">
        <v>1</v>
      </c>
    </row>
    <row r="479" spans="1:19" x14ac:dyDescent="0.35">
      <c r="A479" s="20">
        <f t="shared" si="72"/>
        <v>39</v>
      </c>
      <c r="B479" s="20">
        <v>574</v>
      </c>
      <c r="C479" s="61" t="s">
        <v>290</v>
      </c>
      <c r="D479" s="60">
        <v>1971</v>
      </c>
      <c r="E479" s="25" t="s">
        <v>74</v>
      </c>
      <c r="F479" s="25" t="s">
        <v>481</v>
      </c>
      <c r="G479" s="4">
        <v>3573</v>
      </c>
      <c r="H479" s="4">
        <v>3042.6</v>
      </c>
      <c r="I479" s="19">
        <v>180</v>
      </c>
      <c r="J479" s="4">
        <f>'Форма 2'!I1796</f>
        <v>4909387.8</v>
      </c>
      <c r="K479" s="4">
        <v>0</v>
      </c>
      <c r="L479" s="4">
        <v>0</v>
      </c>
      <c r="M479" s="4">
        <v>0</v>
      </c>
      <c r="N479" s="4">
        <f t="shared" si="70"/>
        <v>4722177.6100000003</v>
      </c>
      <c r="O479" s="4">
        <v>187210.19</v>
      </c>
      <c r="P479" s="4">
        <f t="shared" si="71"/>
        <v>1613.55</v>
      </c>
      <c r="Q479" s="4">
        <f>'Форма 2'!K1796</f>
        <v>3242</v>
      </c>
      <c r="R479" s="53" t="s">
        <v>161</v>
      </c>
      <c r="S479" s="5">
        <v>1</v>
      </c>
    </row>
    <row r="480" spans="1:19" x14ac:dyDescent="0.35">
      <c r="A480" s="20">
        <f t="shared" si="72"/>
        <v>40</v>
      </c>
      <c r="B480" s="101">
        <v>138</v>
      </c>
      <c r="C480" s="102" t="s">
        <v>535</v>
      </c>
      <c r="D480" s="60">
        <v>1949</v>
      </c>
      <c r="E480" s="25" t="s">
        <v>527</v>
      </c>
      <c r="F480" s="25" t="s">
        <v>183</v>
      </c>
      <c r="G480" s="4">
        <v>2360</v>
      </c>
      <c r="H480" s="4">
        <v>1517.65</v>
      </c>
      <c r="I480" s="104">
        <v>32</v>
      </c>
      <c r="J480" s="4">
        <f>'Форма 2'!I1799</f>
        <v>14215229.220000001</v>
      </c>
      <c r="K480" s="4">
        <v>0</v>
      </c>
      <c r="L480" s="4">
        <v>0</v>
      </c>
      <c r="M480" s="4">
        <v>0</v>
      </c>
      <c r="N480" s="4">
        <f>J480-K480-L480-M480-O480</f>
        <v>13811616.09</v>
      </c>
      <c r="O480" s="4">
        <v>403613.13</v>
      </c>
      <c r="P480" s="4">
        <f t="shared" si="71"/>
        <v>9366.61</v>
      </c>
      <c r="Q480" s="4">
        <f>'Форма 2'!K1799</f>
        <v>9602</v>
      </c>
      <c r="R480" s="53" t="s">
        <v>161</v>
      </c>
      <c r="S480" s="5">
        <v>1</v>
      </c>
    </row>
    <row r="481" spans="1:23" x14ac:dyDescent="0.35">
      <c r="A481" s="20">
        <f t="shared" si="72"/>
        <v>41</v>
      </c>
      <c r="B481" s="101">
        <v>139</v>
      </c>
      <c r="C481" s="102" t="s">
        <v>536</v>
      </c>
      <c r="D481" s="60">
        <v>1949</v>
      </c>
      <c r="E481" s="60" t="s">
        <v>527</v>
      </c>
      <c r="F481" s="60" t="s">
        <v>183</v>
      </c>
      <c r="G481" s="4">
        <v>1920.5</v>
      </c>
      <c r="H481" s="4">
        <v>1532.29</v>
      </c>
      <c r="I481" s="103">
        <v>44</v>
      </c>
      <c r="J481" s="4">
        <f>'Форма 2'!I1806</f>
        <v>14356041.83</v>
      </c>
      <c r="K481" s="4">
        <v>0</v>
      </c>
      <c r="L481" s="4">
        <v>0</v>
      </c>
      <c r="M481" s="4">
        <v>0</v>
      </c>
      <c r="N481" s="4">
        <f>J481-K481-L481-M481-O481</f>
        <v>13934620.51</v>
      </c>
      <c r="O481" s="4">
        <v>421421.32</v>
      </c>
      <c r="P481" s="4">
        <f t="shared" si="71"/>
        <v>9369.01</v>
      </c>
      <c r="Q481" s="4">
        <f>'Форма 2'!K1806</f>
        <v>9602</v>
      </c>
      <c r="R481" s="53" t="s">
        <v>161</v>
      </c>
      <c r="S481" s="5">
        <v>1</v>
      </c>
    </row>
    <row r="482" spans="1:23" x14ac:dyDescent="0.35">
      <c r="A482" s="20">
        <f t="shared" si="72"/>
        <v>42</v>
      </c>
      <c r="B482" s="101">
        <v>565</v>
      </c>
      <c r="C482" s="102" t="s">
        <v>98</v>
      </c>
      <c r="D482" s="60">
        <v>1970</v>
      </c>
      <c r="E482" s="25" t="s">
        <v>74</v>
      </c>
      <c r="F482" s="25" t="s">
        <v>152</v>
      </c>
      <c r="G482" s="4">
        <v>2940.2</v>
      </c>
      <c r="H482" s="4">
        <v>2692.2</v>
      </c>
      <c r="I482" s="103">
        <v>102</v>
      </c>
      <c r="J482" s="4">
        <f>'Форма 2'!I1813</f>
        <v>168493.66</v>
      </c>
      <c r="K482" s="4">
        <v>0</v>
      </c>
      <c r="L482" s="4">
        <v>0</v>
      </c>
      <c r="M482" s="4">
        <v>0</v>
      </c>
      <c r="N482" s="4">
        <f t="shared" si="70"/>
        <v>151741.28</v>
      </c>
      <c r="O482" s="4">
        <v>16752.38</v>
      </c>
      <c r="P482" s="4">
        <f t="shared" si="71"/>
        <v>62.59</v>
      </c>
      <c r="Q482" s="4">
        <f>'Форма 2'!K1813</f>
        <v>169</v>
      </c>
      <c r="R482" s="53" t="s">
        <v>161</v>
      </c>
      <c r="S482" s="5">
        <v>1</v>
      </c>
    </row>
    <row r="483" spans="1:23" x14ac:dyDescent="0.35">
      <c r="A483" s="20">
        <f t="shared" si="72"/>
        <v>43</v>
      </c>
      <c r="B483" s="20">
        <v>566</v>
      </c>
      <c r="C483" s="61" t="s">
        <v>292</v>
      </c>
      <c r="D483" s="60">
        <v>1970</v>
      </c>
      <c r="E483" s="60" t="s">
        <v>74</v>
      </c>
      <c r="F483" s="60" t="s">
        <v>481</v>
      </c>
      <c r="G483" s="4">
        <v>3405.3</v>
      </c>
      <c r="H483" s="4">
        <v>3195.7</v>
      </c>
      <c r="I483" s="19">
        <v>149</v>
      </c>
      <c r="J483" s="4">
        <f>'Форма 2'!I1815</f>
        <v>4435942.42</v>
      </c>
      <c r="K483" s="4">
        <v>0</v>
      </c>
      <c r="L483" s="4">
        <v>0</v>
      </c>
      <c r="M483" s="4">
        <v>0</v>
      </c>
      <c r="N483" s="4">
        <f t="shared" si="70"/>
        <v>4266786.17</v>
      </c>
      <c r="O483" s="4">
        <v>169156.25</v>
      </c>
      <c r="P483" s="4">
        <f t="shared" si="71"/>
        <v>1388.1</v>
      </c>
      <c r="Q483" s="4">
        <f>'Форма 2'!K1815</f>
        <v>3242</v>
      </c>
      <c r="R483" s="53" t="s">
        <v>161</v>
      </c>
      <c r="S483" s="5">
        <v>1</v>
      </c>
    </row>
    <row r="484" spans="1:23" x14ac:dyDescent="0.35">
      <c r="A484" s="20">
        <f t="shared" si="72"/>
        <v>44</v>
      </c>
      <c r="B484" s="101">
        <v>519</v>
      </c>
      <c r="C484" s="102" t="s">
        <v>99</v>
      </c>
      <c r="D484" s="60">
        <v>1967</v>
      </c>
      <c r="E484" s="60" t="s">
        <v>74</v>
      </c>
      <c r="F484" s="60" t="s">
        <v>152</v>
      </c>
      <c r="G484" s="4">
        <v>3152.8</v>
      </c>
      <c r="H484" s="4">
        <v>2547.1999999999998</v>
      </c>
      <c r="I484" s="103">
        <v>96</v>
      </c>
      <c r="J484" s="4">
        <f>'Форма 2'!I1818</f>
        <v>251612.19</v>
      </c>
      <c r="K484" s="4">
        <v>0</v>
      </c>
      <c r="L484" s="4">
        <v>0</v>
      </c>
      <c r="M484" s="4">
        <v>0</v>
      </c>
      <c r="N484" s="4">
        <f t="shared" si="70"/>
        <v>235762.09</v>
      </c>
      <c r="O484" s="4">
        <v>15850.1</v>
      </c>
      <c r="P484" s="4">
        <f t="shared" si="71"/>
        <v>98.78</v>
      </c>
      <c r="Q484" s="4">
        <f>'Форма 2'!K1818</f>
        <v>169</v>
      </c>
      <c r="R484" s="53" t="s">
        <v>161</v>
      </c>
      <c r="S484" s="5">
        <v>1</v>
      </c>
    </row>
    <row r="485" spans="1:23" s="3" customFormat="1" x14ac:dyDescent="0.35">
      <c r="A485" s="20">
        <f t="shared" si="72"/>
        <v>45</v>
      </c>
      <c r="B485" s="20">
        <v>653</v>
      </c>
      <c r="C485" s="61" t="s">
        <v>293</v>
      </c>
      <c r="D485" s="60">
        <v>1978</v>
      </c>
      <c r="E485" s="25" t="s">
        <v>74</v>
      </c>
      <c r="F485" s="25" t="s">
        <v>481</v>
      </c>
      <c r="G485" s="4">
        <v>3299.15</v>
      </c>
      <c r="H485" s="4">
        <v>3054.95</v>
      </c>
      <c r="I485" s="19">
        <v>137</v>
      </c>
      <c r="J485" s="4">
        <f>'Форма 2'!I1820</f>
        <v>4743351.45</v>
      </c>
      <c r="K485" s="4">
        <v>0</v>
      </c>
      <c r="L485" s="4">
        <v>0</v>
      </c>
      <c r="M485" s="4">
        <v>0</v>
      </c>
      <c r="N485" s="4">
        <f t="shared" si="70"/>
        <v>4560501.9800000004</v>
      </c>
      <c r="O485" s="4">
        <v>182849.47</v>
      </c>
      <c r="P485" s="4">
        <f t="shared" si="71"/>
        <v>1552.68</v>
      </c>
      <c r="Q485" s="4">
        <f>'Форма 2'!K1820</f>
        <v>3242</v>
      </c>
      <c r="R485" s="53" t="s">
        <v>161</v>
      </c>
      <c r="S485" s="5">
        <v>1</v>
      </c>
      <c r="T485" s="1"/>
      <c r="U485" s="1"/>
      <c r="V485" s="1"/>
      <c r="W485" s="1"/>
    </row>
    <row r="486" spans="1:23" ht="31" x14ac:dyDescent="0.35">
      <c r="A486" s="27">
        <f t="shared" si="72"/>
        <v>46</v>
      </c>
      <c r="B486" s="27">
        <v>562</v>
      </c>
      <c r="C486" s="61" t="s">
        <v>537</v>
      </c>
      <c r="D486" s="25">
        <v>1970</v>
      </c>
      <c r="E486" s="25" t="s">
        <v>538</v>
      </c>
      <c r="F486" s="25" t="s">
        <v>183</v>
      </c>
      <c r="G486" s="35">
        <v>3642.3</v>
      </c>
      <c r="H486" s="35">
        <v>3330.3</v>
      </c>
      <c r="I486" s="103">
        <v>126</v>
      </c>
      <c r="J486" s="35">
        <f>'Форма 2'!I1823</f>
        <v>13788809.41</v>
      </c>
      <c r="K486" s="35"/>
      <c r="L486" s="35">
        <v>0</v>
      </c>
      <c r="M486" s="35">
        <v>0</v>
      </c>
      <c r="N486" s="35">
        <f t="shared" si="70"/>
        <v>13024333.23</v>
      </c>
      <c r="O486" s="35">
        <v>764476.18</v>
      </c>
      <c r="P486" s="35">
        <f t="shared" si="71"/>
        <v>4140.41</v>
      </c>
      <c r="Q486" s="35">
        <f>'Форма 2'!K1823</f>
        <v>6466</v>
      </c>
      <c r="R486" s="62" t="s">
        <v>161</v>
      </c>
      <c r="S486" s="63">
        <v>1</v>
      </c>
    </row>
    <row r="487" spans="1:23" s="3" customFormat="1" x14ac:dyDescent="0.35">
      <c r="A487" s="20">
        <f t="shared" si="72"/>
        <v>47</v>
      </c>
      <c r="B487" s="101">
        <v>720</v>
      </c>
      <c r="C487" s="102" t="s">
        <v>539</v>
      </c>
      <c r="D487" s="60">
        <v>1981</v>
      </c>
      <c r="E487" s="60" t="s">
        <v>74</v>
      </c>
      <c r="F487" s="60" t="s">
        <v>152</v>
      </c>
      <c r="G487" s="4">
        <v>5256</v>
      </c>
      <c r="H487" s="4">
        <v>5022</v>
      </c>
      <c r="I487" s="103">
        <v>190</v>
      </c>
      <c r="J487" s="4">
        <f>'Форма 2'!I1833</f>
        <v>844926.56</v>
      </c>
      <c r="K487" s="4">
        <v>0</v>
      </c>
      <c r="L487" s="4">
        <v>0</v>
      </c>
      <c r="M487" s="4">
        <v>0</v>
      </c>
      <c r="N487" s="4">
        <f t="shared" si="70"/>
        <v>813676.86</v>
      </c>
      <c r="O487" s="4">
        <v>31249.7</v>
      </c>
      <c r="P487" s="4">
        <f t="shared" si="71"/>
        <v>168.25</v>
      </c>
      <c r="Q487" s="4">
        <f>'Форма 2'!K1833</f>
        <v>169</v>
      </c>
      <c r="R487" s="53" t="s">
        <v>161</v>
      </c>
      <c r="S487" s="5">
        <v>1</v>
      </c>
      <c r="T487" s="1"/>
      <c r="U487" s="1"/>
      <c r="V487" s="1"/>
      <c r="W487" s="1"/>
    </row>
    <row r="488" spans="1:23" s="3" customFormat="1" x14ac:dyDescent="0.35">
      <c r="A488" s="27">
        <f t="shared" si="72"/>
        <v>48</v>
      </c>
      <c r="B488" s="27">
        <v>647</v>
      </c>
      <c r="C488" s="61" t="s">
        <v>294</v>
      </c>
      <c r="D488" s="25">
        <v>1976</v>
      </c>
      <c r="E488" s="25" t="s">
        <v>263</v>
      </c>
      <c r="F488" s="25" t="s">
        <v>698</v>
      </c>
      <c r="G488" s="4">
        <v>3976.8</v>
      </c>
      <c r="H488" s="4">
        <f>2513.6+194.6</f>
        <v>2708.2</v>
      </c>
      <c r="I488" s="36">
        <v>175</v>
      </c>
      <c r="J488" s="35">
        <f>'Форма 2'!I1835</f>
        <v>9805318.5999999996</v>
      </c>
      <c r="K488" s="35">
        <v>0</v>
      </c>
      <c r="L488" s="35">
        <v>0</v>
      </c>
      <c r="M488" s="35">
        <v>0</v>
      </c>
      <c r="N488" s="35">
        <f t="shared" si="70"/>
        <v>9525506.7799999993</v>
      </c>
      <c r="O488" s="35">
        <v>279811.82</v>
      </c>
      <c r="P488" s="35">
        <f t="shared" si="71"/>
        <v>3620.6</v>
      </c>
      <c r="Q488" s="35">
        <f>'Форма 2'!K1835</f>
        <v>3640</v>
      </c>
      <c r="R488" s="62" t="s">
        <v>161</v>
      </c>
      <c r="S488" s="63">
        <v>1</v>
      </c>
      <c r="T488" s="1"/>
      <c r="V488" s="1"/>
      <c r="W488" s="1"/>
    </row>
    <row r="489" spans="1:23" x14ac:dyDescent="0.35">
      <c r="A489" s="27">
        <f t="shared" si="72"/>
        <v>49</v>
      </c>
      <c r="B489" s="105">
        <v>811</v>
      </c>
      <c r="C489" s="102" t="s">
        <v>713</v>
      </c>
      <c r="D489" s="25">
        <v>1986</v>
      </c>
      <c r="E489" s="25" t="s">
        <v>235</v>
      </c>
      <c r="F489" s="25" t="s">
        <v>152</v>
      </c>
      <c r="G489" s="35">
        <v>4962.1000000000004</v>
      </c>
      <c r="H489" s="35">
        <v>4347.7</v>
      </c>
      <c r="I489" s="103">
        <v>164</v>
      </c>
      <c r="J489" s="35">
        <f>'Форма 2'!I1842</f>
        <v>395640.7</v>
      </c>
      <c r="K489" s="35">
        <v>0</v>
      </c>
      <c r="L489" s="35">
        <v>0</v>
      </c>
      <c r="M489" s="35">
        <v>0</v>
      </c>
      <c r="N489" s="35">
        <f t="shared" si="70"/>
        <v>380464.17</v>
      </c>
      <c r="O489" s="35">
        <v>15176.53</v>
      </c>
      <c r="P489" s="35">
        <f t="shared" si="71"/>
        <v>91</v>
      </c>
      <c r="Q489" s="35">
        <f>'Форма 2'!K1842</f>
        <v>91</v>
      </c>
      <c r="R489" s="62" t="s">
        <v>161</v>
      </c>
      <c r="S489" s="63">
        <v>1</v>
      </c>
    </row>
    <row r="490" spans="1:23" x14ac:dyDescent="0.35">
      <c r="A490" s="20">
        <f t="shared" si="72"/>
        <v>50</v>
      </c>
      <c r="B490" s="101">
        <v>575</v>
      </c>
      <c r="C490" s="102" t="s">
        <v>540</v>
      </c>
      <c r="D490" s="60">
        <v>1971</v>
      </c>
      <c r="E490" s="25" t="s">
        <v>289</v>
      </c>
      <c r="F490" s="25" t="s">
        <v>152</v>
      </c>
      <c r="G490" s="4">
        <v>6639</v>
      </c>
      <c r="H490" s="4">
        <v>5843.3</v>
      </c>
      <c r="I490" s="103">
        <v>221</v>
      </c>
      <c r="J490" s="4">
        <f>'Форма 2'!I1844</f>
        <v>52589.7</v>
      </c>
      <c r="K490" s="4">
        <v>0</v>
      </c>
      <c r="L490" s="4">
        <v>0</v>
      </c>
      <c r="M490" s="4">
        <v>0</v>
      </c>
      <c r="N490" s="4">
        <f t="shared" si="70"/>
        <v>50816.03</v>
      </c>
      <c r="O490" s="4">
        <v>1773.67</v>
      </c>
      <c r="P490" s="4">
        <f t="shared" si="71"/>
        <v>9</v>
      </c>
      <c r="Q490" s="4">
        <f>'Форма 2'!K1844</f>
        <v>9</v>
      </c>
      <c r="R490" s="53" t="s">
        <v>161</v>
      </c>
      <c r="S490" s="5">
        <v>1</v>
      </c>
      <c r="U490" s="3"/>
    </row>
    <row r="491" spans="1:23" x14ac:dyDescent="0.35">
      <c r="A491" s="20">
        <f t="shared" si="72"/>
        <v>51</v>
      </c>
      <c r="B491" s="101">
        <v>618</v>
      </c>
      <c r="C491" s="102" t="s">
        <v>541</v>
      </c>
      <c r="D491" s="60">
        <v>1974</v>
      </c>
      <c r="E491" s="25" t="s">
        <v>289</v>
      </c>
      <c r="F491" s="25" t="s">
        <v>152</v>
      </c>
      <c r="G491" s="4">
        <v>5400.2</v>
      </c>
      <c r="H491" s="4">
        <v>4979.6000000000004</v>
      </c>
      <c r="I491" s="103">
        <v>172</v>
      </c>
      <c r="J491" s="4">
        <f>'Форма 2'!I1846</f>
        <v>44816.4</v>
      </c>
      <c r="K491" s="4">
        <v>0</v>
      </c>
      <c r="L491" s="4">
        <v>0</v>
      </c>
      <c r="M491" s="4">
        <v>0</v>
      </c>
      <c r="N491" s="4">
        <f t="shared" si="70"/>
        <v>43304.89</v>
      </c>
      <c r="O491" s="4">
        <v>1511.51</v>
      </c>
      <c r="P491" s="4">
        <f t="shared" si="71"/>
        <v>9</v>
      </c>
      <c r="Q491" s="4">
        <f>'Форма 2'!K1846</f>
        <v>9</v>
      </c>
      <c r="R491" s="53" t="s">
        <v>161</v>
      </c>
      <c r="S491" s="5">
        <v>1</v>
      </c>
      <c r="U491" s="3"/>
    </row>
    <row r="492" spans="1:23" x14ac:dyDescent="0.35">
      <c r="A492" s="20">
        <f t="shared" si="72"/>
        <v>52</v>
      </c>
      <c r="B492" s="20">
        <v>532</v>
      </c>
      <c r="C492" s="61" t="s">
        <v>299</v>
      </c>
      <c r="D492" s="60">
        <v>1967</v>
      </c>
      <c r="E492" s="60" t="s">
        <v>74</v>
      </c>
      <c r="F492" s="60" t="s">
        <v>481</v>
      </c>
      <c r="G492" s="4">
        <v>3940.36</v>
      </c>
      <c r="H492" s="4">
        <v>3750.3</v>
      </c>
      <c r="I492" s="19">
        <v>228</v>
      </c>
      <c r="J492" s="4">
        <f>'Форма 2'!I1848</f>
        <v>6519561.1399999997</v>
      </c>
      <c r="K492" s="4">
        <v>0</v>
      </c>
      <c r="L492" s="4">
        <v>0</v>
      </c>
      <c r="M492" s="4">
        <v>0</v>
      </c>
      <c r="N492" s="4">
        <f t="shared" si="70"/>
        <v>6272193.0999999996</v>
      </c>
      <c r="O492" s="4">
        <v>247368.04</v>
      </c>
      <c r="P492" s="4">
        <f t="shared" si="71"/>
        <v>1738.41</v>
      </c>
      <c r="Q492" s="4">
        <f>'Форма 2'!K1848</f>
        <v>3242</v>
      </c>
      <c r="R492" s="53" t="s">
        <v>161</v>
      </c>
      <c r="S492" s="5">
        <v>1</v>
      </c>
    </row>
    <row r="493" spans="1:23" x14ac:dyDescent="0.35">
      <c r="A493" s="20">
        <f t="shared" si="72"/>
        <v>53</v>
      </c>
      <c r="B493" s="20">
        <v>588</v>
      </c>
      <c r="C493" s="61" t="s">
        <v>300</v>
      </c>
      <c r="D493" s="60">
        <v>1972</v>
      </c>
      <c r="E493" s="60" t="s">
        <v>74</v>
      </c>
      <c r="F493" s="60" t="s">
        <v>481</v>
      </c>
      <c r="G493" s="4">
        <v>2356.1</v>
      </c>
      <c r="H493" s="4">
        <v>1171.8</v>
      </c>
      <c r="I493" s="19">
        <v>75</v>
      </c>
      <c r="J493" s="4">
        <f>'Форма 2'!I1851</f>
        <v>2342551.2400000002</v>
      </c>
      <c r="K493" s="4">
        <v>0</v>
      </c>
      <c r="L493" s="4">
        <v>0</v>
      </c>
      <c r="M493" s="4">
        <v>0</v>
      </c>
      <c r="N493" s="4">
        <f t="shared" si="70"/>
        <v>2253656.02</v>
      </c>
      <c r="O493" s="4">
        <v>88895.22</v>
      </c>
      <c r="P493" s="4">
        <f t="shared" si="71"/>
        <v>1999.11</v>
      </c>
      <c r="Q493" s="4">
        <f>'Форма 2'!K1851</f>
        <v>3242</v>
      </c>
      <c r="R493" s="53" t="s">
        <v>161</v>
      </c>
      <c r="S493" s="5">
        <v>1</v>
      </c>
    </row>
    <row r="494" spans="1:23" s="3" customFormat="1" x14ac:dyDescent="0.35">
      <c r="A494" s="20">
        <f t="shared" si="72"/>
        <v>54</v>
      </c>
      <c r="B494" s="101">
        <v>581</v>
      </c>
      <c r="C494" s="102" t="s">
        <v>542</v>
      </c>
      <c r="D494" s="60">
        <v>1972</v>
      </c>
      <c r="E494" s="25" t="s">
        <v>239</v>
      </c>
      <c r="F494" s="25" t="s">
        <v>152</v>
      </c>
      <c r="G494" s="4">
        <v>5296</v>
      </c>
      <c r="H494" s="4">
        <v>3817</v>
      </c>
      <c r="I494" s="103">
        <v>144</v>
      </c>
      <c r="J494" s="4">
        <f>'Форма 2'!I1854</f>
        <v>110254.04</v>
      </c>
      <c r="K494" s="4">
        <v>0</v>
      </c>
      <c r="L494" s="4">
        <v>0</v>
      </c>
      <c r="M494" s="4">
        <v>0</v>
      </c>
      <c r="N494" s="4">
        <f t="shared" si="70"/>
        <v>106633.38</v>
      </c>
      <c r="O494" s="4">
        <v>3620.66</v>
      </c>
      <c r="P494" s="4">
        <f t="shared" si="71"/>
        <v>28.88</v>
      </c>
      <c r="Q494" s="4">
        <f>'Форма 2'!K1854</f>
        <v>29</v>
      </c>
      <c r="R494" s="53" t="s">
        <v>161</v>
      </c>
      <c r="S494" s="5">
        <v>1</v>
      </c>
      <c r="T494" s="1"/>
      <c r="U494" s="1"/>
      <c r="V494" s="1"/>
      <c r="W494" s="1"/>
    </row>
    <row r="495" spans="1:23" x14ac:dyDescent="0.35">
      <c r="A495" s="27">
        <f t="shared" si="72"/>
        <v>55</v>
      </c>
      <c r="B495" s="27">
        <v>554</v>
      </c>
      <c r="C495" s="61" t="s">
        <v>302</v>
      </c>
      <c r="D495" s="25">
        <v>1969</v>
      </c>
      <c r="E495" s="25" t="s">
        <v>263</v>
      </c>
      <c r="F495" s="25" t="s">
        <v>481</v>
      </c>
      <c r="G495" s="4">
        <v>4396.3999999999996</v>
      </c>
      <c r="H495" s="35">
        <v>3545.5</v>
      </c>
      <c r="I495" s="36">
        <v>127</v>
      </c>
      <c r="J495" s="35">
        <f>'Форма 2'!I1856</f>
        <v>6135367.8799999999</v>
      </c>
      <c r="K495" s="35">
        <v>0</v>
      </c>
      <c r="L495" s="35">
        <v>0</v>
      </c>
      <c r="M495" s="35">
        <v>0</v>
      </c>
      <c r="N495" s="35">
        <f t="shared" si="70"/>
        <v>5879044.7800000003</v>
      </c>
      <c r="O495" s="35">
        <v>256323.1</v>
      </c>
      <c r="P495" s="35">
        <f t="shared" si="71"/>
        <v>1730.47</v>
      </c>
      <c r="Q495" s="35">
        <f>'Форма 2'!K1856</f>
        <v>3055</v>
      </c>
      <c r="R495" s="62" t="s">
        <v>161</v>
      </c>
      <c r="S495" s="63">
        <v>1</v>
      </c>
    </row>
    <row r="496" spans="1:23" s="3" customFormat="1" x14ac:dyDescent="0.35">
      <c r="A496" s="20">
        <f t="shared" si="72"/>
        <v>56</v>
      </c>
      <c r="B496" s="101">
        <v>357</v>
      </c>
      <c r="C496" s="102" t="s">
        <v>543</v>
      </c>
      <c r="D496" s="60">
        <v>1960</v>
      </c>
      <c r="E496" s="60" t="s">
        <v>308</v>
      </c>
      <c r="F496" s="60" t="s">
        <v>152</v>
      </c>
      <c r="G496" s="4">
        <v>3250.08</v>
      </c>
      <c r="H496" s="4">
        <v>2588.5700000000002</v>
      </c>
      <c r="I496" s="106">
        <v>82</v>
      </c>
      <c r="J496" s="4">
        <f>'Форма 2'!I1863</f>
        <v>314172.27</v>
      </c>
      <c r="K496" s="4">
        <v>0</v>
      </c>
      <c r="L496" s="4">
        <v>0</v>
      </c>
      <c r="M496" s="4">
        <v>0</v>
      </c>
      <c r="N496" s="4">
        <f>J496-K496-L496-M496-O496</f>
        <v>293743.21000000002</v>
      </c>
      <c r="O496" s="4">
        <v>20429.060000000001</v>
      </c>
      <c r="P496" s="4">
        <f t="shared" si="71"/>
        <v>121.37</v>
      </c>
      <c r="Q496" s="4">
        <f>'Форма 2'!K1863</f>
        <v>314</v>
      </c>
      <c r="R496" s="53" t="s">
        <v>161</v>
      </c>
      <c r="S496" s="5">
        <v>1</v>
      </c>
      <c r="T496" s="1"/>
      <c r="U496" s="1"/>
      <c r="V496" s="1"/>
      <c r="W496" s="1"/>
    </row>
    <row r="497" spans="1:23" x14ac:dyDescent="0.35">
      <c r="A497" s="27">
        <f t="shared" si="72"/>
        <v>57</v>
      </c>
      <c r="B497" s="105">
        <v>812</v>
      </c>
      <c r="C497" s="102" t="s">
        <v>714</v>
      </c>
      <c r="D497" s="25">
        <v>1986</v>
      </c>
      <c r="E497" s="25" t="s">
        <v>263</v>
      </c>
      <c r="F497" s="25" t="s">
        <v>152</v>
      </c>
      <c r="G497" s="35">
        <v>3795.9</v>
      </c>
      <c r="H497" s="35">
        <v>3238.46</v>
      </c>
      <c r="I497" s="103">
        <v>122</v>
      </c>
      <c r="J497" s="35">
        <f>'Форма 2'!I1866</f>
        <v>456622.86</v>
      </c>
      <c r="K497" s="35">
        <v>0</v>
      </c>
      <c r="L497" s="35">
        <v>0</v>
      </c>
      <c r="M497" s="35">
        <v>0</v>
      </c>
      <c r="N497" s="35">
        <f>J497-K497-L497-M497-O497</f>
        <v>440649.1</v>
      </c>
      <c r="O497" s="35">
        <v>15973.76</v>
      </c>
      <c r="P497" s="35">
        <f t="shared" si="71"/>
        <v>141</v>
      </c>
      <c r="Q497" s="35">
        <f>'Форма 2'!K1866</f>
        <v>141</v>
      </c>
      <c r="R497" s="62" t="s">
        <v>161</v>
      </c>
      <c r="S497" s="63">
        <v>1</v>
      </c>
      <c r="U497" s="3"/>
    </row>
    <row r="498" spans="1:23" s="3" customFormat="1" x14ac:dyDescent="0.35">
      <c r="A498" s="20">
        <f t="shared" si="72"/>
        <v>58</v>
      </c>
      <c r="B498" s="20">
        <v>576</v>
      </c>
      <c r="C498" s="61" t="s">
        <v>304</v>
      </c>
      <c r="D498" s="60">
        <v>1970</v>
      </c>
      <c r="E498" s="60" t="s">
        <v>74</v>
      </c>
      <c r="F498" s="60" t="s">
        <v>481</v>
      </c>
      <c r="G498" s="4">
        <v>3161.6</v>
      </c>
      <c r="H498" s="4">
        <v>2984.6</v>
      </c>
      <c r="I498" s="19">
        <v>198</v>
      </c>
      <c r="J498" s="4">
        <f>'Форма 2'!I1870</f>
        <v>5477861.7800000003</v>
      </c>
      <c r="K498" s="4">
        <v>0</v>
      </c>
      <c r="L498" s="4">
        <v>0</v>
      </c>
      <c r="M498" s="4">
        <v>0</v>
      </c>
      <c r="N498" s="4">
        <f t="shared" si="70"/>
        <v>5270018.3499999996</v>
      </c>
      <c r="O498" s="4">
        <v>207843.43</v>
      </c>
      <c r="P498" s="4">
        <f t="shared" si="71"/>
        <v>1835.38</v>
      </c>
      <c r="Q498" s="4">
        <f>'Форма 2'!K1870</f>
        <v>3242</v>
      </c>
      <c r="R498" s="53" t="s">
        <v>161</v>
      </c>
      <c r="S498" s="5">
        <v>1</v>
      </c>
      <c r="T498" s="1"/>
      <c r="U498" s="1"/>
      <c r="V498" s="1"/>
      <c r="W498" s="1"/>
    </row>
    <row r="499" spans="1:23" ht="31" x14ac:dyDescent="0.35">
      <c r="A499" s="27">
        <f t="shared" si="72"/>
        <v>59</v>
      </c>
      <c r="B499" s="105">
        <v>572</v>
      </c>
      <c r="C499" s="102" t="s">
        <v>544</v>
      </c>
      <c r="D499" s="25">
        <v>1971</v>
      </c>
      <c r="E499" s="25" t="s">
        <v>766</v>
      </c>
      <c r="F499" s="25" t="s">
        <v>152</v>
      </c>
      <c r="G499" s="35">
        <v>5297.88</v>
      </c>
      <c r="H499" s="35">
        <v>4481.4799999999996</v>
      </c>
      <c r="I499" s="106">
        <v>169</v>
      </c>
      <c r="J499" s="35">
        <f>'Форма 2'!I1873</f>
        <v>523430.63</v>
      </c>
      <c r="K499" s="35">
        <v>0</v>
      </c>
      <c r="L499" s="35">
        <v>0</v>
      </c>
      <c r="M499" s="35">
        <v>0</v>
      </c>
      <c r="N499" s="35">
        <f t="shared" si="70"/>
        <v>497074.7</v>
      </c>
      <c r="O499" s="35">
        <v>26355.93</v>
      </c>
      <c r="P499" s="35">
        <f t="shared" si="71"/>
        <v>116.8</v>
      </c>
      <c r="Q499" s="35">
        <f>'Форма 2'!K1873</f>
        <v>170</v>
      </c>
      <c r="R499" s="62" t="s">
        <v>161</v>
      </c>
      <c r="S499" s="63">
        <v>1</v>
      </c>
      <c r="U499" s="3"/>
    </row>
    <row r="500" spans="1:23" x14ac:dyDescent="0.35">
      <c r="A500" s="20">
        <f t="shared" si="72"/>
        <v>60</v>
      </c>
      <c r="B500" s="20">
        <v>587</v>
      </c>
      <c r="C500" s="61" t="s">
        <v>305</v>
      </c>
      <c r="D500" s="60">
        <v>1972</v>
      </c>
      <c r="E500" s="60" t="s">
        <v>74</v>
      </c>
      <c r="F500" s="60" t="s">
        <v>481</v>
      </c>
      <c r="G500" s="4">
        <v>1950</v>
      </c>
      <c r="H500" s="4">
        <v>1802</v>
      </c>
      <c r="I500" s="19">
        <v>84</v>
      </c>
      <c r="J500" s="4">
        <f>'Форма 2'!I1878</f>
        <v>2731657.7</v>
      </c>
      <c r="K500" s="4">
        <v>0</v>
      </c>
      <c r="L500" s="4">
        <v>0</v>
      </c>
      <c r="M500" s="4">
        <v>0</v>
      </c>
      <c r="N500" s="4">
        <f t="shared" si="70"/>
        <v>2594954.1800000002</v>
      </c>
      <c r="O500" s="4">
        <v>136703.51999999999</v>
      </c>
      <c r="P500" s="4">
        <f t="shared" si="71"/>
        <v>1515.9</v>
      </c>
      <c r="Q500" s="4">
        <f>'Форма 2'!K1878</f>
        <v>3242</v>
      </c>
      <c r="R500" s="53" t="s">
        <v>161</v>
      </c>
      <c r="S500" s="5">
        <v>1</v>
      </c>
    </row>
    <row r="501" spans="1:23" x14ac:dyDescent="0.35">
      <c r="A501" s="20">
        <f t="shared" si="72"/>
        <v>61</v>
      </c>
      <c r="B501" s="101">
        <v>892</v>
      </c>
      <c r="C501" s="102" t="s">
        <v>715</v>
      </c>
      <c r="D501" s="60">
        <v>1994</v>
      </c>
      <c r="E501" s="60" t="s">
        <v>74</v>
      </c>
      <c r="F501" s="60" t="s">
        <v>152</v>
      </c>
      <c r="G501" s="4">
        <v>6442</v>
      </c>
      <c r="H501" s="4">
        <v>5909.15</v>
      </c>
      <c r="I501" s="103">
        <v>223</v>
      </c>
      <c r="J501" s="4">
        <f>'Форма 2'!I1881</f>
        <v>207507.86</v>
      </c>
      <c r="K501" s="4">
        <v>0</v>
      </c>
      <c r="L501" s="4">
        <v>0</v>
      </c>
      <c r="M501" s="4">
        <v>0</v>
      </c>
      <c r="N501" s="4">
        <f t="shared" si="70"/>
        <v>174773.56</v>
      </c>
      <c r="O501" s="4">
        <v>32734.3</v>
      </c>
      <c r="P501" s="4">
        <f t="shared" si="71"/>
        <v>35.119999999999997</v>
      </c>
      <c r="Q501" s="4">
        <f>'Форма 2'!K1881</f>
        <v>169</v>
      </c>
      <c r="R501" s="53" t="s">
        <v>161</v>
      </c>
      <c r="S501" s="5">
        <v>1</v>
      </c>
      <c r="U501" s="3"/>
    </row>
    <row r="502" spans="1:23" s="3" customFormat="1" x14ac:dyDescent="0.35">
      <c r="A502" s="20">
        <f t="shared" si="72"/>
        <v>62</v>
      </c>
      <c r="B502" s="101">
        <v>828</v>
      </c>
      <c r="C502" s="102" t="s">
        <v>716</v>
      </c>
      <c r="D502" s="60">
        <v>1988</v>
      </c>
      <c r="E502" s="60" t="s">
        <v>74</v>
      </c>
      <c r="F502" s="60" t="s">
        <v>152</v>
      </c>
      <c r="G502" s="4">
        <v>14358.52</v>
      </c>
      <c r="H502" s="4">
        <v>11340.2</v>
      </c>
      <c r="I502" s="103">
        <v>479</v>
      </c>
      <c r="J502" s="4">
        <f>'Форма 2'!I1883</f>
        <v>956467.76</v>
      </c>
      <c r="K502" s="4">
        <v>0</v>
      </c>
      <c r="L502" s="4">
        <v>0</v>
      </c>
      <c r="M502" s="4">
        <v>0</v>
      </c>
      <c r="N502" s="4">
        <f t="shared" si="70"/>
        <v>885902.69</v>
      </c>
      <c r="O502" s="4">
        <v>70565.070000000007</v>
      </c>
      <c r="P502" s="4">
        <f t="shared" si="71"/>
        <v>84.34</v>
      </c>
      <c r="Q502" s="4">
        <f>'Форма 2'!K1883</f>
        <v>164</v>
      </c>
      <c r="R502" s="53" t="s">
        <v>161</v>
      </c>
      <c r="S502" s="5">
        <v>1</v>
      </c>
      <c r="T502" s="1"/>
      <c r="U502" s="1"/>
      <c r="V502" s="1"/>
      <c r="W502" s="1"/>
    </row>
    <row r="503" spans="1:23" x14ac:dyDescent="0.35">
      <c r="A503" s="27">
        <f t="shared" si="72"/>
        <v>63</v>
      </c>
      <c r="B503" s="105">
        <v>283</v>
      </c>
      <c r="C503" s="102" t="s">
        <v>100</v>
      </c>
      <c r="D503" s="25">
        <v>1958</v>
      </c>
      <c r="E503" s="25" t="s">
        <v>545</v>
      </c>
      <c r="F503" s="25" t="s">
        <v>152</v>
      </c>
      <c r="G503" s="35">
        <v>2186.8000000000002</v>
      </c>
      <c r="H503" s="35">
        <v>2005.9</v>
      </c>
      <c r="I503" s="103">
        <v>76</v>
      </c>
      <c r="J503" s="35">
        <f>'Форма 2'!I1885</f>
        <v>863723.76</v>
      </c>
      <c r="K503" s="35">
        <v>0</v>
      </c>
      <c r="L503" s="35">
        <v>0</v>
      </c>
      <c r="M503" s="35">
        <v>0</v>
      </c>
      <c r="N503" s="35">
        <f t="shared" si="70"/>
        <v>838988.42</v>
      </c>
      <c r="O503" s="35">
        <v>24735.34</v>
      </c>
      <c r="P503" s="35">
        <f t="shared" si="71"/>
        <v>430.59</v>
      </c>
      <c r="Q503" s="35">
        <f>'Форма 2'!K1885</f>
        <v>627</v>
      </c>
      <c r="R503" s="62" t="s">
        <v>161</v>
      </c>
      <c r="S503" s="63">
        <v>1</v>
      </c>
    </row>
    <row r="504" spans="1:23" x14ac:dyDescent="0.35">
      <c r="A504" s="20">
        <f t="shared" si="72"/>
        <v>64</v>
      </c>
      <c r="B504" s="20">
        <v>599</v>
      </c>
      <c r="C504" s="61" t="s">
        <v>312</v>
      </c>
      <c r="D504" s="60">
        <v>1973</v>
      </c>
      <c r="E504" s="25" t="s">
        <v>289</v>
      </c>
      <c r="F504" s="25" t="s">
        <v>160</v>
      </c>
      <c r="G504" s="4">
        <v>3512.6</v>
      </c>
      <c r="H504" s="4">
        <v>3148.6</v>
      </c>
      <c r="I504" s="19">
        <v>126</v>
      </c>
      <c r="J504" s="4">
        <f>'Форма 2'!I1890</f>
        <v>183248.51</v>
      </c>
      <c r="K504" s="4">
        <v>0</v>
      </c>
      <c r="L504" s="4">
        <v>0</v>
      </c>
      <c r="M504" s="4">
        <v>0</v>
      </c>
      <c r="N504" s="4">
        <f t="shared" si="70"/>
        <v>176415.08</v>
      </c>
      <c r="O504" s="4">
        <v>6833.43</v>
      </c>
      <c r="P504" s="4">
        <f t="shared" si="71"/>
        <v>58.2</v>
      </c>
      <c r="Q504" s="4">
        <f>'Форма 2'!K1890</f>
        <v>173</v>
      </c>
      <c r="R504" s="53" t="s">
        <v>493</v>
      </c>
      <c r="S504" s="5">
        <v>1</v>
      </c>
    </row>
    <row r="505" spans="1:23" s="3" customFormat="1" x14ac:dyDescent="0.35">
      <c r="A505" s="20">
        <f t="shared" si="72"/>
        <v>65</v>
      </c>
      <c r="B505" s="101">
        <v>453</v>
      </c>
      <c r="C505" s="102" t="s">
        <v>313</v>
      </c>
      <c r="D505" s="60">
        <v>1963</v>
      </c>
      <c r="E505" s="25" t="s">
        <v>289</v>
      </c>
      <c r="F505" s="25" t="s">
        <v>152</v>
      </c>
      <c r="G505" s="4">
        <v>2714.9</v>
      </c>
      <c r="H505" s="4">
        <v>2382.92</v>
      </c>
      <c r="I505" s="103">
        <v>90</v>
      </c>
      <c r="J505" s="4">
        <f>'Форма 2'!I1893</f>
        <v>57190.080000000002</v>
      </c>
      <c r="K505" s="4">
        <v>0</v>
      </c>
      <c r="L505" s="4">
        <v>0</v>
      </c>
      <c r="M505" s="4">
        <v>0</v>
      </c>
      <c r="N505" s="4">
        <f t="shared" si="70"/>
        <v>56105.11</v>
      </c>
      <c r="O505" s="4">
        <v>1084.97</v>
      </c>
      <c r="P505" s="4">
        <f t="shared" si="71"/>
        <v>24</v>
      </c>
      <c r="Q505" s="4">
        <f>'Форма 2'!K1893</f>
        <v>24</v>
      </c>
      <c r="R505" s="53" t="s">
        <v>161</v>
      </c>
      <c r="S505" s="5">
        <v>1</v>
      </c>
      <c r="T505" s="1"/>
      <c r="V505" s="1"/>
      <c r="W505" s="1"/>
    </row>
    <row r="506" spans="1:23" x14ac:dyDescent="0.35">
      <c r="A506" s="27">
        <f t="shared" si="72"/>
        <v>66</v>
      </c>
      <c r="B506" s="105">
        <v>877</v>
      </c>
      <c r="C506" s="102" t="s">
        <v>717</v>
      </c>
      <c r="D506" s="25">
        <v>1991</v>
      </c>
      <c r="E506" s="25" t="s">
        <v>263</v>
      </c>
      <c r="F506" s="25" t="s">
        <v>152</v>
      </c>
      <c r="G506" s="35">
        <v>1678.9</v>
      </c>
      <c r="H506" s="35">
        <v>1533.7</v>
      </c>
      <c r="I506" s="103">
        <v>58</v>
      </c>
      <c r="J506" s="35">
        <f>'Форма 2'!I1895</f>
        <v>274532.3</v>
      </c>
      <c r="K506" s="35">
        <v>0</v>
      </c>
      <c r="L506" s="35">
        <v>0</v>
      </c>
      <c r="M506" s="35">
        <v>0</v>
      </c>
      <c r="N506" s="35">
        <f t="shared" ref="N506:N516" si="73">J506-K506-L506-M506-O506</f>
        <v>265512.49</v>
      </c>
      <c r="O506" s="35">
        <v>9019.81</v>
      </c>
      <c r="P506" s="35">
        <f t="shared" ref="P506:P516" si="74">J506/H506</f>
        <v>179</v>
      </c>
      <c r="Q506" s="35">
        <f>'Форма 2'!K1895</f>
        <v>179</v>
      </c>
      <c r="R506" s="62" t="s">
        <v>161</v>
      </c>
      <c r="S506" s="63">
        <v>1</v>
      </c>
    </row>
    <row r="507" spans="1:23" x14ac:dyDescent="0.35">
      <c r="A507" s="20">
        <f t="shared" si="72"/>
        <v>67</v>
      </c>
      <c r="B507" s="101">
        <v>514</v>
      </c>
      <c r="C507" s="102" t="s">
        <v>101</v>
      </c>
      <c r="D507" s="60">
        <v>1966</v>
      </c>
      <c r="E507" s="25" t="s">
        <v>546</v>
      </c>
      <c r="F507" s="25" t="s">
        <v>152</v>
      </c>
      <c r="G507" s="4">
        <v>3364</v>
      </c>
      <c r="H507" s="4">
        <v>3096.4</v>
      </c>
      <c r="I507" s="103">
        <v>117</v>
      </c>
      <c r="J507" s="4">
        <f>'Форма 2'!I1899</f>
        <v>299856.74</v>
      </c>
      <c r="K507" s="4">
        <v>0</v>
      </c>
      <c r="L507" s="4">
        <v>0</v>
      </c>
      <c r="M507" s="4">
        <v>0</v>
      </c>
      <c r="N507" s="4">
        <f t="shared" si="73"/>
        <v>279649.33</v>
      </c>
      <c r="O507" s="4">
        <v>20207.41</v>
      </c>
      <c r="P507" s="4">
        <f t="shared" si="74"/>
        <v>96.84</v>
      </c>
      <c r="Q507" s="4">
        <f>'Форма 2'!K1899</f>
        <v>178</v>
      </c>
      <c r="R507" s="53" t="s">
        <v>161</v>
      </c>
      <c r="S507" s="5">
        <v>1</v>
      </c>
    </row>
    <row r="508" spans="1:23" s="3" customFormat="1" x14ac:dyDescent="0.35">
      <c r="A508" s="20">
        <f t="shared" ref="A508:A516" si="75">A507+1</f>
        <v>68</v>
      </c>
      <c r="B508" s="20">
        <v>159</v>
      </c>
      <c r="C508" s="61" t="s">
        <v>102</v>
      </c>
      <c r="D508" s="60">
        <v>1951</v>
      </c>
      <c r="E508" s="25" t="s">
        <v>278</v>
      </c>
      <c r="F508" s="25" t="s">
        <v>152</v>
      </c>
      <c r="G508" s="4">
        <v>1798.4</v>
      </c>
      <c r="H508" s="4">
        <v>1087.8</v>
      </c>
      <c r="I508" s="19">
        <v>103</v>
      </c>
      <c r="J508" s="4">
        <f>'Форма 2'!I1902</f>
        <v>608080.19999999995</v>
      </c>
      <c r="K508" s="4">
        <v>0</v>
      </c>
      <c r="L508" s="4">
        <v>0</v>
      </c>
      <c r="M508" s="4">
        <v>0</v>
      </c>
      <c r="N508" s="4">
        <f>J508-K508-L508-M508-O508</f>
        <v>605314.86</v>
      </c>
      <c r="O508" s="4">
        <v>2765.34</v>
      </c>
      <c r="P508" s="4">
        <f t="shared" si="74"/>
        <v>559</v>
      </c>
      <c r="Q508" s="4">
        <f>'Форма 2'!K1902</f>
        <v>559</v>
      </c>
      <c r="R508" s="53" t="s">
        <v>161</v>
      </c>
      <c r="S508" s="5">
        <v>1</v>
      </c>
      <c r="T508" s="1"/>
      <c r="V508" s="1"/>
      <c r="W508" s="1"/>
    </row>
    <row r="509" spans="1:23" s="3" customFormat="1" x14ac:dyDescent="0.35">
      <c r="A509" s="27">
        <f t="shared" si="75"/>
        <v>69</v>
      </c>
      <c r="B509" s="105">
        <v>476</v>
      </c>
      <c r="C509" s="102" t="s">
        <v>103</v>
      </c>
      <c r="D509" s="25">
        <v>1964</v>
      </c>
      <c r="E509" s="25" t="s">
        <v>263</v>
      </c>
      <c r="F509" s="25" t="s">
        <v>152</v>
      </c>
      <c r="G509" s="35">
        <v>3416.66</v>
      </c>
      <c r="H509" s="35">
        <v>3176.66</v>
      </c>
      <c r="I509" s="106">
        <v>120</v>
      </c>
      <c r="J509" s="35">
        <f>'Форма 2'!I1905</f>
        <v>351123.65</v>
      </c>
      <c r="K509" s="35">
        <v>0</v>
      </c>
      <c r="L509" s="35">
        <v>0</v>
      </c>
      <c r="M509" s="35">
        <v>0</v>
      </c>
      <c r="N509" s="35">
        <f t="shared" si="73"/>
        <v>335454.71999999997</v>
      </c>
      <c r="O509" s="35">
        <v>15668.93</v>
      </c>
      <c r="P509" s="35">
        <f t="shared" si="74"/>
        <v>110.53</v>
      </c>
      <c r="Q509" s="35">
        <f>'Форма 2'!K1905</f>
        <v>141</v>
      </c>
      <c r="R509" s="62" t="s">
        <v>161</v>
      </c>
      <c r="S509" s="63">
        <v>1</v>
      </c>
      <c r="T509" s="1"/>
      <c r="U509" s="1"/>
      <c r="V509" s="1"/>
      <c r="W509" s="1"/>
    </row>
    <row r="510" spans="1:23" s="3" customFormat="1" ht="46.5" x14ac:dyDescent="0.35">
      <c r="A510" s="27">
        <f t="shared" si="75"/>
        <v>70</v>
      </c>
      <c r="B510" s="105">
        <v>555</v>
      </c>
      <c r="C510" s="102" t="s">
        <v>318</v>
      </c>
      <c r="D510" s="25">
        <v>1969</v>
      </c>
      <c r="E510" s="25" t="s">
        <v>751</v>
      </c>
      <c r="F510" s="25" t="s">
        <v>183</v>
      </c>
      <c r="G510" s="35">
        <v>2721.2</v>
      </c>
      <c r="H510" s="35">
        <v>2510.5</v>
      </c>
      <c r="I510" s="106">
        <v>95</v>
      </c>
      <c r="J510" s="35">
        <f>'Форма 2'!I1909</f>
        <v>17718011.789999999</v>
      </c>
      <c r="K510" s="35">
        <v>0</v>
      </c>
      <c r="L510" s="35">
        <v>0</v>
      </c>
      <c r="M510" s="35">
        <v>0</v>
      </c>
      <c r="N510" s="35">
        <f t="shared" si="73"/>
        <v>17035613.66</v>
      </c>
      <c r="O510" s="35">
        <v>682398.13</v>
      </c>
      <c r="P510" s="35">
        <f t="shared" si="74"/>
        <v>7057.56</v>
      </c>
      <c r="Q510" s="35">
        <f>'Форма 2'!K1909</f>
        <v>7200</v>
      </c>
      <c r="R510" s="62" t="s">
        <v>161</v>
      </c>
      <c r="S510" s="63">
        <v>1</v>
      </c>
      <c r="T510" s="1"/>
      <c r="U510" s="1"/>
      <c r="V510" s="1"/>
      <c r="W510" s="1"/>
    </row>
    <row r="511" spans="1:23" ht="31" x14ac:dyDescent="0.35">
      <c r="A511" s="27">
        <f t="shared" si="75"/>
        <v>71</v>
      </c>
      <c r="B511" s="105">
        <v>601</v>
      </c>
      <c r="C511" s="102" t="s">
        <v>547</v>
      </c>
      <c r="D511" s="25">
        <v>1973</v>
      </c>
      <c r="E511" s="25" t="s">
        <v>766</v>
      </c>
      <c r="F511" s="25" t="s">
        <v>152</v>
      </c>
      <c r="G511" s="35">
        <v>3244</v>
      </c>
      <c r="H511" s="35">
        <v>2902</v>
      </c>
      <c r="I511" s="106">
        <v>112</v>
      </c>
      <c r="J511" s="35">
        <f>'Форма 2'!I1925</f>
        <v>472596.13</v>
      </c>
      <c r="K511" s="35">
        <v>0</v>
      </c>
      <c r="L511" s="35">
        <v>0</v>
      </c>
      <c r="M511" s="35">
        <v>0</v>
      </c>
      <c r="N511" s="35">
        <f t="shared" si="73"/>
        <v>452776.52</v>
      </c>
      <c r="O511" s="35">
        <v>19819.61</v>
      </c>
      <c r="P511" s="35">
        <f t="shared" si="74"/>
        <v>162.85</v>
      </c>
      <c r="Q511" s="35">
        <f>'Форма 2'!K1925</f>
        <v>208</v>
      </c>
      <c r="R511" s="62" t="s">
        <v>161</v>
      </c>
      <c r="S511" s="63">
        <v>1</v>
      </c>
      <c r="U511" s="3"/>
    </row>
    <row r="512" spans="1:23" x14ac:dyDescent="0.35">
      <c r="A512" s="20">
        <f t="shared" si="75"/>
        <v>72</v>
      </c>
      <c r="B512" s="101">
        <v>119</v>
      </c>
      <c r="C512" s="102" t="s">
        <v>104</v>
      </c>
      <c r="D512" s="60">
        <v>1946</v>
      </c>
      <c r="E512" s="25" t="s">
        <v>74</v>
      </c>
      <c r="F512" s="25" t="s">
        <v>152</v>
      </c>
      <c r="G512" s="4">
        <v>833.1</v>
      </c>
      <c r="H512" s="4">
        <v>811.7</v>
      </c>
      <c r="I512" s="104">
        <v>31</v>
      </c>
      <c r="J512" s="4">
        <f>'Форма 2'!I1930</f>
        <v>178282.49</v>
      </c>
      <c r="K512" s="4">
        <v>0</v>
      </c>
      <c r="L512" s="4">
        <v>0</v>
      </c>
      <c r="M512" s="4">
        <v>0</v>
      </c>
      <c r="N512" s="4">
        <f t="shared" si="73"/>
        <v>172800.47</v>
      </c>
      <c r="O512" s="4">
        <v>5482.02</v>
      </c>
      <c r="P512" s="4">
        <f t="shared" si="74"/>
        <v>219.64</v>
      </c>
      <c r="Q512" s="4">
        <f>'Форма 2'!K1930</f>
        <v>252</v>
      </c>
      <c r="R512" s="53" t="s">
        <v>161</v>
      </c>
      <c r="S512" s="5">
        <v>1</v>
      </c>
      <c r="U512" s="3"/>
    </row>
    <row r="513" spans="1:23" x14ac:dyDescent="0.35">
      <c r="A513" s="20">
        <f t="shared" si="75"/>
        <v>73</v>
      </c>
      <c r="B513" s="101">
        <v>179</v>
      </c>
      <c r="C513" s="102" t="s">
        <v>105</v>
      </c>
      <c r="D513" s="60">
        <v>1953</v>
      </c>
      <c r="E513" s="25" t="s">
        <v>74</v>
      </c>
      <c r="F513" s="25" t="s">
        <v>152</v>
      </c>
      <c r="G513" s="4">
        <v>910.9</v>
      </c>
      <c r="H513" s="4">
        <v>840.9</v>
      </c>
      <c r="I513" s="103">
        <v>32</v>
      </c>
      <c r="J513" s="4">
        <f>'Форма 2'!I1932</f>
        <v>184401.56</v>
      </c>
      <c r="K513" s="4">
        <v>0</v>
      </c>
      <c r="L513" s="4">
        <v>0</v>
      </c>
      <c r="M513" s="4">
        <v>0</v>
      </c>
      <c r="N513" s="4">
        <f t="shared" si="73"/>
        <v>178722.33</v>
      </c>
      <c r="O513" s="4">
        <v>5679.23</v>
      </c>
      <c r="P513" s="4">
        <f t="shared" si="74"/>
        <v>219.29</v>
      </c>
      <c r="Q513" s="4">
        <f>'Форма 2'!K1932</f>
        <v>252</v>
      </c>
      <c r="R513" s="53" t="s">
        <v>161</v>
      </c>
      <c r="S513" s="5">
        <v>1</v>
      </c>
      <c r="U513" s="3"/>
    </row>
    <row r="514" spans="1:23" x14ac:dyDescent="0.35">
      <c r="A514" s="20">
        <f t="shared" si="75"/>
        <v>74</v>
      </c>
      <c r="B514" s="101">
        <v>244</v>
      </c>
      <c r="C514" s="102" t="s">
        <v>106</v>
      </c>
      <c r="D514" s="60">
        <v>1956</v>
      </c>
      <c r="E514" s="25" t="s">
        <v>74</v>
      </c>
      <c r="F514" s="25" t="s">
        <v>152</v>
      </c>
      <c r="G514" s="4">
        <v>4145.63</v>
      </c>
      <c r="H514" s="4">
        <v>3721.87</v>
      </c>
      <c r="I514" s="103">
        <v>141</v>
      </c>
      <c r="J514" s="4">
        <f>'Форма 2'!I1934</f>
        <v>276483.88</v>
      </c>
      <c r="K514" s="4">
        <v>0</v>
      </c>
      <c r="L514" s="4">
        <v>0</v>
      </c>
      <c r="M514" s="4">
        <v>0</v>
      </c>
      <c r="N514" s="4">
        <f t="shared" si="73"/>
        <v>251347.29</v>
      </c>
      <c r="O514" s="4">
        <v>25136.59</v>
      </c>
      <c r="P514" s="4">
        <f t="shared" si="74"/>
        <v>74.290000000000006</v>
      </c>
      <c r="Q514" s="4">
        <f>'Форма 2'!K1934</f>
        <v>182</v>
      </c>
      <c r="R514" s="53" t="s">
        <v>161</v>
      </c>
      <c r="S514" s="5">
        <v>1</v>
      </c>
    </row>
    <row r="515" spans="1:23" x14ac:dyDescent="0.35">
      <c r="A515" s="20">
        <f t="shared" si="75"/>
        <v>75</v>
      </c>
      <c r="B515" s="20">
        <v>508</v>
      </c>
      <c r="C515" s="61" t="s">
        <v>319</v>
      </c>
      <c r="D515" s="60">
        <v>1965</v>
      </c>
      <c r="E515" s="60" t="s">
        <v>74</v>
      </c>
      <c r="F515" s="60" t="s">
        <v>481</v>
      </c>
      <c r="G515" s="4">
        <v>2757.88</v>
      </c>
      <c r="H515" s="4">
        <v>2539.88</v>
      </c>
      <c r="I515" s="19">
        <v>116</v>
      </c>
      <c r="J515" s="4">
        <f>'Форма 2'!I1936</f>
        <v>3351578.62</v>
      </c>
      <c r="K515" s="4">
        <v>0</v>
      </c>
      <c r="L515" s="4">
        <v>0</v>
      </c>
      <c r="M515" s="4">
        <v>0</v>
      </c>
      <c r="N515" s="4">
        <f t="shared" si="73"/>
        <v>3210916.25</v>
      </c>
      <c r="O515" s="4">
        <v>140662.37</v>
      </c>
      <c r="P515" s="4">
        <f t="shared" si="74"/>
        <v>1319.58</v>
      </c>
      <c r="Q515" s="4">
        <f>'Форма 2'!K1936</f>
        <v>3242</v>
      </c>
      <c r="R515" s="53" t="s">
        <v>161</v>
      </c>
      <c r="S515" s="5">
        <v>1</v>
      </c>
    </row>
    <row r="516" spans="1:23" x14ac:dyDescent="0.35">
      <c r="A516" s="20">
        <f t="shared" si="75"/>
        <v>76</v>
      </c>
      <c r="B516" s="20">
        <v>610</v>
      </c>
      <c r="C516" s="61" t="s">
        <v>321</v>
      </c>
      <c r="D516" s="60">
        <v>1973</v>
      </c>
      <c r="E516" s="60" t="s">
        <v>74</v>
      </c>
      <c r="F516" s="60" t="s">
        <v>481</v>
      </c>
      <c r="G516" s="4">
        <v>2230.1799999999998</v>
      </c>
      <c r="H516" s="4">
        <v>2077.6</v>
      </c>
      <c r="I516" s="19">
        <v>67</v>
      </c>
      <c r="J516" s="4">
        <f>'Форма 2'!I1939</f>
        <v>2894649.24</v>
      </c>
      <c r="K516" s="4">
        <v>0</v>
      </c>
      <c r="L516" s="4">
        <v>0</v>
      </c>
      <c r="M516" s="4">
        <v>0</v>
      </c>
      <c r="N516" s="4">
        <f t="shared" si="73"/>
        <v>2737038.12</v>
      </c>
      <c r="O516" s="4">
        <v>157611.12</v>
      </c>
      <c r="P516" s="4">
        <f t="shared" si="74"/>
        <v>1393.27</v>
      </c>
      <c r="Q516" s="4">
        <f>'Форма 2'!K1939</f>
        <v>3242</v>
      </c>
      <c r="R516" s="53" t="s">
        <v>161</v>
      </c>
      <c r="S516" s="5">
        <v>1</v>
      </c>
    </row>
    <row r="517" spans="1:23" x14ac:dyDescent="0.35">
      <c r="A517" s="236" t="s">
        <v>323</v>
      </c>
      <c r="B517" s="236"/>
      <c r="C517" s="236"/>
      <c r="D517" s="60" t="s">
        <v>13</v>
      </c>
      <c r="E517" s="60" t="s">
        <v>13</v>
      </c>
      <c r="F517" s="60" t="s">
        <v>13</v>
      </c>
      <c r="G517" s="4">
        <f>SUM(G518:G565)</f>
        <v>251707.64</v>
      </c>
      <c r="H517" s="4">
        <f t="shared" ref="H517:O517" si="76">SUM(H518:H565)</f>
        <v>216676.95</v>
      </c>
      <c r="I517" s="19">
        <f t="shared" si="76"/>
        <v>9120</v>
      </c>
      <c r="J517" s="4">
        <f t="shared" si="76"/>
        <v>162829618.69</v>
      </c>
      <c r="K517" s="4">
        <f t="shared" si="76"/>
        <v>0</v>
      </c>
      <c r="L517" s="4">
        <f t="shared" si="76"/>
        <v>0</v>
      </c>
      <c r="M517" s="4">
        <f t="shared" si="76"/>
        <v>0</v>
      </c>
      <c r="N517" s="4">
        <f t="shared" si="76"/>
        <v>156286109.68000001</v>
      </c>
      <c r="O517" s="4">
        <f t="shared" si="76"/>
        <v>6543509.0099999998</v>
      </c>
      <c r="P517" s="4" t="s">
        <v>13</v>
      </c>
      <c r="Q517" s="4" t="s">
        <v>13</v>
      </c>
      <c r="R517" s="53" t="s">
        <v>13</v>
      </c>
      <c r="S517" s="5" t="s">
        <v>13</v>
      </c>
    </row>
    <row r="518" spans="1:23" x14ac:dyDescent="0.35">
      <c r="A518" s="20">
        <f>A516+1</f>
        <v>77</v>
      </c>
      <c r="B518" s="101">
        <v>1836</v>
      </c>
      <c r="C518" s="102" t="s">
        <v>718</v>
      </c>
      <c r="D518" s="60">
        <v>1990</v>
      </c>
      <c r="E518" s="25" t="s">
        <v>74</v>
      </c>
      <c r="F518" s="25" t="s">
        <v>152</v>
      </c>
      <c r="G518" s="4">
        <v>10583.9</v>
      </c>
      <c r="H518" s="4">
        <v>7452.1</v>
      </c>
      <c r="I518" s="103">
        <v>282</v>
      </c>
      <c r="J518" s="4">
        <f>'Форма 2'!I1942</f>
        <v>1025613.46</v>
      </c>
      <c r="K518" s="4">
        <v>0</v>
      </c>
      <c r="L518" s="4">
        <v>0</v>
      </c>
      <c r="M518" s="4">
        <v>0</v>
      </c>
      <c r="N518" s="4">
        <f t="shared" ref="N518:N565" si="77">J518-K518-L518-M518-O518</f>
        <v>984331.84</v>
      </c>
      <c r="O518" s="4">
        <v>41281.620000000003</v>
      </c>
      <c r="P518" s="4">
        <f t="shared" ref="P518:P565" si="78">J518/H518</f>
        <v>137.63</v>
      </c>
      <c r="Q518" s="4">
        <f>'Форма 2'!K1942</f>
        <v>232</v>
      </c>
      <c r="R518" s="53" t="s">
        <v>161</v>
      </c>
      <c r="S518" s="5">
        <v>1</v>
      </c>
    </row>
    <row r="519" spans="1:23" x14ac:dyDescent="0.35">
      <c r="A519" s="20">
        <f>A518+1</f>
        <v>78</v>
      </c>
      <c r="B519" s="20">
        <v>1846</v>
      </c>
      <c r="C519" s="61" t="s">
        <v>324</v>
      </c>
      <c r="D519" s="60">
        <v>1972</v>
      </c>
      <c r="E519" s="60" t="s">
        <v>74</v>
      </c>
      <c r="F519" s="60" t="s">
        <v>481</v>
      </c>
      <c r="G519" s="4">
        <v>4294.7</v>
      </c>
      <c r="H519" s="4">
        <v>3875.5</v>
      </c>
      <c r="I519" s="19">
        <v>146</v>
      </c>
      <c r="J519" s="4">
        <f>'Форма 2'!I1944</f>
        <v>8711400.1400000006</v>
      </c>
      <c r="K519" s="4">
        <v>0</v>
      </c>
      <c r="L519" s="4">
        <v>0</v>
      </c>
      <c r="M519" s="4">
        <v>0</v>
      </c>
      <c r="N519" s="4">
        <f t="shared" si="77"/>
        <v>8380868.3799999999</v>
      </c>
      <c r="O519" s="4">
        <v>330531.76</v>
      </c>
      <c r="P519" s="4">
        <f t="shared" si="78"/>
        <v>2247.81</v>
      </c>
      <c r="Q519" s="4">
        <f>'Форма 2'!K1944</f>
        <v>3449</v>
      </c>
      <c r="R519" s="53" t="s">
        <v>161</v>
      </c>
      <c r="S519" s="5">
        <v>1</v>
      </c>
    </row>
    <row r="520" spans="1:23" x14ac:dyDescent="0.35">
      <c r="A520" s="20">
        <f t="shared" ref="A520:A565" si="79">A519+1</f>
        <v>79</v>
      </c>
      <c r="B520" s="101">
        <v>1408</v>
      </c>
      <c r="C520" s="102" t="s">
        <v>548</v>
      </c>
      <c r="D520" s="60">
        <v>1974</v>
      </c>
      <c r="E520" s="25" t="s">
        <v>74</v>
      </c>
      <c r="F520" s="25" t="s">
        <v>152</v>
      </c>
      <c r="G520" s="4">
        <v>3637.29</v>
      </c>
      <c r="H520" s="4">
        <v>3363.29</v>
      </c>
      <c r="I520" s="103">
        <v>159</v>
      </c>
      <c r="J520" s="4">
        <f>'Форма 2'!I1947</f>
        <v>228173.61</v>
      </c>
      <c r="K520" s="4">
        <v>0</v>
      </c>
      <c r="L520" s="4">
        <v>0</v>
      </c>
      <c r="M520" s="4">
        <v>0</v>
      </c>
      <c r="N520" s="4">
        <f t="shared" si="77"/>
        <v>207245.34</v>
      </c>
      <c r="O520" s="4">
        <v>20928.27</v>
      </c>
      <c r="P520" s="4">
        <f t="shared" si="78"/>
        <v>67.84</v>
      </c>
      <c r="Q520" s="4">
        <f>'Форма 2'!K1947</f>
        <v>169</v>
      </c>
      <c r="R520" s="53" t="s">
        <v>161</v>
      </c>
      <c r="S520" s="5">
        <v>1</v>
      </c>
    </row>
    <row r="521" spans="1:23" x14ac:dyDescent="0.35">
      <c r="A521" s="20">
        <f t="shared" si="79"/>
        <v>80</v>
      </c>
      <c r="B521" s="101">
        <v>1410</v>
      </c>
      <c r="C521" s="102" t="s">
        <v>549</v>
      </c>
      <c r="D521" s="60">
        <v>1975</v>
      </c>
      <c r="E521" s="25" t="s">
        <v>308</v>
      </c>
      <c r="F521" s="25" t="s">
        <v>152</v>
      </c>
      <c r="G521" s="4">
        <v>2012.2</v>
      </c>
      <c r="H521" s="4">
        <v>1477.5</v>
      </c>
      <c r="I521" s="103">
        <v>108</v>
      </c>
      <c r="J521" s="4">
        <f>'Форма 2'!I1949</f>
        <v>607435.03</v>
      </c>
      <c r="K521" s="4">
        <v>0</v>
      </c>
      <c r="L521" s="4">
        <v>0</v>
      </c>
      <c r="M521" s="4">
        <v>0</v>
      </c>
      <c r="N521" s="4">
        <f t="shared" si="77"/>
        <v>586300.43000000005</v>
      </c>
      <c r="O521" s="4">
        <v>21134.6</v>
      </c>
      <c r="P521" s="4">
        <f t="shared" si="78"/>
        <v>411.12</v>
      </c>
      <c r="Q521" s="4">
        <f>'Форма 2'!K1949</f>
        <v>428</v>
      </c>
      <c r="R521" s="53" t="s">
        <v>161</v>
      </c>
      <c r="S521" s="5">
        <v>1</v>
      </c>
    </row>
    <row r="522" spans="1:23" x14ac:dyDescent="0.35">
      <c r="A522" s="20">
        <f t="shared" si="79"/>
        <v>81</v>
      </c>
      <c r="B522" s="101">
        <v>1349</v>
      </c>
      <c r="C522" s="102" t="s">
        <v>107</v>
      </c>
      <c r="D522" s="60">
        <v>1958</v>
      </c>
      <c r="E522" s="25" t="s">
        <v>504</v>
      </c>
      <c r="F522" s="25" t="s">
        <v>152</v>
      </c>
      <c r="G522" s="4">
        <v>703.9</v>
      </c>
      <c r="H522" s="4">
        <v>639.14</v>
      </c>
      <c r="I522" s="103">
        <v>33</v>
      </c>
      <c r="J522" s="4">
        <f>'Форма 2'!I1953</f>
        <v>247581.7</v>
      </c>
      <c r="K522" s="4">
        <v>0</v>
      </c>
      <c r="L522" s="4">
        <v>0</v>
      </c>
      <c r="M522" s="4">
        <v>0</v>
      </c>
      <c r="N522" s="4">
        <f>J522-K522-L522-M522-O522</f>
        <v>240670.3</v>
      </c>
      <c r="O522" s="4">
        <v>6911.4</v>
      </c>
      <c r="P522" s="4">
        <f t="shared" si="78"/>
        <v>387.37</v>
      </c>
      <c r="Q522" s="4">
        <f>'Форма 2'!K1953</f>
        <v>399</v>
      </c>
      <c r="R522" s="53" t="s">
        <v>161</v>
      </c>
      <c r="S522" s="5">
        <v>1</v>
      </c>
    </row>
    <row r="523" spans="1:23" s="3" customFormat="1" x14ac:dyDescent="0.35">
      <c r="A523" s="20">
        <f t="shared" si="79"/>
        <v>82</v>
      </c>
      <c r="B523" s="20">
        <v>1858</v>
      </c>
      <c r="C523" s="61" t="s">
        <v>327</v>
      </c>
      <c r="D523" s="60">
        <v>1974</v>
      </c>
      <c r="E523" s="60" t="s">
        <v>74</v>
      </c>
      <c r="F523" s="60" t="s">
        <v>481</v>
      </c>
      <c r="G523" s="4">
        <v>3716.4</v>
      </c>
      <c r="H523" s="4">
        <v>3498.4</v>
      </c>
      <c r="I523" s="19">
        <v>132</v>
      </c>
      <c r="J523" s="4">
        <f>'Форма 2'!I1956</f>
        <v>4392469.7</v>
      </c>
      <c r="K523" s="4">
        <v>0</v>
      </c>
      <c r="L523" s="4">
        <v>0</v>
      </c>
      <c r="M523" s="4">
        <v>0</v>
      </c>
      <c r="N523" s="4">
        <f t="shared" si="77"/>
        <v>4127073.7</v>
      </c>
      <c r="O523" s="4">
        <v>265396</v>
      </c>
      <c r="P523" s="4">
        <f t="shared" si="78"/>
        <v>1255.57</v>
      </c>
      <c r="Q523" s="4">
        <f>'Форма 2'!K1956</f>
        <v>3242</v>
      </c>
      <c r="R523" s="53" t="s">
        <v>161</v>
      </c>
      <c r="S523" s="5">
        <v>1</v>
      </c>
      <c r="T523" s="1"/>
      <c r="U523" s="1"/>
      <c r="V523" s="1"/>
      <c r="W523" s="1"/>
    </row>
    <row r="524" spans="1:23" x14ac:dyDescent="0.35">
      <c r="A524" s="27">
        <f t="shared" si="79"/>
        <v>83</v>
      </c>
      <c r="B524" s="105">
        <v>1275</v>
      </c>
      <c r="C524" s="102" t="s">
        <v>719</v>
      </c>
      <c r="D524" s="25">
        <v>1988</v>
      </c>
      <c r="E524" s="25" t="s">
        <v>263</v>
      </c>
      <c r="F524" s="25" t="s">
        <v>152</v>
      </c>
      <c r="G524" s="35">
        <v>3080.7</v>
      </c>
      <c r="H524" s="35">
        <v>2591.9</v>
      </c>
      <c r="I524" s="103">
        <v>98</v>
      </c>
      <c r="J524" s="35">
        <f>'Форма 2'!I1959</f>
        <v>463950.1</v>
      </c>
      <c r="K524" s="35">
        <v>0</v>
      </c>
      <c r="L524" s="35">
        <v>0</v>
      </c>
      <c r="M524" s="35">
        <v>0</v>
      </c>
      <c r="N524" s="35">
        <f t="shared" si="77"/>
        <v>448706.93</v>
      </c>
      <c r="O524" s="35">
        <v>15243.17</v>
      </c>
      <c r="P524" s="35">
        <f t="shared" si="78"/>
        <v>179</v>
      </c>
      <c r="Q524" s="35">
        <f>'Форма 2'!K1959</f>
        <v>179</v>
      </c>
      <c r="R524" s="62" t="s">
        <v>161</v>
      </c>
      <c r="S524" s="63">
        <v>1</v>
      </c>
    </row>
    <row r="525" spans="1:23" x14ac:dyDescent="0.35">
      <c r="A525" s="20">
        <f t="shared" si="79"/>
        <v>84</v>
      </c>
      <c r="B525" s="20">
        <v>1725</v>
      </c>
      <c r="C525" s="61" t="s">
        <v>328</v>
      </c>
      <c r="D525" s="60">
        <v>1954</v>
      </c>
      <c r="E525" s="60" t="s">
        <v>74</v>
      </c>
      <c r="F525" s="60" t="s">
        <v>481</v>
      </c>
      <c r="G525" s="4">
        <v>332.6</v>
      </c>
      <c r="H525" s="4">
        <v>299.2</v>
      </c>
      <c r="I525" s="19">
        <v>14</v>
      </c>
      <c r="J525" s="4">
        <f>'Форма 2'!I1963</f>
        <v>1262688.47</v>
      </c>
      <c r="K525" s="4">
        <v>0</v>
      </c>
      <c r="L525" s="4">
        <v>0</v>
      </c>
      <c r="M525" s="4">
        <v>0</v>
      </c>
      <c r="N525" s="4">
        <f t="shared" si="77"/>
        <v>1206817.74</v>
      </c>
      <c r="O525" s="4">
        <v>55870.73</v>
      </c>
      <c r="P525" s="4">
        <f t="shared" si="78"/>
        <v>4220.22</v>
      </c>
      <c r="Q525" s="4">
        <f>'Форма 2'!K1963</f>
        <v>7066</v>
      </c>
      <c r="R525" s="53" t="s">
        <v>161</v>
      </c>
      <c r="S525" s="5">
        <v>1</v>
      </c>
    </row>
    <row r="526" spans="1:23" s="3" customFormat="1" x14ac:dyDescent="0.35">
      <c r="A526" s="20">
        <f t="shared" si="79"/>
        <v>85</v>
      </c>
      <c r="B526" s="101">
        <v>1286</v>
      </c>
      <c r="C526" s="102" t="s">
        <v>109</v>
      </c>
      <c r="D526" s="60">
        <v>1966</v>
      </c>
      <c r="E526" s="60" t="s">
        <v>74</v>
      </c>
      <c r="F526" s="60" t="s">
        <v>152</v>
      </c>
      <c r="G526" s="4">
        <v>4106.78</v>
      </c>
      <c r="H526" s="4">
        <v>3177.26</v>
      </c>
      <c r="I526" s="103">
        <v>148</v>
      </c>
      <c r="J526" s="4">
        <f>'Форма 2'!I1966</f>
        <v>276765.90999999997</v>
      </c>
      <c r="K526" s="4">
        <v>0</v>
      </c>
      <c r="L526" s="4">
        <v>0</v>
      </c>
      <c r="M526" s="4">
        <v>0</v>
      </c>
      <c r="N526" s="4">
        <f t="shared" si="77"/>
        <v>256995.22</v>
      </c>
      <c r="O526" s="4">
        <v>19770.689999999999</v>
      </c>
      <c r="P526" s="4">
        <f t="shared" si="78"/>
        <v>87.11</v>
      </c>
      <c r="Q526" s="4">
        <f>'Форма 2'!K1966</f>
        <v>169</v>
      </c>
      <c r="R526" s="53" t="s">
        <v>161</v>
      </c>
      <c r="S526" s="5">
        <v>1</v>
      </c>
      <c r="T526" s="1"/>
      <c r="U526" s="1"/>
      <c r="V526" s="1"/>
      <c r="W526" s="1"/>
    </row>
    <row r="527" spans="1:23" x14ac:dyDescent="0.35">
      <c r="A527" s="27">
        <f t="shared" si="79"/>
        <v>86</v>
      </c>
      <c r="B527" s="27">
        <v>1367</v>
      </c>
      <c r="C527" s="61" t="s">
        <v>330</v>
      </c>
      <c r="D527" s="25">
        <v>1978</v>
      </c>
      <c r="E527" s="25" t="s">
        <v>263</v>
      </c>
      <c r="F527" s="25" t="s">
        <v>481</v>
      </c>
      <c r="G527" s="35">
        <v>12315.6</v>
      </c>
      <c r="H527" s="35">
        <v>12279.6</v>
      </c>
      <c r="I527" s="36">
        <v>464</v>
      </c>
      <c r="J527" s="35">
        <f>'Форма 2'!I1968</f>
        <v>17067686.109999999</v>
      </c>
      <c r="K527" s="35">
        <v>0</v>
      </c>
      <c r="L527" s="35">
        <v>0</v>
      </c>
      <c r="M527" s="35">
        <v>0</v>
      </c>
      <c r="N527" s="35">
        <f t="shared" si="77"/>
        <v>16416842.279999999</v>
      </c>
      <c r="O527" s="35">
        <v>650843.82999999996</v>
      </c>
      <c r="P527" s="35">
        <f t="shared" si="78"/>
        <v>1389.92</v>
      </c>
      <c r="Q527" s="35">
        <f>'Форма 2'!K1968</f>
        <v>2178</v>
      </c>
      <c r="R527" s="62" t="s">
        <v>161</v>
      </c>
      <c r="S527" s="63">
        <v>1</v>
      </c>
      <c r="U527" s="3"/>
    </row>
    <row r="528" spans="1:23" x14ac:dyDescent="0.35">
      <c r="A528" s="20">
        <f t="shared" si="79"/>
        <v>87</v>
      </c>
      <c r="B528" s="20">
        <v>1057</v>
      </c>
      <c r="C528" s="61" t="s">
        <v>832</v>
      </c>
      <c r="D528" s="60">
        <v>1990</v>
      </c>
      <c r="E528" s="25" t="s">
        <v>182</v>
      </c>
      <c r="F528" s="25" t="s">
        <v>183</v>
      </c>
      <c r="G528" s="4">
        <v>20649.8</v>
      </c>
      <c r="H528" s="4">
        <v>15850.4</v>
      </c>
      <c r="I528" s="19">
        <v>599</v>
      </c>
      <c r="J528" s="4">
        <f>'Форма 2'!I1975</f>
        <v>3555346</v>
      </c>
      <c r="K528" s="4">
        <v>0</v>
      </c>
      <c r="L528" s="4">
        <v>0</v>
      </c>
      <c r="M528" s="4">
        <v>0</v>
      </c>
      <c r="N528" s="4">
        <f t="shared" si="77"/>
        <v>3555346</v>
      </c>
      <c r="O528" s="4">
        <v>0</v>
      </c>
      <c r="P528" s="4">
        <f t="shared" si="78"/>
        <v>224.31</v>
      </c>
      <c r="Q528" s="4">
        <f>'Форма 2'!K1975</f>
        <v>224.31</v>
      </c>
      <c r="R528" s="53" t="s">
        <v>161</v>
      </c>
      <c r="S528" s="63">
        <v>1</v>
      </c>
      <c r="U528" s="3"/>
    </row>
    <row r="529" spans="1:23" x14ac:dyDescent="0.35">
      <c r="A529" s="20">
        <f t="shared" si="79"/>
        <v>88</v>
      </c>
      <c r="B529" s="101">
        <v>1490</v>
      </c>
      <c r="C529" s="102" t="s">
        <v>110</v>
      </c>
      <c r="D529" s="60">
        <v>1965</v>
      </c>
      <c r="E529" s="25" t="s">
        <v>74</v>
      </c>
      <c r="F529" s="25" t="s">
        <v>152</v>
      </c>
      <c r="G529" s="4">
        <v>3393.22</v>
      </c>
      <c r="H529" s="4">
        <v>3162.22</v>
      </c>
      <c r="I529" s="103">
        <v>150</v>
      </c>
      <c r="J529" s="4">
        <f>'Форма 2'!I1982</f>
        <v>271958.71999999997</v>
      </c>
      <c r="K529" s="4">
        <v>0</v>
      </c>
      <c r="L529" s="4">
        <v>0</v>
      </c>
      <c r="M529" s="4">
        <v>0</v>
      </c>
      <c r="N529" s="4">
        <f t="shared" si="77"/>
        <v>252281.62</v>
      </c>
      <c r="O529" s="4">
        <v>19677.099999999999</v>
      </c>
      <c r="P529" s="4">
        <f t="shared" si="78"/>
        <v>86</v>
      </c>
      <c r="Q529" s="4">
        <f>'Форма 2'!K1982</f>
        <v>169</v>
      </c>
      <c r="R529" s="53" t="s">
        <v>161</v>
      </c>
      <c r="S529" s="5">
        <v>1</v>
      </c>
    </row>
    <row r="530" spans="1:23" x14ac:dyDescent="0.35">
      <c r="A530" s="20">
        <f t="shared" si="79"/>
        <v>89</v>
      </c>
      <c r="B530" s="101">
        <v>1492</v>
      </c>
      <c r="C530" s="102" t="s">
        <v>111</v>
      </c>
      <c r="D530" s="60">
        <v>1965</v>
      </c>
      <c r="E530" s="25" t="s">
        <v>74</v>
      </c>
      <c r="F530" s="25" t="s">
        <v>152</v>
      </c>
      <c r="G530" s="4">
        <v>3434.5</v>
      </c>
      <c r="H530" s="4">
        <v>3144.5</v>
      </c>
      <c r="I530" s="103">
        <v>174</v>
      </c>
      <c r="J530" s="4">
        <f>'Форма 2'!I1984</f>
        <v>235139.75</v>
      </c>
      <c r="K530" s="4">
        <v>0</v>
      </c>
      <c r="L530" s="4">
        <v>0</v>
      </c>
      <c r="M530" s="4">
        <v>0</v>
      </c>
      <c r="N530" s="4">
        <f t="shared" si="77"/>
        <v>215572.91</v>
      </c>
      <c r="O530" s="4">
        <v>19566.84</v>
      </c>
      <c r="P530" s="4">
        <f t="shared" si="78"/>
        <v>74.78</v>
      </c>
      <c r="Q530" s="4">
        <f>'Форма 2'!K1984</f>
        <v>169</v>
      </c>
      <c r="R530" s="53" t="s">
        <v>161</v>
      </c>
      <c r="S530" s="5">
        <v>1</v>
      </c>
    </row>
    <row r="531" spans="1:23" x14ac:dyDescent="0.35">
      <c r="A531" s="20">
        <f t="shared" si="79"/>
        <v>90</v>
      </c>
      <c r="B531" s="20">
        <v>1370</v>
      </c>
      <c r="C531" s="61" t="s">
        <v>332</v>
      </c>
      <c r="D531" s="60">
        <v>1972</v>
      </c>
      <c r="E531" s="60" t="s">
        <v>239</v>
      </c>
      <c r="F531" s="60" t="s">
        <v>481</v>
      </c>
      <c r="G531" s="4">
        <v>4603.3999999999996</v>
      </c>
      <c r="H531" s="4">
        <v>4201.3999999999996</v>
      </c>
      <c r="I531" s="19">
        <v>159</v>
      </c>
      <c r="J531" s="4">
        <f>'Форма 2'!I1986</f>
        <v>1145353.72</v>
      </c>
      <c r="K531" s="4">
        <v>0</v>
      </c>
      <c r="L531" s="4">
        <v>0</v>
      </c>
      <c r="M531" s="4">
        <v>0</v>
      </c>
      <c r="N531" s="4">
        <f t="shared" si="77"/>
        <v>1090690.18</v>
      </c>
      <c r="O531" s="4">
        <v>54663.54</v>
      </c>
      <c r="P531" s="4">
        <f t="shared" si="78"/>
        <v>272.61</v>
      </c>
      <c r="Q531" s="4">
        <f>'Форма 2'!K1986</f>
        <v>596</v>
      </c>
      <c r="R531" s="53" t="s">
        <v>161</v>
      </c>
      <c r="S531" s="5">
        <v>1</v>
      </c>
      <c r="U531" s="3"/>
    </row>
    <row r="532" spans="1:23" x14ac:dyDescent="0.35">
      <c r="A532" s="20">
        <f t="shared" si="79"/>
        <v>91</v>
      </c>
      <c r="B532" s="20">
        <v>1445</v>
      </c>
      <c r="C532" s="61" t="s">
        <v>333</v>
      </c>
      <c r="D532" s="60">
        <v>1991</v>
      </c>
      <c r="E532" s="25" t="s">
        <v>74</v>
      </c>
      <c r="F532" s="25" t="s">
        <v>155</v>
      </c>
      <c r="G532" s="4">
        <v>1572.4</v>
      </c>
      <c r="H532" s="4">
        <v>1372.4</v>
      </c>
      <c r="I532" s="19">
        <v>52</v>
      </c>
      <c r="J532" s="4">
        <f>'Форма 2'!I1989</f>
        <v>2846460.33</v>
      </c>
      <c r="K532" s="4">
        <v>0</v>
      </c>
      <c r="L532" s="4">
        <v>0</v>
      </c>
      <c r="M532" s="4">
        <v>0</v>
      </c>
      <c r="N532" s="4">
        <f t="shared" si="77"/>
        <v>2699043.93</v>
      </c>
      <c r="O532" s="4">
        <v>147416.4</v>
      </c>
      <c r="P532" s="4">
        <f t="shared" si="78"/>
        <v>2074.0700000000002</v>
      </c>
      <c r="Q532" s="4">
        <f>'Форма 2'!K1989</f>
        <v>3242</v>
      </c>
      <c r="R532" s="53" t="s">
        <v>161</v>
      </c>
      <c r="S532" s="5">
        <v>1</v>
      </c>
    </row>
    <row r="533" spans="1:23" x14ac:dyDescent="0.35">
      <c r="A533" s="20">
        <f t="shared" si="79"/>
        <v>92</v>
      </c>
      <c r="B533" s="20">
        <v>1373</v>
      </c>
      <c r="C533" s="61" t="s">
        <v>336</v>
      </c>
      <c r="D533" s="60">
        <v>1974</v>
      </c>
      <c r="E533" s="60" t="s">
        <v>74</v>
      </c>
      <c r="F533" s="60" t="s">
        <v>481</v>
      </c>
      <c r="G533" s="4">
        <v>3963.9</v>
      </c>
      <c r="H533" s="4">
        <v>3533.5</v>
      </c>
      <c r="I533" s="19">
        <v>133</v>
      </c>
      <c r="J533" s="4">
        <f>'Форма 2'!I1992</f>
        <v>8579176.3200000003</v>
      </c>
      <c r="K533" s="4">
        <v>0</v>
      </c>
      <c r="L533" s="4">
        <v>0</v>
      </c>
      <c r="M533" s="4">
        <v>0</v>
      </c>
      <c r="N533" s="4">
        <f t="shared" si="77"/>
        <v>8252596.1699999999</v>
      </c>
      <c r="O533" s="4">
        <v>326580.15000000002</v>
      </c>
      <c r="P533" s="4">
        <f t="shared" si="78"/>
        <v>2427.9499999999998</v>
      </c>
      <c r="Q533" s="4">
        <f>'Форма 2'!K1992</f>
        <v>3449</v>
      </c>
      <c r="R533" s="53" t="s">
        <v>161</v>
      </c>
      <c r="S533" s="5">
        <v>1</v>
      </c>
    </row>
    <row r="534" spans="1:23" s="3" customFormat="1" x14ac:dyDescent="0.35">
      <c r="A534" s="20">
        <f t="shared" si="79"/>
        <v>93</v>
      </c>
      <c r="B534" s="20">
        <v>1376</v>
      </c>
      <c r="C534" s="61" t="s">
        <v>337</v>
      </c>
      <c r="D534" s="60">
        <v>1974</v>
      </c>
      <c r="E534" s="25" t="s">
        <v>74</v>
      </c>
      <c r="F534" s="25" t="s">
        <v>481</v>
      </c>
      <c r="G534" s="4">
        <v>2661.35</v>
      </c>
      <c r="H534" s="4">
        <v>2451.35</v>
      </c>
      <c r="I534" s="19">
        <v>93</v>
      </c>
      <c r="J534" s="4">
        <f>'Форма 2'!I1995</f>
        <v>5673984.2699999996</v>
      </c>
      <c r="K534" s="4">
        <v>0</v>
      </c>
      <c r="L534" s="4">
        <v>0</v>
      </c>
      <c r="M534" s="4">
        <v>0</v>
      </c>
      <c r="N534" s="4">
        <f t="shared" si="77"/>
        <v>5458699.4800000004</v>
      </c>
      <c r="O534" s="4">
        <v>215284.79</v>
      </c>
      <c r="P534" s="4">
        <f t="shared" si="78"/>
        <v>2314.64</v>
      </c>
      <c r="Q534" s="4">
        <f>'Форма 2'!K1995</f>
        <v>3449</v>
      </c>
      <c r="R534" s="53" t="s">
        <v>161</v>
      </c>
      <c r="S534" s="5">
        <v>1</v>
      </c>
      <c r="T534" s="1"/>
      <c r="U534" s="1"/>
      <c r="V534" s="1"/>
      <c r="W534" s="1"/>
    </row>
    <row r="535" spans="1:23" x14ac:dyDescent="0.35">
      <c r="A535" s="27">
        <f t="shared" si="79"/>
        <v>94</v>
      </c>
      <c r="B535" s="27">
        <v>1377</v>
      </c>
      <c r="C535" s="61" t="s">
        <v>338</v>
      </c>
      <c r="D535" s="25">
        <v>1978</v>
      </c>
      <c r="E535" s="25" t="s">
        <v>263</v>
      </c>
      <c r="F535" s="25" t="s">
        <v>481</v>
      </c>
      <c r="G535" s="35">
        <v>16113.5</v>
      </c>
      <c r="H535" s="35">
        <v>14235.2</v>
      </c>
      <c r="I535" s="36">
        <v>466</v>
      </c>
      <c r="J535" s="35">
        <f>'Форма 2'!I1998</f>
        <v>19852770.469999999</v>
      </c>
      <c r="K535" s="35">
        <v>0</v>
      </c>
      <c r="L535" s="35">
        <v>0</v>
      </c>
      <c r="M535" s="35">
        <v>0</v>
      </c>
      <c r="N535" s="35">
        <f t="shared" si="77"/>
        <v>19095722.73</v>
      </c>
      <c r="O535" s="35">
        <v>757047.74</v>
      </c>
      <c r="P535" s="35">
        <f t="shared" si="78"/>
        <v>1394.63</v>
      </c>
      <c r="Q535" s="35">
        <f>'Форма 2'!K1998</f>
        <v>2178</v>
      </c>
      <c r="R535" s="62" t="s">
        <v>161</v>
      </c>
      <c r="S535" s="63">
        <v>1</v>
      </c>
    </row>
    <row r="536" spans="1:23" x14ac:dyDescent="0.35">
      <c r="A536" s="20">
        <f t="shared" si="79"/>
        <v>95</v>
      </c>
      <c r="B536" s="20">
        <v>1378</v>
      </c>
      <c r="C536" s="61" t="s">
        <v>339</v>
      </c>
      <c r="D536" s="60">
        <v>1975</v>
      </c>
      <c r="E536" s="60" t="s">
        <v>74</v>
      </c>
      <c r="F536" s="60" t="s">
        <v>481</v>
      </c>
      <c r="G536" s="4">
        <v>5279.8</v>
      </c>
      <c r="H536" s="4">
        <v>4687.8</v>
      </c>
      <c r="I536" s="19">
        <v>177</v>
      </c>
      <c r="J536" s="4">
        <f>'Форма 2'!I2005</f>
        <v>10137640.33</v>
      </c>
      <c r="K536" s="4">
        <v>0</v>
      </c>
      <c r="L536" s="4">
        <v>0</v>
      </c>
      <c r="M536" s="4">
        <v>0</v>
      </c>
      <c r="N536" s="4">
        <f t="shared" si="77"/>
        <v>9707867.3800000008</v>
      </c>
      <c r="O536" s="4">
        <v>429772.95</v>
      </c>
      <c r="P536" s="4">
        <f t="shared" si="78"/>
        <v>2162.56</v>
      </c>
      <c r="Q536" s="4">
        <f>'Форма 2'!K2005</f>
        <v>3449</v>
      </c>
      <c r="R536" s="53" t="s">
        <v>161</v>
      </c>
      <c r="S536" s="5">
        <v>1</v>
      </c>
    </row>
    <row r="537" spans="1:23" s="3" customFormat="1" x14ac:dyDescent="0.35">
      <c r="A537" s="20">
        <f t="shared" si="79"/>
        <v>96</v>
      </c>
      <c r="B537" s="20">
        <v>1379</v>
      </c>
      <c r="C537" s="61" t="s">
        <v>340</v>
      </c>
      <c r="D537" s="60">
        <v>1971</v>
      </c>
      <c r="E537" s="60" t="s">
        <v>74</v>
      </c>
      <c r="F537" s="60" t="s">
        <v>481</v>
      </c>
      <c r="G537" s="4">
        <v>2694</v>
      </c>
      <c r="H537" s="4">
        <v>2659.6</v>
      </c>
      <c r="I537" s="19">
        <v>100</v>
      </c>
      <c r="J537" s="4">
        <f>'Форма 2'!I2008</f>
        <v>5644582.8099999996</v>
      </c>
      <c r="K537" s="4">
        <v>0</v>
      </c>
      <c r="L537" s="4">
        <v>0</v>
      </c>
      <c r="M537" s="4">
        <v>0</v>
      </c>
      <c r="N537" s="4">
        <f t="shared" si="77"/>
        <v>5429337.3499999996</v>
      </c>
      <c r="O537" s="4">
        <v>215245.46</v>
      </c>
      <c r="P537" s="4">
        <f t="shared" si="78"/>
        <v>2122.34</v>
      </c>
      <c r="Q537" s="4">
        <f>'Форма 2'!K2008</f>
        <v>3449</v>
      </c>
      <c r="R537" s="53" t="s">
        <v>161</v>
      </c>
      <c r="S537" s="5">
        <v>1</v>
      </c>
      <c r="T537" s="1"/>
      <c r="U537" s="1"/>
      <c r="V537" s="1"/>
      <c r="W537" s="1"/>
    </row>
    <row r="538" spans="1:23" x14ac:dyDescent="0.35">
      <c r="A538" s="27">
        <f t="shared" si="79"/>
        <v>97</v>
      </c>
      <c r="B538" s="105">
        <v>1242</v>
      </c>
      <c r="C538" s="102" t="s">
        <v>720</v>
      </c>
      <c r="D538" s="25">
        <v>1985</v>
      </c>
      <c r="E538" s="25" t="s">
        <v>263</v>
      </c>
      <c r="F538" s="25" t="s">
        <v>152</v>
      </c>
      <c r="G538" s="35">
        <v>9992.7999999999993</v>
      </c>
      <c r="H538" s="35">
        <v>7740.2</v>
      </c>
      <c r="I538" s="103">
        <v>292</v>
      </c>
      <c r="J538" s="35">
        <f>'Форма 2'!I2011</f>
        <v>1091368.2</v>
      </c>
      <c r="K538" s="35">
        <v>0</v>
      </c>
      <c r="L538" s="35">
        <v>0</v>
      </c>
      <c r="M538" s="35">
        <v>0</v>
      </c>
      <c r="N538" s="35">
        <f t="shared" si="77"/>
        <v>1053189.53</v>
      </c>
      <c r="O538" s="35">
        <v>38178.67</v>
      </c>
      <c r="P538" s="35">
        <f t="shared" si="78"/>
        <v>141</v>
      </c>
      <c r="Q538" s="35">
        <f>'Форма 2'!K2011</f>
        <v>141</v>
      </c>
      <c r="R538" s="62" t="s">
        <v>161</v>
      </c>
      <c r="S538" s="63">
        <v>1</v>
      </c>
      <c r="U538" s="3"/>
    </row>
    <row r="539" spans="1:23" x14ac:dyDescent="0.35">
      <c r="A539" s="20">
        <f t="shared" si="79"/>
        <v>98</v>
      </c>
      <c r="B539" s="20">
        <v>1787</v>
      </c>
      <c r="C539" s="61" t="s">
        <v>341</v>
      </c>
      <c r="D539" s="60">
        <v>1973</v>
      </c>
      <c r="E539" s="60" t="s">
        <v>74</v>
      </c>
      <c r="F539" s="60" t="s">
        <v>481</v>
      </c>
      <c r="G539" s="4">
        <v>3254.1</v>
      </c>
      <c r="H539" s="4">
        <v>2886.9</v>
      </c>
      <c r="I539" s="19">
        <v>109</v>
      </c>
      <c r="J539" s="4">
        <f>'Форма 2'!I2015</f>
        <v>5108611.7699999996</v>
      </c>
      <c r="K539" s="4">
        <v>0</v>
      </c>
      <c r="L539" s="4">
        <v>0</v>
      </c>
      <c r="M539" s="4">
        <v>0</v>
      </c>
      <c r="N539" s="4">
        <f t="shared" si="77"/>
        <v>4889605.45</v>
      </c>
      <c r="O539" s="4">
        <v>219006.32</v>
      </c>
      <c r="P539" s="4">
        <f t="shared" si="78"/>
        <v>1769.58</v>
      </c>
      <c r="Q539" s="4">
        <f>'Форма 2'!K2015</f>
        <v>3242</v>
      </c>
      <c r="R539" s="53" t="s">
        <v>161</v>
      </c>
      <c r="S539" s="5">
        <v>1</v>
      </c>
    </row>
    <row r="540" spans="1:23" x14ac:dyDescent="0.35">
      <c r="A540" s="20">
        <f t="shared" si="79"/>
        <v>99</v>
      </c>
      <c r="B540" s="101">
        <v>1789</v>
      </c>
      <c r="C540" s="102" t="s">
        <v>550</v>
      </c>
      <c r="D540" s="60">
        <v>1973</v>
      </c>
      <c r="E540" s="60" t="s">
        <v>74</v>
      </c>
      <c r="F540" s="60" t="s">
        <v>152</v>
      </c>
      <c r="G540" s="4">
        <v>3610.9</v>
      </c>
      <c r="H540" s="4">
        <v>2815.6</v>
      </c>
      <c r="I540" s="103">
        <v>263</v>
      </c>
      <c r="J540" s="4">
        <f>'Форма 2'!I2018</f>
        <v>94918.6</v>
      </c>
      <c r="K540" s="4">
        <v>0</v>
      </c>
      <c r="L540" s="4">
        <v>0</v>
      </c>
      <c r="M540" s="4">
        <v>0</v>
      </c>
      <c r="N540" s="4">
        <f t="shared" si="77"/>
        <v>77398.36</v>
      </c>
      <c r="O540" s="4">
        <v>17520.240000000002</v>
      </c>
      <c r="P540" s="4">
        <f t="shared" si="78"/>
        <v>33.71</v>
      </c>
      <c r="Q540" s="4">
        <f>'Форма 2'!K2018</f>
        <v>169</v>
      </c>
      <c r="R540" s="53" t="s">
        <v>161</v>
      </c>
      <c r="S540" s="5">
        <v>1</v>
      </c>
    </row>
    <row r="541" spans="1:23" x14ac:dyDescent="0.35">
      <c r="A541" s="20">
        <f t="shared" si="79"/>
        <v>100</v>
      </c>
      <c r="B541" s="101">
        <v>1263</v>
      </c>
      <c r="C541" s="102" t="s">
        <v>87</v>
      </c>
      <c r="D541" s="60">
        <v>1960</v>
      </c>
      <c r="E541" s="60" t="s">
        <v>551</v>
      </c>
      <c r="F541" s="60" t="s">
        <v>183</v>
      </c>
      <c r="G541" s="4">
        <v>2225.4</v>
      </c>
      <c r="H541" s="4">
        <v>2040.56</v>
      </c>
      <c r="I541" s="19">
        <v>84</v>
      </c>
      <c r="J541" s="4">
        <f>'Форма 2'!I2020</f>
        <v>6191024.9800000004</v>
      </c>
      <c r="K541" s="4">
        <v>0</v>
      </c>
      <c r="L541" s="4">
        <v>0</v>
      </c>
      <c r="M541" s="4">
        <v>0</v>
      </c>
      <c r="N541" s="4">
        <f t="shared" si="77"/>
        <v>5958056.7000000002</v>
      </c>
      <c r="O541" s="4">
        <v>232968.28</v>
      </c>
      <c r="P541" s="4">
        <f t="shared" si="78"/>
        <v>3033.98</v>
      </c>
      <c r="Q541" s="4">
        <f>'Форма 2'!K2020</f>
        <v>3044</v>
      </c>
      <c r="R541" s="53" t="s">
        <v>161</v>
      </c>
      <c r="S541" s="5">
        <v>1</v>
      </c>
      <c r="U541" s="3"/>
    </row>
    <row r="542" spans="1:23" x14ac:dyDescent="0.35">
      <c r="A542" s="20">
        <f t="shared" si="79"/>
        <v>101</v>
      </c>
      <c r="B542" s="101">
        <v>1264</v>
      </c>
      <c r="C542" s="102" t="s">
        <v>112</v>
      </c>
      <c r="D542" s="60">
        <v>1965</v>
      </c>
      <c r="E542" s="60" t="s">
        <v>74</v>
      </c>
      <c r="F542" s="60" t="s">
        <v>152</v>
      </c>
      <c r="G542" s="4">
        <v>3185.1</v>
      </c>
      <c r="H542" s="4">
        <v>2815.1</v>
      </c>
      <c r="I542" s="103">
        <v>142</v>
      </c>
      <c r="J542" s="4">
        <f>'Форма 2'!I2025</f>
        <v>236818.28</v>
      </c>
      <c r="K542" s="4">
        <v>0</v>
      </c>
      <c r="L542" s="4">
        <v>0</v>
      </c>
      <c r="M542" s="4">
        <v>0</v>
      </c>
      <c r="N542" s="4">
        <f t="shared" si="77"/>
        <v>219301.15</v>
      </c>
      <c r="O542" s="4">
        <v>17517.13</v>
      </c>
      <c r="P542" s="4">
        <f t="shared" si="78"/>
        <v>84.12</v>
      </c>
      <c r="Q542" s="4">
        <f>'Форма 2'!K2025</f>
        <v>169</v>
      </c>
      <c r="R542" s="53" t="s">
        <v>161</v>
      </c>
      <c r="S542" s="5">
        <v>1</v>
      </c>
    </row>
    <row r="543" spans="1:23" x14ac:dyDescent="0.35">
      <c r="A543" s="20">
        <f t="shared" si="79"/>
        <v>102</v>
      </c>
      <c r="B543" s="20">
        <v>1265</v>
      </c>
      <c r="C543" s="61" t="s">
        <v>342</v>
      </c>
      <c r="D543" s="60">
        <v>1995</v>
      </c>
      <c r="E543" s="60" t="s">
        <v>74</v>
      </c>
      <c r="F543" s="60" t="s">
        <v>155</v>
      </c>
      <c r="G543" s="4">
        <v>4827.8</v>
      </c>
      <c r="H543" s="4">
        <v>4275.8</v>
      </c>
      <c r="I543" s="19">
        <v>162</v>
      </c>
      <c r="J543" s="4">
        <f>'Форма 2'!I2027</f>
        <v>11121313.380000001</v>
      </c>
      <c r="K543" s="4">
        <v>0</v>
      </c>
      <c r="L543" s="4">
        <v>0</v>
      </c>
      <c r="M543" s="4">
        <v>0</v>
      </c>
      <c r="N543" s="4">
        <f t="shared" si="77"/>
        <v>10670008.85</v>
      </c>
      <c r="O543" s="4">
        <v>451304.53</v>
      </c>
      <c r="P543" s="4">
        <f t="shared" si="78"/>
        <v>2600.9899999999998</v>
      </c>
      <c r="Q543" s="4">
        <f>'Форма 2'!K2027</f>
        <v>3242</v>
      </c>
      <c r="R543" s="53" t="s">
        <v>161</v>
      </c>
      <c r="S543" s="5">
        <v>1</v>
      </c>
    </row>
    <row r="544" spans="1:23" x14ac:dyDescent="0.35">
      <c r="A544" s="20">
        <f t="shared" si="79"/>
        <v>103</v>
      </c>
      <c r="B544" s="20">
        <v>1267</v>
      </c>
      <c r="C544" s="61" t="s">
        <v>343</v>
      </c>
      <c r="D544" s="60">
        <v>1972</v>
      </c>
      <c r="E544" s="25" t="s">
        <v>344</v>
      </c>
      <c r="F544" s="25" t="s">
        <v>152</v>
      </c>
      <c r="G544" s="4">
        <v>4281.3999999999996</v>
      </c>
      <c r="H544" s="4">
        <v>3044.9</v>
      </c>
      <c r="I544" s="19">
        <v>114</v>
      </c>
      <c r="J544" s="4">
        <f>'Форма 2'!I2030</f>
        <v>992887.94</v>
      </c>
      <c r="K544" s="4">
        <v>0</v>
      </c>
      <c r="L544" s="4">
        <v>0</v>
      </c>
      <c r="M544" s="4">
        <v>0</v>
      </c>
      <c r="N544" s="4">
        <f t="shared" si="77"/>
        <v>968048.79</v>
      </c>
      <c r="O544" s="4">
        <v>24839.15</v>
      </c>
      <c r="P544" s="4">
        <f t="shared" si="78"/>
        <v>326.08</v>
      </c>
      <c r="Q544" s="4">
        <f>'Форма 2'!K2030</f>
        <v>712</v>
      </c>
      <c r="R544" s="53" t="s">
        <v>161</v>
      </c>
      <c r="S544" s="5">
        <v>1</v>
      </c>
    </row>
    <row r="545" spans="1:23" x14ac:dyDescent="0.35">
      <c r="A545" s="20">
        <f t="shared" si="79"/>
        <v>104</v>
      </c>
      <c r="B545" s="20">
        <v>1353</v>
      </c>
      <c r="C545" s="61" t="s">
        <v>88</v>
      </c>
      <c r="D545" s="60">
        <v>1970</v>
      </c>
      <c r="E545" s="25" t="s">
        <v>289</v>
      </c>
      <c r="F545" s="25" t="s">
        <v>160</v>
      </c>
      <c r="G545" s="4">
        <v>7408.5</v>
      </c>
      <c r="H545" s="4">
        <v>6993.5</v>
      </c>
      <c r="I545" s="19">
        <v>264</v>
      </c>
      <c r="J545" s="4">
        <f>'Форма 2'!I2034</f>
        <v>407021.7</v>
      </c>
      <c r="K545" s="4">
        <v>0</v>
      </c>
      <c r="L545" s="4">
        <v>0</v>
      </c>
      <c r="M545" s="4">
        <v>0</v>
      </c>
      <c r="N545" s="4">
        <f t="shared" si="77"/>
        <v>391843.65</v>
      </c>
      <c r="O545" s="4">
        <v>15178.05</v>
      </c>
      <c r="P545" s="4">
        <f t="shared" si="78"/>
        <v>58.2</v>
      </c>
      <c r="Q545" s="4">
        <f>'Форма 2'!K2034</f>
        <v>173</v>
      </c>
      <c r="R545" s="53" t="s">
        <v>493</v>
      </c>
      <c r="S545" s="5">
        <v>1</v>
      </c>
    </row>
    <row r="546" spans="1:23" x14ac:dyDescent="0.35">
      <c r="A546" s="20">
        <f t="shared" si="79"/>
        <v>105</v>
      </c>
      <c r="B546" s="20">
        <v>1421</v>
      </c>
      <c r="C546" s="61" t="s">
        <v>345</v>
      </c>
      <c r="D546" s="60">
        <v>1975</v>
      </c>
      <c r="E546" s="60" t="s">
        <v>74</v>
      </c>
      <c r="F546" s="60" t="s">
        <v>155</v>
      </c>
      <c r="G546" s="4">
        <v>4331.6000000000004</v>
      </c>
      <c r="H546" s="4">
        <v>3894.6</v>
      </c>
      <c r="I546" s="19">
        <v>147</v>
      </c>
      <c r="J546" s="4">
        <f>'Форма 2'!I2037</f>
        <v>13365312.199999999</v>
      </c>
      <c r="K546" s="4">
        <v>0</v>
      </c>
      <c r="L546" s="4">
        <v>0</v>
      </c>
      <c r="M546" s="4">
        <v>0</v>
      </c>
      <c r="N546" s="4">
        <f t="shared" si="77"/>
        <v>12855651.34</v>
      </c>
      <c r="O546" s="4">
        <v>509660.86</v>
      </c>
      <c r="P546" s="4">
        <f t="shared" si="78"/>
        <v>3431.75</v>
      </c>
      <c r="Q546" s="4">
        <f>'Форма 2'!K2037</f>
        <v>3449</v>
      </c>
      <c r="R546" s="53" t="s">
        <v>161</v>
      </c>
      <c r="S546" s="5">
        <v>1</v>
      </c>
    </row>
    <row r="547" spans="1:23" x14ac:dyDescent="0.35">
      <c r="A547" s="20">
        <f t="shared" si="79"/>
        <v>106</v>
      </c>
      <c r="B547" s="101">
        <v>1042</v>
      </c>
      <c r="C547" s="102" t="s">
        <v>552</v>
      </c>
      <c r="D547" s="60">
        <v>1976</v>
      </c>
      <c r="E547" s="25" t="s">
        <v>74</v>
      </c>
      <c r="F547" s="25" t="s">
        <v>152</v>
      </c>
      <c r="G547" s="4">
        <v>5331.1</v>
      </c>
      <c r="H547" s="4">
        <v>3945.3</v>
      </c>
      <c r="I547" s="103">
        <v>183</v>
      </c>
      <c r="J547" s="4">
        <f>'Форма 2'!I2040</f>
        <v>304099.05</v>
      </c>
      <c r="K547" s="4">
        <v>0</v>
      </c>
      <c r="L547" s="4">
        <v>0</v>
      </c>
      <c r="M547" s="4">
        <v>0</v>
      </c>
      <c r="N547" s="4">
        <f t="shared" si="77"/>
        <v>279549.18</v>
      </c>
      <c r="O547" s="4">
        <v>24549.87</v>
      </c>
      <c r="P547" s="4">
        <f t="shared" si="78"/>
        <v>77.08</v>
      </c>
      <c r="Q547" s="4">
        <f>'Форма 2'!K2040</f>
        <v>169</v>
      </c>
      <c r="R547" s="53" t="s">
        <v>161</v>
      </c>
      <c r="S547" s="5">
        <v>1</v>
      </c>
    </row>
    <row r="548" spans="1:23" x14ac:dyDescent="0.35">
      <c r="A548" s="20">
        <f t="shared" si="79"/>
        <v>107</v>
      </c>
      <c r="B548" s="20">
        <v>1030</v>
      </c>
      <c r="C548" s="61" t="s">
        <v>346</v>
      </c>
      <c r="D548" s="60">
        <v>1985</v>
      </c>
      <c r="E548" s="60" t="s">
        <v>74</v>
      </c>
      <c r="F548" s="60" t="s">
        <v>155</v>
      </c>
      <c r="G548" s="4">
        <v>2705.2</v>
      </c>
      <c r="H548" s="4">
        <v>2345.1999999999998</v>
      </c>
      <c r="I548" s="19">
        <v>89</v>
      </c>
      <c r="J548" s="4">
        <f>'Форма 2'!I2042</f>
        <v>7127142.3499999996</v>
      </c>
      <c r="K548" s="4">
        <v>0</v>
      </c>
      <c r="L548" s="4">
        <v>0</v>
      </c>
      <c r="M548" s="4">
        <v>0</v>
      </c>
      <c r="N548" s="4">
        <f t="shared" si="77"/>
        <v>6820241.3499999996</v>
      </c>
      <c r="O548" s="4">
        <v>306901</v>
      </c>
      <c r="P548" s="4">
        <f t="shared" si="78"/>
        <v>3039.03</v>
      </c>
      <c r="Q548" s="4">
        <f>'Форма 2'!K2042</f>
        <v>3449</v>
      </c>
      <c r="R548" s="53" t="s">
        <v>161</v>
      </c>
      <c r="S548" s="5">
        <v>1</v>
      </c>
    </row>
    <row r="549" spans="1:23" x14ac:dyDescent="0.35">
      <c r="A549" s="20">
        <f t="shared" si="79"/>
        <v>108</v>
      </c>
      <c r="B549" s="20">
        <v>1354</v>
      </c>
      <c r="C549" s="61" t="s">
        <v>347</v>
      </c>
      <c r="D549" s="60">
        <v>1978</v>
      </c>
      <c r="E549" s="25" t="s">
        <v>239</v>
      </c>
      <c r="F549" s="25" t="s">
        <v>481</v>
      </c>
      <c r="G549" s="4">
        <v>4337</v>
      </c>
      <c r="H549" s="4">
        <v>3816</v>
      </c>
      <c r="I549" s="19">
        <v>144</v>
      </c>
      <c r="J549" s="4">
        <f>'Форма 2'!I2045</f>
        <v>732768.58</v>
      </c>
      <c r="K549" s="4">
        <v>0</v>
      </c>
      <c r="L549" s="4">
        <v>0</v>
      </c>
      <c r="M549" s="4">
        <v>0</v>
      </c>
      <c r="N549" s="4">
        <f t="shared" si="77"/>
        <v>702296.48</v>
      </c>
      <c r="O549" s="4">
        <v>30472.1</v>
      </c>
      <c r="P549" s="4">
        <f t="shared" si="78"/>
        <v>192.03</v>
      </c>
      <c r="Q549" s="4">
        <f>'Форма 2'!K2045</f>
        <v>596</v>
      </c>
      <c r="R549" s="53" t="s">
        <v>161</v>
      </c>
      <c r="S549" s="5">
        <v>1</v>
      </c>
    </row>
    <row r="550" spans="1:23" x14ac:dyDescent="0.35">
      <c r="A550" s="20">
        <f t="shared" si="79"/>
        <v>109</v>
      </c>
      <c r="B550" s="20">
        <v>1357</v>
      </c>
      <c r="C550" s="61" t="s">
        <v>348</v>
      </c>
      <c r="D550" s="60">
        <v>1982</v>
      </c>
      <c r="E550" s="25" t="s">
        <v>239</v>
      </c>
      <c r="F550" s="25" t="s">
        <v>481</v>
      </c>
      <c r="G550" s="4">
        <v>4117.8999999999996</v>
      </c>
      <c r="H550" s="4">
        <v>3930.8</v>
      </c>
      <c r="I550" s="19">
        <v>148</v>
      </c>
      <c r="J550" s="4">
        <f>'Форма 2'!I2048</f>
        <v>880713.65</v>
      </c>
      <c r="K550" s="4">
        <v>0</v>
      </c>
      <c r="L550" s="4">
        <v>0</v>
      </c>
      <c r="M550" s="4">
        <v>0</v>
      </c>
      <c r="N550" s="4">
        <f t="shared" si="77"/>
        <v>842924.41</v>
      </c>
      <c r="O550" s="4">
        <v>37789.24</v>
      </c>
      <c r="P550" s="4">
        <f t="shared" si="78"/>
        <v>224.05</v>
      </c>
      <c r="Q550" s="4">
        <f>'Форма 2'!K2048</f>
        <v>596</v>
      </c>
      <c r="R550" s="53" t="s">
        <v>161</v>
      </c>
      <c r="S550" s="5">
        <v>1</v>
      </c>
    </row>
    <row r="551" spans="1:23" x14ac:dyDescent="0.35">
      <c r="A551" s="20">
        <f t="shared" si="79"/>
        <v>110</v>
      </c>
      <c r="B551" s="20">
        <v>1358</v>
      </c>
      <c r="C551" s="61" t="s">
        <v>349</v>
      </c>
      <c r="D551" s="60">
        <v>1985</v>
      </c>
      <c r="E551" s="25" t="s">
        <v>239</v>
      </c>
      <c r="F551" s="25" t="s">
        <v>155</v>
      </c>
      <c r="G551" s="4">
        <f>69.65*14.46*5</f>
        <v>5035.7</v>
      </c>
      <c r="H551" s="4">
        <v>3186.9</v>
      </c>
      <c r="I551" s="19">
        <v>101</v>
      </c>
      <c r="J551" s="4">
        <f>'Форма 2'!I2051</f>
        <v>1808499.58</v>
      </c>
      <c r="K551" s="4">
        <v>0</v>
      </c>
      <c r="L551" s="4">
        <v>0</v>
      </c>
      <c r="M551" s="4">
        <v>0</v>
      </c>
      <c r="N551" s="4">
        <f t="shared" si="77"/>
        <v>1736432</v>
      </c>
      <c r="O551" s="4">
        <v>72067.58</v>
      </c>
      <c r="P551" s="4">
        <f t="shared" si="78"/>
        <v>567.48</v>
      </c>
      <c r="Q551" s="4">
        <f>'Форма 2'!K2051</f>
        <v>798</v>
      </c>
      <c r="R551" s="53" t="s">
        <v>161</v>
      </c>
      <c r="S551" s="5">
        <v>1</v>
      </c>
    </row>
    <row r="552" spans="1:23" s="3" customFormat="1" x14ac:dyDescent="0.35">
      <c r="A552" s="20">
        <f t="shared" si="79"/>
        <v>111</v>
      </c>
      <c r="B552" s="20">
        <v>1361</v>
      </c>
      <c r="C552" s="61" t="s">
        <v>350</v>
      </c>
      <c r="D552" s="60">
        <v>1976</v>
      </c>
      <c r="E552" s="60" t="s">
        <v>74</v>
      </c>
      <c r="F552" s="60" t="s">
        <v>481</v>
      </c>
      <c r="G552" s="4">
        <v>5398.8</v>
      </c>
      <c r="H552" s="4">
        <v>4296</v>
      </c>
      <c r="I552" s="19">
        <v>162</v>
      </c>
      <c r="J552" s="4">
        <f>'Форма 2'!I2054</f>
        <v>10464626.4</v>
      </c>
      <c r="K552" s="4">
        <v>0</v>
      </c>
      <c r="L552" s="4">
        <v>0</v>
      </c>
      <c r="M552" s="4">
        <v>0</v>
      </c>
      <c r="N552" s="4">
        <f t="shared" si="77"/>
        <v>10067572.970000001</v>
      </c>
      <c r="O552" s="4">
        <v>397053.43</v>
      </c>
      <c r="P552" s="4">
        <f t="shared" si="78"/>
        <v>2435.9</v>
      </c>
      <c r="Q552" s="4">
        <f>'Форма 2'!K2054</f>
        <v>3449</v>
      </c>
      <c r="R552" s="53" t="s">
        <v>161</v>
      </c>
      <c r="S552" s="5">
        <v>1</v>
      </c>
      <c r="T552" s="1"/>
      <c r="U552" s="1"/>
      <c r="V552" s="1"/>
      <c r="W552" s="1"/>
    </row>
    <row r="553" spans="1:23" x14ac:dyDescent="0.35">
      <c r="A553" s="27">
        <f t="shared" si="79"/>
        <v>112</v>
      </c>
      <c r="B553" s="105">
        <v>1362</v>
      </c>
      <c r="C553" s="102" t="s">
        <v>721</v>
      </c>
      <c r="D553" s="25">
        <v>1983</v>
      </c>
      <c r="E553" s="25" t="s">
        <v>235</v>
      </c>
      <c r="F553" s="25" t="s">
        <v>152</v>
      </c>
      <c r="G553" s="35">
        <v>16588.5</v>
      </c>
      <c r="H553" s="35">
        <v>16523.3</v>
      </c>
      <c r="I553" s="103">
        <v>624</v>
      </c>
      <c r="J553" s="35">
        <f>'Форма 2'!I2057</f>
        <v>892258.2</v>
      </c>
      <c r="K553" s="35">
        <v>0</v>
      </c>
      <c r="L553" s="35">
        <v>0</v>
      </c>
      <c r="M553" s="35">
        <v>0</v>
      </c>
      <c r="N553" s="35">
        <f t="shared" si="77"/>
        <v>858403.75</v>
      </c>
      <c r="O553" s="35">
        <v>33854.449999999997</v>
      </c>
      <c r="P553" s="35">
        <f t="shared" si="78"/>
        <v>54</v>
      </c>
      <c r="Q553" s="35">
        <f>'Форма 2'!K2057</f>
        <v>54</v>
      </c>
      <c r="R553" s="62" t="s">
        <v>161</v>
      </c>
      <c r="S553" s="63">
        <v>1</v>
      </c>
    </row>
    <row r="554" spans="1:23" x14ac:dyDescent="0.35">
      <c r="A554" s="20">
        <f t="shared" si="79"/>
        <v>113</v>
      </c>
      <c r="B554" s="101">
        <v>1301</v>
      </c>
      <c r="C554" s="102" t="s">
        <v>113</v>
      </c>
      <c r="D554" s="60">
        <v>1954</v>
      </c>
      <c r="E554" s="25" t="s">
        <v>74</v>
      </c>
      <c r="F554" s="25" t="s">
        <v>152</v>
      </c>
      <c r="G554" s="4">
        <v>4911.8</v>
      </c>
      <c r="H554" s="4">
        <v>3842.9</v>
      </c>
      <c r="I554" s="103">
        <v>227</v>
      </c>
      <c r="J554" s="4">
        <f>'Форма 2'!I2059</f>
        <v>167408.04999999999</v>
      </c>
      <c r="K554" s="4">
        <v>0</v>
      </c>
      <c r="L554" s="4">
        <v>0</v>
      </c>
      <c r="M554" s="4">
        <v>0</v>
      </c>
      <c r="N554" s="4">
        <f t="shared" si="77"/>
        <v>143495.38</v>
      </c>
      <c r="O554" s="4">
        <v>23912.67</v>
      </c>
      <c r="P554" s="4">
        <f t="shared" si="78"/>
        <v>43.56</v>
      </c>
      <c r="Q554" s="4">
        <f>'Форма 2'!K2059</f>
        <v>164</v>
      </c>
      <c r="R554" s="53" t="s">
        <v>161</v>
      </c>
      <c r="S554" s="5">
        <v>1</v>
      </c>
    </row>
    <row r="555" spans="1:23" x14ac:dyDescent="0.35">
      <c r="A555" s="20">
        <f t="shared" si="79"/>
        <v>114</v>
      </c>
      <c r="B555" s="101">
        <v>1307</v>
      </c>
      <c r="C555" s="102" t="s">
        <v>553</v>
      </c>
      <c r="D555" s="60">
        <v>1979</v>
      </c>
      <c r="E555" s="60" t="s">
        <v>74</v>
      </c>
      <c r="F555" s="60" t="s">
        <v>152</v>
      </c>
      <c r="G555" s="4">
        <v>2672</v>
      </c>
      <c r="H555" s="4">
        <v>1438.9</v>
      </c>
      <c r="I555" s="103">
        <v>152</v>
      </c>
      <c r="J555" s="4">
        <f>'Форма 2'!I2061</f>
        <v>243174.1</v>
      </c>
      <c r="K555" s="4">
        <v>0</v>
      </c>
      <c r="L555" s="4">
        <v>0</v>
      </c>
      <c r="M555" s="4">
        <v>0</v>
      </c>
      <c r="N555" s="4">
        <f t="shared" si="77"/>
        <v>234220.46</v>
      </c>
      <c r="O555" s="4">
        <v>8953.64</v>
      </c>
      <c r="P555" s="4">
        <f t="shared" si="78"/>
        <v>169</v>
      </c>
      <c r="Q555" s="4">
        <f>'Форма 2'!K2061</f>
        <v>169</v>
      </c>
      <c r="R555" s="53" t="s">
        <v>161</v>
      </c>
      <c r="S555" s="5">
        <v>1</v>
      </c>
    </row>
    <row r="556" spans="1:23" x14ac:dyDescent="0.35">
      <c r="A556" s="20">
        <f t="shared" si="79"/>
        <v>115</v>
      </c>
      <c r="B556" s="101">
        <v>1322</v>
      </c>
      <c r="C556" s="102" t="s">
        <v>554</v>
      </c>
      <c r="D556" s="60">
        <v>1975</v>
      </c>
      <c r="E556" s="25" t="s">
        <v>74</v>
      </c>
      <c r="F556" s="25" t="s">
        <v>152</v>
      </c>
      <c r="G556" s="4">
        <v>2939.8</v>
      </c>
      <c r="H556" s="4">
        <v>2419.6999999999998</v>
      </c>
      <c r="I556" s="103">
        <v>230</v>
      </c>
      <c r="J556" s="4">
        <f>'Форма 2'!I2063</f>
        <v>231045.8</v>
      </c>
      <c r="K556" s="4">
        <v>0</v>
      </c>
      <c r="L556" s="4">
        <v>0</v>
      </c>
      <c r="M556" s="4">
        <v>0</v>
      </c>
      <c r="N556" s="4">
        <f t="shared" si="77"/>
        <v>215989.07</v>
      </c>
      <c r="O556" s="4">
        <v>15056.73</v>
      </c>
      <c r="P556" s="4">
        <f t="shared" si="78"/>
        <v>95.49</v>
      </c>
      <c r="Q556" s="4">
        <f>'Форма 2'!K2063</f>
        <v>169</v>
      </c>
      <c r="R556" s="53" t="s">
        <v>161</v>
      </c>
      <c r="S556" s="5">
        <v>1</v>
      </c>
      <c r="U556" s="3"/>
    </row>
    <row r="557" spans="1:23" x14ac:dyDescent="0.35">
      <c r="A557" s="20">
        <f t="shared" si="79"/>
        <v>116</v>
      </c>
      <c r="B557" s="101">
        <v>1323</v>
      </c>
      <c r="C557" s="102" t="s">
        <v>555</v>
      </c>
      <c r="D557" s="60">
        <v>1975</v>
      </c>
      <c r="E557" s="25" t="s">
        <v>74</v>
      </c>
      <c r="F557" s="25" t="s">
        <v>152</v>
      </c>
      <c r="G557" s="4">
        <v>3038.2</v>
      </c>
      <c r="H557" s="4">
        <v>2542.4</v>
      </c>
      <c r="I557" s="103">
        <v>206</v>
      </c>
      <c r="J557" s="4">
        <f>'Форма 2'!I2065</f>
        <v>234104.7</v>
      </c>
      <c r="K557" s="4">
        <v>0</v>
      </c>
      <c r="L557" s="4">
        <v>0</v>
      </c>
      <c r="M557" s="4">
        <v>0</v>
      </c>
      <c r="N557" s="4">
        <f t="shared" si="77"/>
        <v>218284.46</v>
      </c>
      <c r="O557" s="4">
        <v>15820.24</v>
      </c>
      <c r="P557" s="4">
        <f t="shared" si="78"/>
        <v>92.08</v>
      </c>
      <c r="Q557" s="4">
        <f>'Форма 2'!K2065</f>
        <v>169</v>
      </c>
      <c r="R557" s="53" t="s">
        <v>161</v>
      </c>
      <c r="S557" s="5">
        <v>1</v>
      </c>
    </row>
    <row r="558" spans="1:23" x14ac:dyDescent="0.35">
      <c r="A558" s="20">
        <f t="shared" si="79"/>
        <v>117</v>
      </c>
      <c r="B558" s="101">
        <v>1628</v>
      </c>
      <c r="C558" s="102" t="s">
        <v>354</v>
      </c>
      <c r="D558" s="60">
        <v>1978</v>
      </c>
      <c r="E558" s="60" t="s">
        <v>74</v>
      </c>
      <c r="F558" s="60" t="s">
        <v>152</v>
      </c>
      <c r="G558" s="4">
        <v>6619.2</v>
      </c>
      <c r="H558" s="4">
        <v>6113.76</v>
      </c>
      <c r="I558" s="103">
        <v>288</v>
      </c>
      <c r="J558" s="4">
        <f>'Форма 2'!I2067</f>
        <v>421379</v>
      </c>
      <c r="K558" s="4">
        <v>0</v>
      </c>
      <c r="L558" s="4">
        <v>0</v>
      </c>
      <c r="M558" s="4">
        <v>0</v>
      </c>
      <c r="N558" s="4">
        <f t="shared" si="77"/>
        <v>383335.76</v>
      </c>
      <c r="O558" s="4">
        <v>38043.24</v>
      </c>
      <c r="P558" s="4">
        <f t="shared" si="78"/>
        <v>68.92</v>
      </c>
      <c r="Q558" s="4">
        <f>'Форма 2'!K2067</f>
        <v>169</v>
      </c>
      <c r="R558" s="53" t="s">
        <v>161</v>
      </c>
      <c r="S558" s="5">
        <v>1</v>
      </c>
    </row>
    <row r="559" spans="1:23" x14ac:dyDescent="0.35">
      <c r="A559" s="20">
        <f t="shared" si="79"/>
        <v>118</v>
      </c>
      <c r="B559" s="20">
        <v>1630</v>
      </c>
      <c r="C559" s="61" t="s">
        <v>355</v>
      </c>
      <c r="D559" s="60">
        <v>1980</v>
      </c>
      <c r="E559" s="60" t="s">
        <v>74</v>
      </c>
      <c r="F559" s="60" t="s">
        <v>155</v>
      </c>
      <c r="G559" s="4">
        <v>2914.9</v>
      </c>
      <c r="H559" s="4">
        <v>2201.9699999999998</v>
      </c>
      <c r="I559" s="19">
        <v>77</v>
      </c>
      <c r="J559" s="4">
        <f>'Форма 2'!I2069</f>
        <v>6450911.46</v>
      </c>
      <c r="K559" s="4">
        <v>0</v>
      </c>
      <c r="L559" s="4">
        <v>0</v>
      </c>
      <c r="M559" s="4">
        <v>0</v>
      </c>
      <c r="N559" s="4">
        <f t="shared" si="77"/>
        <v>6231462.5300000003</v>
      </c>
      <c r="O559" s="4">
        <v>219448.93</v>
      </c>
      <c r="P559" s="4">
        <f t="shared" si="78"/>
        <v>2929.61</v>
      </c>
      <c r="Q559" s="4">
        <f>'Форма 2'!K2069</f>
        <v>3242</v>
      </c>
      <c r="R559" s="53" t="s">
        <v>161</v>
      </c>
      <c r="S559" s="5">
        <v>1</v>
      </c>
    </row>
    <row r="560" spans="1:23" x14ac:dyDescent="0.35">
      <c r="A560" s="20">
        <f t="shared" si="79"/>
        <v>119</v>
      </c>
      <c r="B560" s="101">
        <v>1582</v>
      </c>
      <c r="C560" s="102" t="s">
        <v>556</v>
      </c>
      <c r="D560" s="60">
        <v>1982</v>
      </c>
      <c r="E560" s="25" t="s">
        <v>74</v>
      </c>
      <c r="F560" s="25" t="s">
        <v>152</v>
      </c>
      <c r="G560" s="4">
        <v>4484.3999999999996</v>
      </c>
      <c r="H560" s="4">
        <v>4108.3999999999996</v>
      </c>
      <c r="I560" s="103">
        <v>179</v>
      </c>
      <c r="J560" s="4">
        <f>'Форма 2'!I2072</f>
        <v>147681.54</v>
      </c>
      <c r="K560" s="4">
        <v>0</v>
      </c>
      <c r="L560" s="4">
        <v>0</v>
      </c>
      <c r="M560" s="4">
        <v>0</v>
      </c>
      <c r="N560" s="4">
        <f t="shared" si="77"/>
        <v>122116.78</v>
      </c>
      <c r="O560" s="4">
        <v>25564.76</v>
      </c>
      <c r="P560" s="4">
        <f t="shared" si="78"/>
        <v>35.950000000000003</v>
      </c>
      <c r="Q560" s="4">
        <f>'Форма 2'!K2072</f>
        <v>169</v>
      </c>
      <c r="R560" s="53" t="s">
        <v>161</v>
      </c>
      <c r="S560" s="5">
        <v>1</v>
      </c>
    </row>
    <row r="561" spans="1:19" x14ac:dyDescent="0.35">
      <c r="A561" s="20">
        <f t="shared" si="79"/>
        <v>120</v>
      </c>
      <c r="B561" s="101">
        <v>1028</v>
      </c>
      <c r="C561" s="102" t="s">
        <v>114</v>
      </c>
      <c r="D561" s="60">
        <v>1961</v>
      </c>
      <c r="E561" s="25" t="s">
        <v>557</v>
      </c>
      <c r="F561" s="25" t="s">
        <v>152</v>
      </c>
      <c r="G561" s="4">
        <v>943.9</v>
      </c>
      <c r="H561" s="4">
        <v>863.9</v>
      </c>
      <c r="I561" s="103">
        <v>39</v>
      </c>
      <c r="J561" s="4">
        <f>'Форма 2'!I2074</f>
        <v>35419.9</v>
      </c>
      <c r="K561" s="4">
        <v>0</v>
      </c>
      <c r="L561" s="4">
        <v>0</v>
      </c>
      <c r="M561" s="4">
        <v>0</v>
      </c>
      <c r="N561" s="4">
        <f t="shared" si="77"/>
        <v>34075.980000000003</v>
      </c>
      <c r="O561" s="4">
        <v>1343.92</v>
      </c>
      <c r="P561" s="4">
        <f t="shared" si="78"/>
        <v>41</v>
      </c>
      <c r="Q561" s="4">
        <f>'Форма 2'!K2074</f>
        <v>67</v>
      </c>
      <c r="R561" s="53" t="s">
        <v>161</v>
      </c>
      <c r="S561" s="5">
        <v>1</v>
      </c>
    </row>
    <row r="562" spans="1:19" x14ac:dyDescent="0.35">
      <c r="A562" s="20">
        <f t="shared" si="79"/>
        <v>121</v>
      </c>
      <c r="B562" s="101">
        <v>1473</v>
      </c>
      <c r="C562" s="102" t="s">
        <v>722</v>
      </c>
      <c r="D562" s="60">
        <v>1985</v>
      </c>
      <c r="E562" s="60" t="s">
        <v>74</v>
      </c>
      <c r="F562" s="60" t="s">
        <v>152</v>
      </c>
      <c r="G562" s="4">
        <v>18900.599999999999</v>
      </c>
      <c r="H562" s="4">
        <v>16898</v>
      </c>
      <c r="I562" s="103">
        <v>638</v>
      </c>
      <c r="J562" s="4">
        <f>'Форма 2'!I2077</f>
        <v>1364756.73</v>
      </c>
      <c r="K562" s="4">
        <v>0</v>
      </c>
      <c r="L562" s="4">
        <v>0</v>
      </c>
      <c r="M562" s="4">
        <v>0</v>
      </c>
      <c r="N562" s="4">
        <f t="shared" si="77"/>
        <v>1259607.92</v>
      </c>
      <c r="O562" s="4">
        <v>105148.81</v>
      </c>
      <c r="P562" s="4">
        <f t="shared" si="78"/>
        <v>80.760000000000005</v>
      </c>
      <c r="Q562" s="4">
        <f>'Форма 2'!K2077</f>
        <v>164</v>
      </c>
      <c r="R562" s="53" t="s">
        <v>161</v>
      </c>
      <c r="S562" s="5">
        <v>1</v>
      </c>
    </row>
    <row r="563" spans="1:19" x14ac:dyDescent="0.35">
      <c r="A563" s="20">
        <f t="shared" si="79"/>
        <v>122</v>
      </c>
      <c r="B563" s="101">
        <v>1475</v>
      </c>
      <c r="C563" s="102" t="s">
        <v>723</v>
      </c>
      <c r="D563" s="60">
        <v>1970</v>
      </c>
      <c r="E563" s="60" t="s">
        <v>74</v>
      </c>
      <c r="F563" s="60" t="s">
        <v>152</v>
      </c>
      <c r="G563" s="4">
        <v>3376</v>
      </c>
      <c r="H563" s="4">
        <v>3125</v>
      </c>
      <c r="I563" s="103">
        <v>118</v>
      </c>
      <c r="J563" s="4">
        <f>'Форма 2'!I2079</f>
        <v>273873.14</v>
      </c>
      <c r="K563" s="4">
        <v>0</v>
      </c>
      <c r="L563" s="4">
        <v>0</v>
      </c>
      <c r="M563" s="4">
        <v>0</v>
      </c>
      <c r="N563" s="4">
        <f t="shared" si="77"/>
        <v>254427.64</v>
      </c>
      <c r="O563" s="4">
        <v>19445.5</v>
      </c>
      <c r="P563" s="4">
        <f t="shared" si="78"/>
        <v>87.64</v>
      </c>
      <c r="Q563" s="4">
        <f>'Форма 2'!K2079</f>
        <v>169</v>
      </c>
      <c r="R563" s="53" t="s">
        <v>161</v>
      </c>
      <c r="S563" s="5">
        <v>1</v>
      </c>
    </row>
    <row r="564" spans="1:19" x14ac:dyDescent="0.35">
      <c r="A564" s="20">
        <f t="shared" si="79"/>
        <v>123</v>
      </c>
      <c r="B564" s="101">
        <v>1484</v>
      </c>
      <c r="C564" s="102" t="s">
        <v>558</v>
      </c>
      <c r="D564" s="60">
        <v>1975</v>
      </c>
      <c r="E564" s="60" t="s">
        <v>74</v>
      </c>
      <c r="F564" s="60" t="s">
        <v>152</v>
      </c>
      <c r="G564" s="4">
        <v>4820.5</v>
      </c>
      <c r="H564" s="4">
        <v>4340.5</v>
      </c>
      <c r="I564" s="103">
        <v>235</v>
      </c>
      <c r="J564" s="4">
        <f>'Форма 2'!I2081</f>
        <v>145698.6</v>
      </c>
      <c r="K564" s="4">
        <v>0</v>
      </c>
      <c r="L564" s="4">
        <v>0</v>
      </c>
      <c r="M564" s="4">
        <v>0</v>
      </c>
      <c r="N564" s="4">
        <f t="shared" si="77"/>
        <v>118689.58</v>
      </c>
      <c r="O564" s="4">
        <v>27009.02</v>
      </c>
      <c r="P564" s="4">
        <f t="shared" si="78"/>
        <v>33.57</v>
      </c>
      <c r="Q564" s="4">
        <f>'Форма 2'!K2081</f>
        <v>169</v>
      </c>
      <c r="R564" s="53" t="s">
        <v>161</v>
      </c>
      <c r="S564" s="5">
        <v>1</v>
      </c>
    </row>
    <row r="565" spans="1:19" x14ac:dyDescent="0.35">
      <c r="A565" s="20">
        <f t="shared" si="79"/>
        <v>124</v>
      </c>
      <c r="B565" s="101">
        <v>1079</v>
      </c>
      <c r="C565" s="102" t="s">
        <v>115</v>
      </c>
      <c r="D565" s="60">
        <v>1959</v>
      </c>
      <c r="E565" s="25" t="s">
        <v>74</v>
      </c>
      <c r="F565" s="25" t="s">
        <v>152</v>
      </c>
      <c r="G565" s="4">
        <v>304.60000000000002</v>
      </c>
      <c r="H565" s="4">
        <v>278.60000000000002</v>
      </c>
      <c r="I565" s="103">
        <v>16</v>
      </c>
      <c r="J565" s="4">
        <f>'Форма 2'!I2083</f>
        <v>68603.86</v>
      </c>
      <c r="K565" s="4">
        <v>0</v>
      </c>
      <c r="L565" s="4">
        <v>0</v>
      </c>
      <c r="M565" s="4">
        <v>0</v>
      </c>
      <c r="N565" s="4">
        <f t="shared" si="77"/>
        <v>66870.25</v>
      </c>
      <c r="O565" s="4">
        <v>1733.61</v>
      </c>
      <c r="P565" s="4">
        <f t="shared" si="78"/>
        <v>246.25</v>
      </c>
      <c r="Q565" s="4">
        <f>'Форма 2'!K2083</f>
        <v>247</v>
      </c>
      <c r="R565" s="53" t="s">
        <v>161</v>
      </c>
      <c r="S565" s="5">
        <v>1</v>
      </c>
    </row>
    <row r="566" spans="1:19" x14ac:dyDescent="0.35">
      <c r="A566" s="236" t="s">
        <v>357</v>
      </c>
      <c r="B566" s="236"/>
      <c r="C566" s="236"/>
      <c r="D566" s="60" t="s">
        <v>13</v>
      </c>
      <c r="E566" s="60" t="s">
        <v>13</v>
      </c>
      <c r="F566" s="60" t="s">
        <v>13</v>
      </c>
      <c r="G566" s="4">
        <f t="shared" ref="G566:O566" si="80">SUM(G567:G650)</f>
        <v>437412.38</v>
      </c>
      <c r="H566" s="4">
        <f t="shared" si="80"/>
        <v>377151.98</v>
      </c>
      <c r="I566" s="19">
        <f t="shared" si="80"/>
        <v>14686</v>
      </c>
      <c r="J566" s="4">
        <f t="shared" si="80"/>
        <v>168779796.37</v>
      </c>
      <c r="K566" s="4">
        <f t="shared" si="80"/>
        <v>0</v>
      </c>
      <c r="L566" s="4">
        <f t="shared" si="80"/>
        <v>0</v>
      </c>
      <c r="M566" s="4">
        <f t="shared" si="80"/>
        <v>0</v>
      </c>
      <c r="N566" s="4">
        <f t="shared" si="80"/>
        <v>162115871.69999999</v>
      </c>
      <c r="O566" s="4">
        <f t="shared" si="80"/>
        <v>6663924.6699999999</v>
      </c>
      <c r="P566" s="4" t="s">
        <v>13</v>
      </c>
      <c r="Q566" s="4" t="s">
        <v>13</v>
      </c>
      <c r="R566" s="53" t="s">
        <v>13</v>
      </c>
      <c r="S566" s="5" t="s">
        <v>13</v>
      </c>
    </row>
    <row r="567" spans="1:19" x14ac:dyDescent="0.35">
      <c r="A567" s="20">
        <f>A565+1</f>
        <v>125</v>
      </c>
      <c r="B567" s="20">
        <v>4241</v>
      </c>
      <c r="C567" s="61" t="s">
        <v>783</v>
      </c>
      <c r="D567" s="60">
        <v>1990</v>
      </c>
      <c r="E567" s="60" t="s">
        <v>182</v>
      </c>
      <c r="F567" s="60" t="s">
        <v>183</v>
      </c>
      <c r="G567" s="4">
        <v>5212.1000000000004</v>
      </c>
      <c r="H567" s="4">
        <v>4547.7</v>
      </c>
      <c r="I567" s="19">
        <v>195</v>
      </c>
      <c r="J567" s="4">
        <f>'Форма 2'!I2085</f>
        <v>2632839.81</v>
      </c>
      <c r="K567" s="4">
        <v>0</v>
      </c>
      <c r="L567" s="4">
        <v>0</v>
      </c>
      <c r="M567" s="4">
        <v>0</v>
      </c>
      <c r="N567" s="4">
        <f>J567-K567-L567-M567-O567</f>
        <v>2498525.71</v>
      </c>
      <c r="O567" s="4">
        <v>134314.1</v>
      </c>
      <c r="P567" s="4">
        <f t="shared" ref="P567:P629" si="81">J567/H567</f>
        <v>578.94000000000005</v>
      </c>
      <c r="Q567" s="4">
        <f>'Форма 2'!K2085</f>
        <v>781.8</v>
      </c>
      <c r="R567" s="53" t="s">
        <v>161</v>
      </c>
      <c r="S567" s="5">
        <v>1</v>
      </c>
    </row>
    <row r="568" spans="1:19" x14ac:dyDescent="0.35">
      <c r="A568" s="20">
        <f t="shared" ref="A568:A630" si="82">A567+1</f>
        <v>126</v>
      </c>
      <c r="B568" s="20">
        <v>4281</v>
      </c>
      <c r="C568" s="61" t="s">
        <v>784</v>
      </c>
      <c r="D568" s="60">
        <v>1991</v>
      </c>
      <c r="E568" s="25" t="s">
        <v>182</v>
      </c>
      <c r="F568" s="25" t="s">
        <v>183</v>
      </c>
      <c r="G568" s="4">
        <v>10759.52</v>
      </c>
      <c r="H568" s="4">
        <v>9305.52</v>
      </c>
      <c r="I568" s="19">
        <v>373</v>
      </c>
      <c r="J568" s="4">
        <f>'Форма 2'!I2092</f>
        <v>2632839.85</v>
      </c>
      <c r="K568" s="4">
        <v>0</v>
      </c>
      <c r="L568" s="4">
        <v>0</v>
      </c>
      <c r="M568" s="4">
        <v>0</v>
      </c>
      <c r="N568" s="4">
        <f>J568-K568-L568-M568-O568</f>
        <v>2498525.75</v>
      </c>
      <c r="O568" s="4">
        <v>134314.1</v>
      </c>
      <c r="P568" s="4">
        <f t="shared" si="81"/>
        <v>282.93</v>
      </c>
      <c r="Q568" s="4">
        <f>'Форма 2'!K2092</f>
        <v>382.07</v>
      </c>
      <c r="R568" s="53" t="s">
        <v>161</v>
      </c>
      <c r="S568" s="5">
        <v>1</v>
      </c>
    </row>
    <row r="569" spans="1:19" x14ac:dyDescent="0.35">
      <c r="A569" s="20">
        <f t="shared" si="82"/>
        <v>127</v>
      </c>
      <c r="B569" s="101">
        <v>4073</v>
      </c>
      <c r="C569" s="61" t="s">
        <v>724</v>
      </c>
      <c r="D569" s="60">
        <v>1989</v>
      </c>
      <c r="E569" s="25" t="s">
        <v>182</v>
      </c>
      <c r="F569" s="25" t="s">
        <v>152</v>
      </c>
      <c r="G569" s="4">
        <v>9326</v>
      </c>
      <c r="H569" s="4">
        <v>8604.9</v>
      </c>
      <c r="I569" s="103">
        <v>325</v>
      </c>
      <c r="J569" s="4">
        <f>'Форма 2'!I2099</f>
        <v>7110692</v>
      </c>
      <c r="K569" s="4">
        <v>0</v>
      </c>
      <c r="L569" s="4">
        <v>0</v>
      </c>
      <c r="M569" s="4">
        <v>0</v>
      </c>
      <c r="N569" s="4">
        <f t="shared" ref="N569:N631" si="83">J569-K569-L569-M569-O569</f>
        <v>7106961.5</v>
      </c>
      <c r="O569" s="4">
        <v>3730.5</v>
      </c>
      <c r="P569" s="4">
        <f t="shared" si="81"/>
        <v>826.35</v>
      </c>
      <c r="Q569" s="4">
        <f>'Форма 2'!K2099</f>
        <v>826.35</v>
      </c>
      <c r="R569" s="53" t="s">
        <v>161</v>
      </c>
      <c r="S569" s="5">
        <v>1</v>
      </c>
    </row>
    <row r="570" spans="1:19" x14ac:dyDescent="0.35">
      <c r="A570" s="20">
        <f t="shared" si="82"/>
        <v>128</v>
      </c>
      <c r="B570" s="101">
        <v>3120</v>
      </c>
      <c r="C570" s="61" t="s">
        <v>785</v>
      </c>
      <c r="D570" s="60">
        <v>1973</v>
      </c>
      <c r="E570" s="25" t="s">
        <v>74</v>
      </c>
      <c r="F570" s="25" t="s">
        <v>152</v>
      </c>
      <c r="G570" s="4">
        <v>2601</v>
      </c>
      <c r="H570" s="4">
        <v>2323</v>
      </c>
      <c r="I570" s="103">
        <v>88</v>
      </c>
      <c r="J570" s="4">
        <f>'Форма 2'!I2112</f>
        <v>224806.55</v>
      </c>
      <c r="K570" s="4">
        <v>0</v>
      </c>
      <c r="L570" s="4">
        <v>0</v>
      </c>
      <c r="M570" s="4">
        <v>0</v>
      </c>
      <c r="N570" s="4">
        <f t="shared" si="83"/>
        <v>210351.54</v>
      </c>
      <c r="O570" s="4">
        <v>14455.01</v>
      </c>
      <c r="P570" s="4">
        <f t="shared" si="81"/>
        <v>96.77</v>
      </c>
      <c r="Q570" s="4">
        <f>'Форма 2'!K2112</f>
        <v>169</v>
      </c>
      <c r="R570" s="53" t="s">
        <v>161</v>
      </c>
      <c r="S570" s="5">
        <v>1</v>
      </c>
    </row>
    <row r="571" spans="1:19" x14ac:dyDescent="0.35">
      <c r="A571" s="20">
        <f t="shared" si="82"/>
        <v>129</v>
      </c>
      <c r="B571" s="20">
        <v>4286</v>
      </c>
      <c r="C571" s="61" t="s">
        <v>786</v>
      </c>
      <c r="D571" s="60">
        <v>1990</v>
      </c>
      <c r="E571" s="60" t="s">
        <v>182</v>
      </c>
      <c r="F571" s="60" t="s">
        <v>183</v>
      </c>
      <c r="G571" s="4">
        <v>6591.3</v>
      </c>
      <c r="H571" s="4">
        <v>5614.3</v>
      </c>
      <c r="I571" s="19">
        <v>275</v>
      </c>
      <c r="J571" s="4">
        <f>'Форма 2'!I2114</f>
        <v>3944074.73</v>
      </c>
      <c r="K571" s="4">
        <v>0</v>
      </c>
      <c r="L571" s="4">
        <v>0</v>
      </c>
      <c r="M571" s="4">
        <v>0</v>
      </c>
      <c r="N571" s="4">
        <f>J571-K571-L571-M571-O571</f>
        <v>3742603.57</v>
      </c>
      <c r="O571" s="4">
        <v>201471.16</v>
      </c>
      <c r="P571" s="4">
        <f t="shared" si="81"/>
        <v>702.51</v>
      </c>
      <c r="Q571" s="4">
        <f>'Форма 2'!K2114</f>
        <v>949.89</v>
      </c>
      <c r="R571" s="53" t="s">
        <v>161</v>
      </c>
      <c r="S571" s="5">
        <v>1</v>
      </c>
    </row>
    <row r="572" spans="1:19" x14ac:dyDescent="0.35">
      <c r="A572" s="20">
        <f t="shared" si="82"/>
        <v>130</v>
      </c>
      <c r="B572" s="101">
        <v>3445</v>
      </c>
      <c r="C572" s="61" t="s">
        <v>787</v>
      </c>
      <c r="D572" s="60">
        <v>1974</v>
      </c>
      <c r="E572" s="60" t="s">
        <v>74</v>
      </c>
      <c r="F572" s="60" t="s">
        <v>152</v>
      </c>
      <c r="G572" s="4">
        <v>6323.4</v>
      </c>
      <c r="H572" s="4">
        <v>5942.4</v>
      </c>
      <c r="I572" s="103">
        <v>224</v>
      </c>
      <c r="J572" s="4">
        <f>'Форма 2'!I2124</f>
        <v>868844.3</v>
      </c>
      <c r="K572" s="4">
        <v>0</v>
      </c>
      <c r="L572" s="4">
        <v>0</v>
      </c>
      <c r="M572" s="4">
        <v>0</v>
      </c>
      <c r="N572" s="4">
        <f>J572-K572-L572-M572-O572</f>
        <v>831867.36</v>
      </c>
      <c r="O572" s="4">
        <v>36976.94</v>
      </c>
      <c r="P572" s="4">
        <f t="shared" si="81"/>
        <v>146.21</v>
      </c>
      <c r="Q572" s="4">
        <f>'Форма 2'!K2124</f>
        <v>169</v>
      </c>
      <c r="R572" s="53" t="s">
        <v>161</v>
      </c>
      <c r="S572" s="5">
        <v>1</v>
      </c>
    </row>
    <row r="573" spans="1:19" x14ac:dyDescent="0.35">
      <c r="A573" s="20">
        <f t="shared" si="82"/>
        <v>131</v>
      </c>
      <c r="B573" s="101">
        <v>4290</v>
      </c>
      <c r="C573" s="61" t="s">
        <v>725</v>
      </c>
      <c r="D573" s="60">
        <v>1979</v>
      </c>
      <c r="E573" s="25" t="s">
        <v>74</v>
      </c>
      <c r="F573" s="25" t="s">
        <v>152</v>
      </c>
      <c r="G573" s="4">
        <v>3574.4</v>
      </c>
      <c r="H573" s="4">
        <v>3219.4</v>
      </c>
      <c r="I573" s="103">
        <v>122</v>
      </c>
      <c r="J573" s="4">
        <f>'Форма 2'!I2126</f>
        <v>486624.1</v>
      </c>
      <c r="K573" s="4">
        <v>0</v>
      </c>
      <c r="L573" s="4">
        <v>0</v>
      </c>
      <c r="M573" s="4">
        <v>0</v>
      </c>
      <c r="N573" s="4">
        <f>J573-K573-L573-M573-O573</f>
        <v>466591.19</v>
      </c>
      <c r="O573" s="4">
        <v>20032.91</v>
      </c>
      <c r="P573" s="4">
        <f t="shared" si="81"/>
        <v>151.15</v>
      </c>
      <c r="Q573" s="4">
        <f>'Форма 2'!K2126</f>
        <v>164</v>
      </c>
      <c r="R573" s="53" t="s">
        <v>161</v>
      </c>
      <c r="S573" s="5">
        <v>1</v>
      </c>
    </row>
    <row r="574" spans="1:19" x14ac:dyDescent="0.35">
      <c r="A574" s="20">
        <f>A573+1</f>
        <v>132</v>
      </c>
      <c r="B574" s="101">
        <v>3304</v>
      </c>
      <c r="C574" s="61" t="s">
        <v>788</v>
      </c>
      <c r="D574" s="60">
        <v>1993</v>
      </c>
      <c r="E574" s="60" t="s">
        <v>434</v>
      </c>
      <c r="F574" s="60" t="s">
        <v>152</v>
      </c>
      <c r="G574" s="4">
        <v>5107.1000000000004</v>
      </c>
      <c r="H574" s="4">
        <v>4426.3999999999996</v>
      </c>
      <c r="I574" s="103">
        <v>167</v>
      </c>
      <c r="J574" s="4">
        <f>'Форма 2'!I2128</f>
        <v>1146437.6000000001</v>
      </c>
      <c r="K574" s="4">
        <v>0</v>
      </c>
      <c r="L574" s="4">
        <v>0</v>
      </c>
      <c r="M574" s="4">
        <v>0</v>
      </c>
      <c r="N574" s="4">
        <f t="shared" si="83"/>
        <v>1110664.5900000001</v>
      </c>
      <c r="O574" s="4">
        <v>35773.01</v>
      </c>
      <c r="P574" s="4">
        <f t="shared" si="81"/>
        <v>259</v>
      </c>
      <c r="Q574" s="4">
        <f>'Форма 2'!K2128</f>
        <v>259</v>
      </c>
      <c r="R574" s="53" t="s">
        <v>161</v>
      </c>
      <c r="S574" s="5">
        <v>1</v>
      </c>
    </row>
    <row r="575" spans="1:19" x14ac:dyDescent="0.35">
      <c r="A575" s="20">
        <f t="shared" si="82"/>
        <v>133</v>
      </c>
      <c r="B575" s="101">
        <v>4054</v>
      </c>
      <c r="C575" s="61" t="s">
        <v>789</v>
      </c>
      <c r="D575" s="60">
        <v>1972</v>
      </c>
      <c r="E575" s="25" t="s">
        <v>74</v>
      </c>
      <c r="F575" s="25" t="s">
        <v>152</v>
      </c>
      <c r="G575" s="4">
        <v>2911</v>
      </c>
      <c r="H575" s="4">
        <v>2654.1</v>
      </c>
      <c r="I575" s="103">
        <v>100</v>
      </c>
      <c r="J575" s="4">
        <f>'Форма 2'!I2131</f>
        <v>263727.64</v>
      </c>
      <c r="K575" s="4">
        <v>0</v>
      </c>
      <c r="L575" s="4">
        <v>0</v>
      </c>
      <c r="M575" s="4">
        <v>0</v>
      </c>
      <c r="N575" s="4">
        <f t="shared" si="83"/>
        <v>247212.34</v>
      </c>
      <c r="O575" s="4">
        <v>16515.3</v>
      </c>
      <c r="P575" s="4">
        <f t="shared" si="81"/>
        <v>99.37</v>
      </c>
      <c r="Q575" s="4">
        <f>'Форма 2'!K2131</f>
        <v>169</v>
      </c>
      <c r="R575" s="53" t="s">
        <v>161</v>
      </c>
      <c r="S575" s="5">
        <v>1</v>
      </c>
    </row>
    <row r="576" spans="1:19" x14ac:dyDescent="0.35">
      <c r="A576" s="20">
        <f t="shared" si="82"/>
        <v>134</v>
      </c>
      <c r="B576" s="101">
        <v>3305</v>
      </c>
      <c r="C576" s="61" t="s">
        <v>790</v>
      </c>
      <c r="D576" s="60">
        <v>1972</v>
      </c>
      <c r="E576" s="60" t="s">
        <v>74</v>
      </c>
      <c r="F576" s="60" t="s">
        <v>152</v>
      </c>
      <c r="G576" s="4">
        <v>3101.4</v>
      </c>
      <c r="H576" s="4">
        <v>2891.1</v>
      </c>
      <c r="I576" s="103">
        <v>124</v>
      </c>
      <c r="J576" s="4">
        <f>'Форма 2'!I2133</f>
        <v>488224.1</v>
      </c>
      <c r="K576" s="4">
        <v>0</v>
      </c>
      <c r="L576" s="4">
        <v>0</v>
      </c>
      <c r="M576" s="4">
        <v>0</v>
      </c>
      <c r="N576" s="4">
        <f t="shared" si="83"/>
        <v>470234.06</v>
      </c>
      <c r="O576" s="4">
        <v>17990.04</v>
      </c>
      <c r="P576" s="4">
        <f t="shared" si="81"/>
        <v>168.87</v>
      </c>
      <c r="Q576" s="4">
        <f>'Форма 2'!K2133</f>
        <v>169</v>
      </c>
      <c r="R576" s="53" t="s">
        <v>161</v>
      </c>
      <c r="S576" s="5">
        <v>1</v>
      </c>
    </row>
    <row r="577" spans="1:21" x14ac:dyDescent="0.35">
      <c r="A577" s="20">
        <f t="shared" si="82"/>
        <v>135</v>
      </c>
      <c r="B577" s="101">
        <v>3306</v>
      </c>
      <c r="C577" s="61" t="s">
        <v>791</v>
      </c>
      <c r="D577" s="60">
        <v>1972</v>
      </c>
      <c r="E577" s="25" t="s">
        <v>74</v>
      </c>
      <c r="F577" s="25" t="s">
        <v>152</v>
      </c>
      <c r="G577" s="4">
        <v>3064.9</v>
      </c>
      <c r="H577" s="4">
        <v>2855.9</v>
      </c>
      <c r="I577" s="103">
        <v>108</v>
      </c>
      <c r="J577" s="4">
        <f>'Форма 2'!I2135</f>
        <v>482647.09</v>
      </c>
      <c r="K577" s="4">
        <v>0</v>
      </c>
      <c r="L577" s="4">
        <v>0</v>
      </c>
      <c r="M577" s="4">
        <v>0</v>
      </c>
      <c r="N577" s="4">
        <f t="shared" si="83"/>
        <v>464876.08</v>
      </c>
      <c r="O577" s="4">
        <v>17771.009999999998</v>
      </c>
      <c r="P577" s="4">
        <f t="shared" si="81"/>
        <v>169</v>
      </c>
      <c r="Q577" s="4">
        <f>'Форма 2'!K2135</f>
        <v>169</v>
      </c>
      <c r="R577" s="53" t="s">
        <v>161</v>
      </c>
      <c r="S577" s="5">
        <v>1</v>
      </c>
    </row>
    <row r="578" spans="1:21" s="3" customFormat="1" x14ac:dyDescent="0.35">
      <c r="A578" s="20">
        <f t="shared" si="82"/>
        <v>136</v>
      </c>
      <c r="B578" s="101">
        <v>3307</v>
      </c>
      <c r="C578" s="61" t="s">
        <v>792</v>
      </c>
      <c r="D578" s="60">
        <v>1972</v>
      </c>
      <c r="E578" s="25" t="s">
        <v>74</v>
      </c>
      <c r="F578" s="25" t="s">
        <v>152</v>
      </c>
      <c r="G578" s="4">
        <v>3095.4</v>
      </c>
      <c r="H578" s="4">
        <v>2885.4</v>
      </c>
      <c r="I578" s="103">
        <v>109</v>
      </c>
      <c r="J578" s="4">
        <f>'Форма 2'!I2137</f>
        <v>487632.6</v>
      </c>
      <c r="K578" s="4">
        <v>0</v>
      </c>
      <c r="L578" s="4">
        <v>0</v>
      </c>
      <c r="M578" s="4">
        <v>0</v>
      </c>
      <c r="N578" s="4">
        <f t="shared" si="83"/>
        <v>469678.03</v>
      </c>
      <c r="O578" s="4">
        <v>17954.57</v>
      </c>
      <c r="P578" s="4">
        <f t="shared" si="81"/>
        <v>169</v>
      </c>
      <c r="Q578" s="4">
        <f>'Форма 2'!K2137</f>
        <v>169</v>
      </c>
      <c r="R578" s="53" t="s">
        <v>161</v>
      </c>
      <c r="S578" s="5">
        <v>1</v>
      </c>
      <c r="T578" s="1"/>
      <c r="U578" s="1"/>
    </row>
    <row r="579" spans="1:21" x14ac:dyDescent="0.35">
      <c r="A579" s="27">
        <f t="shared" si="82"/>
        <v>137</v>
      </c>
      <c r="B579" s="105">
        <v>3309</v>
      </c>
      <c r="C579" s="61" t="s">
        <v>793</v>
      </c>
      <c r="D579" s="25">
        <v>1974</v>
      </c>
      <c r="E579" s="25" t="s">
        <v>235</v>
      </c>
      <c r="F579" s="25" t="s">
        <v>152</v>
      </c>
      <c r="G579" s="35">
        <v>8625.4</v>
      </c>
      <c r="H579" s="35">
        <v>7883.8</v>
      </c>
      <c r="I579" s="103">
        <v>298</v>
      </c>
      <c r="J579" s="35">
        <f>'Форма 2'!I2139</f>
        <v>460368.12</v>
      </c>
      <c r="K579" s="35">
        <v>0</v>
      </c>
      <c r="L579" s="35">
        <v>0</v>
      </c>
      <c r="M579" s="35">
        <v>0</v>
      </c>
      <c r="N579" s="35">
        <f t="shared" si="83"/>
        <v>432848.11</v>
      </c>
      <c r="O579" s="35">
        <v>27520.01</v>
      </c>
      <c r="P579" s="35">
        <f t="shared" si="81"/>
        <v>58.39</v>
      </c>
      <c r="Q579" s="35">
        <f>'Форма 2'!K2139</f>
        <v>91</v>
      </c>
      <c r="R579" s="62" t="s">
        <v>161</v>
      </c>
      <c r="S579" s="63">
        <v>1</v>
      </c>
    </row>
    <row r="580" spans="1:21" x14ac:dyDescent="0.35">
      <c r="A580" s="20">
        <f t="shared" si="82"/>
        <v>138</v>
      </c>
      <c r="B580" s="101">
        <v>4242</v>
      </c>
      <c r="C580" s="102" t="s">
        <v>726</v>
      </c>
      <c r="D580" s="60">
        <v>1991</v>
      </c>
      <c r="E580" s="25" t="s">
        <v>182</v>
      </c>
      <c r="F580" s="25" t="s">
        <v>152</v>
      </c>
      <c r="G580" s="4">
        <v>10373.61</v>
      </c>
      <c r="H580" s="4">
        <v>8994.61</v>
      </c>
      <c r="I580" s="103">
        <v>340</v>
      </c>
      <c r="J580" s="4">
        <f>'Форма 2'!I2141</f>
        <v>129124</v>
      </c>
      <c r="K580" s="4">
        <v>0</v>
      </c>
      <c r="L580" s="4">
        <v>0</v>
      </c>
      <c r="M580" s="4">
        <v>0</v>
      </c>
      <c r="N580" s="4">
        <f t="shared" si="83"/>
        <v>125393.5</v>
      </c>
      <c r="O580" s="4">
        <v>3730.5</v>
      </c>
      <c r="P580" s="4">
        <f t="shared" si="81"/>
        <v>14.36</v>
      </c>
      <c r="Q580" s="4">
        <f>'Форма 2'!K2141</f>
        <v>14.36</v>
      </c>
      <c r="R580" s="53" t="s">
        <v>161</v>
      </c>
      <c r="S580" s="5">
        <v>1</v>
      </c>
    </row>
    <row r="581" spans="1:21" x14ac:dyDescent="0.35">
      <c r="A581" s="20">
        <f t="shared" si="82"/>
        <v>139</v>
      </c>
      <c r="B581" s="101">
        <v>4292</v>
      </c>
      <c r="C581" s="102" t="s">
        <v>116</v>
      </c>
      <c r="D581" s="60">
        <v>1969</v>
      </c>
      <c r="E581" s="25" t="s">
        <v>74</v>
      </c>
      <c r="F581" s="25" t="s">
        <v>152</v>
      </c>
      <c r="G581" s="4">
        <v>3482.2</v>
      </c>
      <c r="H581" s="4">
        <v>3198.2</v>
      </c>
      <c r="I581" s="103">
        <v>121</v>
      </c>
      <c r="J581" s="4">
        <f>'Форма 2'!I2146</f>
        <v>250269.93</v>
      </c>
      <c r="K581" s="4">
        <v>0</v>
      </c>
      <c r="L581" s="4">
        <v>0</v>
      </c>
      <c r="M581" s="4">
        <v>0</v>
      </c>
      <c r="N581" s="4">
        <f t="shared" si="83"/>
        <v>230368.94</v>
      </c>
      <c r="O581" s="4">
        <v>19900.990000000002</v>
      </c>
      <c r="P581" s="4">
        <f t="shared" si="81"/>
        <v>78.25</v>
      </c>
      <c r="Q581" s="4">
        <f>'Форма 2'!K2146</f>
        <v>169</v>
      </c>
      <c r="R581" s="53" t="s">
        <v>161</v>
      </c>
      <c r="S581" s="5">
        <v>1</v>
      </c>
      <c r="U581" s="3"/>
    </row>
    <row r="582" spans="1:21" x14ac:dyDescent="0.35">
      <c r="A582" s="20">
        <f t="shared" si="82"/>
        <v>140</v>
      </c>
      <c r="B582" s="101">
        <v>4347</v>
      </c>
      <c r="C582" s="102" t="s">
        <v>117</v>
      </c>
      <c r="D582" s="60">
        <v>1969</v>
      </c>
      <c r="E582" s="25" t="s">
        <v>74</v>
      </c>
      <c r="F582" s="25" t="s">
        <v>152</v>
      </c>
      <c r="G582" s="4">
        <v>6152.2</v>
      </c>
      <c r="H582" s="4">
        <v>4495.8999999999996</v>
      </c>
      <c r="I582" s="103">
        <v>170</v>
      </c>
      <c r="J582" s="4">
        <f>'Форма 2'!I2148</f>
        <v>281395.64</v>
      </c>
      <c r="K582" s="4">
        <v>0</v>
      </c>
      <c r="L582" s="4">
        <v>0</v>
      </c>
      <c r="M582" s="4">
        <v>0</v>
      </c>
      <c r="N582" s="4">
        <f t="shared" si="83"/>
        <v>269549.8</v>
      </c>
      <c r="O582" s="4">
        <v>11845.84</v>
      </c>
      <c r="P582" s="4">
        <f t="shared" si="81"/>
        <v>62.59</v>
      </c>
      <c r="Q582" s="4">
        <f>'Форма 2'!K2148</f>
        <v>169</v>
      </c>
      <c r="R582" s="53" t="s">
        <v>161</v>
      </c>
      <c r="S582" s="5">
        <v>1</v>
      </c>
    </row>
    <row r="583" spans="1:21" x14ac:dyDescent="0.35">
      <c r="A583" s="20">
        <f t="shared" si="82"/>
        <v>141</v>
      </c>
      <c r="B583" s="101">
        <v>3198</v>
      </c>
      <c r="C583" s="102" t="s">
        <v>559</v>
      </c>
      <c r="D583" s="60">
        <v>1976</v>
      </c>
      <c r="E583" s="25" t="s">
        <v>74</v>
      </c>
      <c r="F583" s="25" t="s">
        <v>152</v>
      </c>
      <c r="G583" s="4">
        <v>2977.1</v>
      </c>
      <c r="H583" s="4">
        <v>2619.1</v>
      </c>
      <c r="I583" s="103">
        <v>99</v>
      </c>
      <c r="J583" s="4">
        <f>'Форма 2'!I2150</f>
        <v>410604.1</v>
      </c>
      <c r="K583" s="4">
        <v>0</v>
      </c>
      <c r="L583" s="4">
        <v>0</v>
      </c>
      <c r="M583" s="4">
        <v>0</v>
      </c>
      <c r="N583" s="4">
        <f>J583-K583-L583-M583-O583</f>
        <v>394306.59</v>
      </c>
      <c r="O583" s="4">
        <v>16297.51</v>
      </c>
      <c r="P583" s="4">
        <f t="shared" si="81"/>
        <v>156.77000000000001</v>
      </c>
      <c r="Q583" s="4">
        <f>'Форма 2'!K2150</f>
        <v>169</v>
      </c>
      <c r="R583" s="53" t="s">
        <v>161</v>
      </c>
      <c r="S583" s="5">
        <v>1</v>
      </c>
    </row>
    <row r="584" spans="1:21" x14ac:dyDescent="0.35">
      <c r="A584" s="20">
        <f t="shared" si="82"/>
        <v>142</v>
      </c>
      <c r="B584" s="101">
        <v>3200</v>
      </c>
      <c r="C584" s="102" t="s">
        <v>118</v>
      </c>
      <c r="D584" s="60">
        <v>1967</v>
      </c>
      <c r="E584" s="25" t="s">
        <v>74</v>
      </c>
      <c r="F584" s="25" t="s">
        <v>152</v>
      </c>
      <c r="G584" s="4">
        <v>1720.3</v>
      </c>
      <c r="H584" s="4">
        <v>1603.2</v>
      </c>
      <c r="I584" s="103">
        <v>61</v>
      </c>
      <c r="J584" s="4">
        <f>'Форма 2'!I2152</f>
        <v>196024.76</v>
      </c>
      <c r="K584" s="4">
        <v>0</v>
      </c>
      <c r="L584" s="4">
        <v>0</v>
      </c>
      <c r="M584" s="4">
        <v>0</v>
      </c>
      <c r="N584" s="4">
        <f t="shared" si="83"/>
        <v>186048.75</v>
      </c>
      <c r="O584" s="4">
        <v>9976.01</v>
      </c>
      <c r="P584" s="4">
        <f t="shared" si="81"/>
        <v>122.27</v>
      </c>
      <c r="Q584" s="4">
        <f>'Форма 2'!K2152</f>
        <v>169</v>
      </c>
      <c r="R584" s="53" t="s">
        <v>161</v>
      </c>
      <c r="S584" s="5">
        <v>1</v>
      </c>
    </row>
    <row r="585" spans="1:21" x14ac:dyDescent="0.35">
      <c r="A585" s="20">
        <f t="shared" si="82"/>
        <v>143</v>
      </c>
      <c r="B585" s="101">
        <v>3204</v>
      </c>
      <c r="C585" s="102" t="s">
        <v>560</v>
      </c>
      <c r="D585" s="60">
        <v>1976</v>
      </c>
      <c r="E585" s="20" t="s">
        <v>74</v>
      </c>
      <c r="F585" s="20" t="s">
        <v>152</v>
      </c>
      <c r="G585" s="4">
        <v>2920.3</v>
      </c>
      <c r="H585" s="4">
        <v>2626.3</v>
      </c>
      <c r="I585" s="103">
        <v>99</v>
      </c>
      <c r="J585" s="4">
        <f>'Форма 2'!I2154</f>
        <v>443844.7</v>
      </c>
      <c r="K585" s="4">
        <v>0</v>
      </c>
      <c r="L585" s="4">
        <v>0</v>
      </c>
      <c r="M585" s="4">
        <v>0</v>
      </c>
      <c r="N585" s="4">
        <f t="shared" si="83"/>
        <v>427502.39</v>
      </c>
      <c r="O585" s="4">
        <v>16342.31</v>
      </c>
      <c r="P585" s="4">
        <f t="shared" si="81"/>
        <v>169</v>
      </c>
      <c r="Q585" s="4">
        <f>'Форма 2'!K2154</f>
        <v>169</v>
      </c>
      <c r="R585" s="53" t="s">
        <v>161</v>
      </c>
      <c r="S585" s="5">
        <v>1</v>
      </c>
    </row>
    <row r="586" spans="1:21" x14ac:dyDescent="0.35">
      <c r="A586" s="20">
        <f t="shared" si="82"/>
        <v>144</v>
      </c>
      <c r="B586" s="101">
        <v>3340</v>
      </c>
      <c r="C586" s="102" t="s">
        <v>727</v>
      </c>
      <c r="D586" s="60">
        <v>1986</v>
      </c>
      <c r="E586" s="25" t="s">
        <v>752</v>
      </c>
      <c r="F586" s="25" t="s">
        <v>152</v>
      </c>
      <c r="G586" s="4">
        <v>7280.46</v>
      </c>
      <c r="H586" s="4">
        <v>6156.86</v>
      </c>
      <c r="I586" s="103">
        <v>233</v>
      </c>
      <c r="J586" s="4">
        <f>'Форма 2'!I2156</f>
        <v>474078.22</v>
      </c>
      <c r="K586" s="4">
        <v>0</v>
      </c>
      <c r="L586" s="4">
        <v>0</v>
      </c>
      <c r="M586" s="4">
        <v>0</v>
      </c>
      <c r="N586" s="4">
        <f t="shared" si="83"/>
        <v>460529.06</v>
      </c>
      <c r="O586" s="4">
        <v>13549.16</v>
      </c>
      <c r="P586" s="4">
        <f t="shared" si="81"/>
        <v>77</v>
      </c>
      <c r="Q586" s="4">
        <f>'Форма 2'!K2156</f>
        <v>77</v>
      </c>
      <c r="R586" s="53" t="s">
        <v>161</v>
      </c>
      <c r="S586" s="5">
        <v>1</v>
      </c>
    </row>
    <row r="587" spans="1:21" x14ac:dyDescent="0.35">
      <c r="A587" s="20">
        <f t="shared" si="82"/>
        <v>145</v>
      </c>
      <c r="B587" s="101">
        <v>3359</v>
      </c>
      <c r="C587" s="102" t="s">
        <v>561</v>
      </c>
      <c r="D587" s="60">
        <v>1969</v>
      </c>
      <c r="E587" s="60" t="s">
        <v>74</v>
      </c>
      <c r="F587" s="60" t="s">
        <v>152</v>
      </c>
      <c r="G587" s="4">
        <v>3795.2</v>
      </c>
      <c r="H587" s="4">
        <v>3598</v>
      </c>
      <c r="I587" s="103">
        <v>136</v>
      </c>
      <c r="J587" s="4">
        <f>'Форма 2'!I2160</f>
        <v>233749.59</v>
      </c>
      <c r="K587" s="4">
        <v>0</v>
      </c>
      <c r="L587" s="4">
        <v>0</v>
      </c>
      <c r="M587" s="4">
        <v>0</v>
      </c>
      <c r="N587" s="4">
        <f>J587-K587-L587-M587-O587</f>
        <v>211360.82</v>
      </c>
      <c r="O587" s="4">
        <v>22388.77</v>
      </c>
      <c r="P587" s="4">
        <f t="shared" si="81"/>
        <v>64.97</v>
      </c>
      <c r="Q587" s="4">
        <f>'Форма 2'!K2160</f>
        <v>169</v>
      </c>
      <c r="R587" s="53" t="s">
        <v>161</v>
      </c>
      <c r="S587" s="5">
        <v>1</v>
      </c>
    </row>
    <row r="588" spans="1:21" s="3" customFormat="1" x14ac:dyDescent="0.35">
      <c r="A588" s="20">
        <f t="shared" si="82"/>
        <v>146</v>
      </c>
      <c r="B588" s="101">
        <v>3091</v>
      </c>
      <c r="C588" s="102" t="s">
        <v>119</v>
      </c>
      <c r="D588" s="60">
        <v>1968</v>
      </c>
      <c r="E588" s="25" t="s">
        <v>74</v>
      </c>
      <c r="F588" s="25" t="s">
        <v>152</v>
      </c>
      <c r="G588" s="4">
        <v>4584.1000000000004</v>
      </c>
      <c r="H588" s="4">
        <v>3532.6</v>
      </c>
      <c r="I588" s="103">
        <v>102</v>
      </c>
      <c r="J588" s="4">
        <f>'Форма 2'!I2162</f>
        <v>472781.7</v>
      </c>
      <c r="K588" s="4">
        <v>0</v>
      </c>
      <c r="L588" s="4">
        <v>0</v>
      </c>
      <c r="M588" s="4">
        <v>0</v>
      </c>
      <c r="N588" s="4">
        <f t="shared" si="83"/>
        <v>455919.19</v>
      </c>
      <c r="O588" s="4">
        <v>16862.509999999998</v>
      </c>
      <c r="P588" s="4">
        <f t="shared" si="81"/>
        <v>133.83000000000001</v>
      </c>
      <c r="Q588" s="4">
        <f>'Форма 2'!K2162</f>
        <v>169</v>
      </c>
      <c r="R588" s="53" t="s">
        <v>161</v>
      </c>
      <c r="S588" s="5">
        <v>1</v>
      </c>
      <c r="T588" s="1"/>
      <c r="U588" s="1"/>
    </row>
    <row r="589" spans="1:21" s="3" customFormat="1" ht="31" x14ac:dyDescent="0.35">
      <c r="A589" s="27">
        <f t="shared" si="82"/>
        <v>147</v>
      </c>
      <c r="B589" s="27">
        <v>3278</v>
      </c>
      <c r="C589" s="61" t="s">
        <v>365</v>
      </c>
      <c r="D589" s="25">
        <v>1978</v>
      </c>
      <c r="E589" s="25" t="s">
        <v>562</v>
      </c>
      <c r="F589" s="25" t="s">
        <v>563</v>
      </c>
      <c r="G589" s="35">
        <v>4824.5</v>
      </c>
      <c r="H589" s="35">
        <v>4404.5</v>
      </c>
      <c r="I589" s="36">
        <v>224</v>
      </c>
      <c r="J589" s="35">
        <f>'Форма 2'!I2164</f>
        <v>9957329.9800000004</v>
      </c>
      <c r="K589" s="35">
        <v>0</v>
      </c>
      <c r="L589" s="35">
        <v>0</v>
      </c>
      <c r="M589" s="35">
        <v>0</v>
      </c>
      <c r="N589" s="35">
        <f t="shared" si="83"/>
        <v>9575683.9900000002</v>
      </c>
      <c r="O589" s="35">
        <v>381645.99</v>
      </c>
      <c r="P589" s="35">
        <f t="shared" si="81"/>
        <v>2260.7199999999998</v>
      </c>
      <c r="Q589" s="35">
        <f>'Форма 2'!K2164</f>
        <v>3682</v>
      </c>
      <c r="R589" s="62" t="s">
        <v>161</v>
      </c>
      <c r="S589" s="63">
        <v>1</v>
      </c>
      <c r="T589" s="1"/>
      <c r="U589" s="1"/>
    </row>
    <row r="590" spans="1:21" s="3" customFormat="1" ht="31" x14ac:dyDescent="0.35">
      <c r="A590" s="27">
        <f t="shared" si="82"/>
        <v>148</v>
      </c>
      <c r="B590" s="27">
        <v>3280</v>
      </c>
      <c r="C590" s="61" t="s">
        <v>367</v>
      </c>
      <c r="D590" s="25">
        <v>1978</v>
      </c>
      <c r="E590" s="25" t="s">
        <v>562</v>
      </c>
      <c r="F590" s="25" t="s">
        <v>699</v>
      </c>
      <c r="G590" s="35">
        <v>4732.6000000000004</v>
      </c>
      <c r="H590" s="35">
        <v>4328.8</v>
      </c>
      <c r="I590" s="36">
        <v>224</v>
      </c>
      <c r="J590" s="35">
        <f>'Форма 2'!I2174</f>
        <v>13704560.390000001</v>
      </c>
      <c r="K590" s="35">
        <v>0</v>
      </c>
      <c r="L590" s="35">
        <v>0</v>
      </c>
      <c r="M590" s="35">
        <v>0</v>
      </c>
      <c r="N590" s="35">
        <f t="shared" si="83"/>
        <v>13100630.699999999</v>
      </c>
      <c r="O590" s="35">
        <v>603929.68999999994</v>
      </c>
      <c r="P590" s="35">
        <f t="shared" si="81"/>
        <v>3165.9</v>
      </c>
      <c r="Q590" s="35">
        <f>'Форма 2'!K2174</f>
        <v>3682</v>
      </c>
      <c r="R590" s="62" t="s">
        <v>161</v>
      </c>
      <c r="S590" s="63">
        <v>1</v>
      </c>
      <c r="T590" s="1"/>
      <c r="U590" s="1"/>
    </row>
    <row r="591" spans="1:21" ht="31" x14ac:dyDescent="0.35">
      <c r="A591" s="27">
        <f t="shared" si="82"/>
        <v>149</v>
      </c>
      <c r="B591" s="27">
        <v>3281</v>
      </c>
      <c r="C591" s="61" t="s">
        <v>368</v>
      </c>
      <c r="D591" s="25">
        <v>1971</v>
      </c>
      <c r="E591" s="25" t="s">
        <v>366</v>
      </c>
      <c r="F591" s="25" t="s">
        <v>155</v>
      </c>
      <c r="G591" s="35">
        <v>4719</v>
      </c>
      <c r="H591" s="35">
        <v>4302</v>
      </c>
      <c r="I591" s="36">
        <v>220</v>
      </c>
      <c r="J591" s="35">
        <f>'Форма 2'!I2184</f>
        <v>13204261.109999999</v>
      </c>
      <c r="K591" s="35">
        <v>0</v>
      </c>
      <c r="L591" s="35">
        <v>0</v>
      </c>
      <c r="M591" s="35">
        <v>0</v>
      </c>
      <c r="N591" s="35">
        <f t="shared" si="83"/>
        <v>12630839.859999999</v>
      </c>
      <c r="O591" s="35">
        <v>573421.25</v>
      </c>
      <c r="P591" s="35">
        <f t="shared" si="81"/>
        <v>3069.33</v>
      </c>
      <c r="Q591" s="35">
        <f>'Форма 2'!K2184</f>
        <v>3513</v>
      </c>
      <c r="R591" s="62" t="s">
        <v>161</v>
      </c>
      <c r="S591" s="63">
        <v>1</v>
      </c>
      <c r="U591" s="3"/>
    </row>
    <row r="592" spans="1:21" x14ac:dyDescent="0.35">
      <c r="A592" s="20">
        <f t="shared" si="82"/>
        <v>150</v>
      </c>
      <c r="B592" s="101">
        <v>4050</v>
      </c>
      <c r="C592" s="102" t="s">
        <v>120</v>
      </c>
      <c r="D592" s="60">
        <v>1972</v>
      </c>
      <c r="E592" s="60" t="s">
        <v>74</v>
      </c>
      <c r="F592" s="60" t="s">
        <v>152</v>
      </c>
      <c r="G592" s="4">
        <v>3250.4</v>
      </c>
      <c r="H592" s="4">
        <v>3115</v>
      </c>
      <c r="I592" s="103">
        <v>118</v>
      </c>
      <c r="J592" s="4">
        <f>'Форма 2'!I2193</f>
        <v>291252.5</v>
      </c>
      <c r="K592" s="4">
        <v>0</v>
      </c>
      <c r="L592" s="4">
        <v>0</v>
      </c>
      <c r="M592" s="4">
        <v>0</v>
      </c>
      <c r="N592" s="4">
        <f t="shared" si="83"/>
        <v>271869.23</v>
      </c>
      <c r="O592" s="4">
        <v>19383.27</v>
      </c>
      <c r="P592" s="4">
        <f t="shared" si="81"/>
        <v>93.5</v>
      </c>
      <c r="Q592" s="4">
        <f>'Форма 2'!K2193</f>
        <v>169</v>
      </c>
      <c r="R592" s="53" t="s">
        <v>161</v>
      </c>
      <c r="S592" s="5">
        <v>1</v>
      </c>
      <c r="U592" s="3"/>
    </row>
    <row r="593" spans="1:21" x14ac:dyDescent="0.35">
      <c r="A593" s="20">
        <f t="shared" si="82"/>
        <v>151</v>
      </c>
      <c r="B593" s="101">
        <v>4051</v>
      </c>
      <c r="C593" s="102" t="s">
        <v>121</v>
      </c>
      <c r="D593" s="60">
        <v>1972</v>
      </c>
      <c r="E593" s="60" t="s">
        <v>74</v>
      </c>
      <c r="F593" s="60" t="s">
        <v>152</v>
      </c>
      <c r="G593" s="4">
        <v>3250.4</v>
      </c>
      <c r="H593" s="4">
        <v>3115</v>
      </c>
      <c r="I593" s="103">
        <v>118</v>
      </c>
      <c r="J593" s="4">
        <f>'Форма 2'!I2195</f>
        <v>519379.52</v>
      </c>
      <c r="K593" s="4">
        <v>0</v>
      </c>
      <c r="L593" s="4">
        <v>0</v>
      </c>
      <c r="M593" s="4">
        <v>0</v>
      </c>
      <c r="N593" s="4">
        <f t="shared" si="83"/>
        <v>499996.25</v>
      </c>
      <c r="O593" s="4">
        <v>19383.27</v>
      </c>
      <c r="P593" s="4">
        <f t="shared" si="81"/>
        <v>166.73</v>
      </c>
      <c r="Q593" s="4">
        <f>'Форма 2'!K2195</f>
        <v>169</v>
      </c>
      <c r="R593" s="53" t="s">
        <v>161</v>
      </c>
      <c r="S593" s="5">
        <v>1</v>
      </c>
      <c r="U593" s="3"/>
    </row>
    <row r="594" spans="1:21" x14ac:dyDescent="0.35">
      <c r="A594" s="20">
        <f t="shared" si="82"/>
        <v>152</v>
      </c>
      <c r="B594" s="101">
        <v>4052</v>
      </c>
      <c r="C594" s="102" t="s">
        <v>122</v>
      </c>
      <c r="D594" s="60">
        <v>1972</v>
      </c>
      <c r="E594" s="25" t="s">
        <v>74</v>
      </c>
      <c r="F594" s="25" t="s">
        <v>152</v>
      </c>
      <c r="G594" s="4">
        <v>3622.1</v>
      </c>
      <c r="H594" s="4">
        <v>3327.5</v>
      </c>
      <c r="I594" s="103">
        <v>126</v>
      </c>
      <c r="J594" s="4">
        <f>'Форма 2'!I2197</f>
        <v>554810.71</v>
      </c>
      <c r="K594" s="4">
        <v>0</v>
      </c>
      <c r="L594" s="4">
        <v>0</v>
      </c>
      <c r="M594" s="4">
        <v>0</v>
      </c>
      <c r="N594" s="4">
        <f t="shared" si="83"/>
        <v>534105.14</v>
      </c>
      <c r="O594" s="4">
        <v>20705.57</v>
      </c>
      <c r="P594" s="4">
        <f t="shared" si="81"/>
        <v>166.73</v>
      </c>
      <c r="Q594" s="4">
        <f>'Форма 2'!K2197</f>
        <v>169</v>
      </c>
      <c r="R594" s="53" t="s">
        <v>161</v>
      </c>
      <c r="S594" s="5">
        <v>1</v>
      </c>
    </row>
    <row r="595" spans="1:21" x14ac:dyDescent="0.35">
      <c r="A595" s="20">
        <f t="shared" si="82"/>
        <v>153</v>
      </c>
      <c r="B595" s="20">
        <v>4053</v>
      </c>
      <c r="C595" s="61" t="s">
        <v>369</v>
      </c>
      <c r="D595" s="60">
        <v>1972</v>
      </c>
      <c r="E595" s="25" t="s">
        <v>74</v>
      </c>
      <c r="F595" s="25" t="s">
        <v>481</v>
      </c>
      <c r="G595" s="4">
        <v>2862.3</v>
      </c>
      <c r="H595" s="4">
        <v>2642</v>
      </c>
      <c r="I595" s="19">
        <v>116</v>
      </c>
      <c r="J595" s="4">
        <f>'Форма 2'!I2199</f>
        <v>5611861.0300000003</v>
      </c>
      <c r="K595" s="4">
        <v>0</v>
      </c>
      <c r="L595" s="4">
        <v>0</v>
      </c>
      <c r="M595" s="4">
        <v>0</v>
      </c>
      <c r="N595" s="4">
        <f t="shared" si="83"/>
        <v>5398933.3399999999</v>
      </c>
      <c r="O595" s="4">
        <v>212927.69</v>
      </c>
      <c r="P595" s="4">
        <f t="shared" si="81"/>
        <v>2124.1</v>
      </c>
      <c r="Q595" s="4">
        <f>'Форма 2'!K2199</f>
        <v>3449</v>
      </c>
      <c r="R595" s="53" t="s">
        <v>161</v>
      </c>
      <c r="S595" s="5">
        <v>1</v>
      </c>
    </row>
    <row r="596" spans="1:21" x14ac:dyDescent="0.35">
      <c r="A596" s="20">
        <f t="shared" si="82"/>
        <v>154</v>
      </c>
      <c r="B596" s="101">
        <v>3284</v>
      </c>
      <c r="C596" s="102" t="s">
        <v>564</v>
      </c>
      <c r="D596" s="60">
        <v>1972</v>
      </c>
      <c r="E596" s="25" t="s">
        <v>74</v>
      </c>
      <c r="F596" s="25" t="s">
        <v>152</v>
      </c>
      <c r="G596" s="4">
        <v>4029.4</v>
      </c>
      <c r="H596" s="4">
        <v>3631.8</v>
      </c>
      <c r="I596" s="103">
        <v>137</v>
      </c>
      <c r="J596" s="4">
        <f>'Форма 2'!I2202</f>
        <v>613774.18999999994</v>
      </c>
      <c r="K596" s="4">
        <v>0</v>
      </c>
      <c r="L596" s="4">
        <v>0</v>
      </c>
      <c r="M596" s="4">
        <v>0</v>
      </c>
      <c r="N596" s="4">
        <f t="shared" si="83"/>
        <v>591175.1</v>
      </c>
      <c r="O596" s="4">
        <v>22599.09</v>
      </c>
      <c r="P596" s="4">
        <f t="shared" si="81"/>
        <v>169</v>
      </c>
      <c r="Q596" s="4">
        <f>'Форма 2'!K2202</f>
        <v>169</v>
      </c>
      <c r="R596" s="53" t="s">
        <v>161</v>
      </c>
      <c r="S596" s="5">
        <v>1</v>
      </c>
    </row>
    <row r="597" spans="1:21" x14ac:dyDescent="0.35">
      <c r="A597" s="20">
        <f t="shared" si="82"/>
        <v>155</v>
      </c>
      <c r="B597" s="101">
        <v>3286</v>
      </c>
      <c r="C597" s="102" t="s">
        <v>565</v>
      </c>
      <c r="D597" s="60">
        <v>1972</v>
      </c>
      <c r="E597" s="25" t="s">
        <v>74</v>
      </c>
      <c r="F597" s="25" t="s">
        <v>152</v>
      </c>
      <c r="G597" s="4">
        <v>3853.6</v>
      </c>
      <c r="H597" s="4">
        <v>3572.1</v>
      </c>
      <c r="I597" s="103">
        <v>135</v>
      </c>
      <c r="J597" s="4">
        <f>'Форма 2'!I2204</f>
        <v>603684.9</v>
      </c>
      <c r="K597" s="4">
        <v>0</v>
      </c>
      <c r="L597" s="4">
        <v>0</v>
      </c>
      <c r="M597" s="4">
        <v>0</v>
      </c>
      <c r="N597" s="4">
        <f t="shared" si="83"/>
        <v>581457.29</v>
      </c>
      <c r="O597" s="4">
        <v>22227.61</v>
      </c>
      <c r="P597" s="4">
        <f t="shared" si="81"/>
        <v>169</v>
      </c>
      <c r="Q597" s="4">
        <f>'Форма 2'!K2204</f>
        <v>169</v>
      </c>
      <c r="R597" s="53" t="s">
        <v>161</v>
      </c>
      <c r="S597" s="5">
        <v>1</v>
      </c>
    </row>
    <row r="598" spans="1:21" x14ac:dyDescent="0.35">
      <c r="A598" s="20">
        <f t="shared" si="82"/>
        <v>156</v>
      </c>
      <c r="B598" s="101">
        <v>3166</v>
      </c>
      <c r="C598" s="102" t="s">
        <v>728</v>
      </c>
      <c r="D598" s="60">
        <v>1987</v>
      </c>
      <c r="E598" s="60" t="s">
        <v>74</v>
      </c>
      <c r="F598" s="60" t="s">
        <v>152</v>
      </c>
      <c r="G598" s="4">
        <v>5628.2</v>
      </c>
      <c r="H598" s="4">
        <v>5017.7</v>
      </c>
      <c r="I598" s="103">
        <v>190</v>
      </c>
      <c r="J598" s="4">
        <f>'Форма 2'!I2206</f>
        <v>620284.30000000005</v>
      </c>
      <c r="K598" s="4">
        <v>0</v>
      </c>
      <c r="L598" s="4">
        <v>0</v>
      </c>
      <c r="M598" s="4">
        <v>0</v>
      </c>
      <c r="N598" s="4">
        <f t="shared" si="83"/>
        <v>589061.36</v>
      </c>
      <c r="O598" s="4">
        <v>31222.94</v>
      </c>
      <c r="P598" s="4">
        <f t="shared" si="81"/>
        <v>123.62</v>
      </c>
      <c r="Q598" s="4">
        <f>'Форма 2'!K2206</f>
        <v>164</v>
      </c>
      <c r="R598" s="53" t="s">
        <v>161</v>
      </c>
      <c r="S598" s="5">
        <v>1</v>
      </c>
    </row>
    <row r="599" spans="1:21" x14ac:dyDescent="0.35">
      <c r="A599" s="20">
        <f t="shared" si="82"/>
        <v>157</v>
      </c>
      <c r="B599" s="101">
        <v>4240</v>
      </c>
      <c r="C599" s="102" t="s">
        <v>729</v>
      </c>
      <c r="D599" s="60">
        <v>1993</v>
      </c>
      <c r="E599" s="60" t="s">
        <v>74</v>
      </c>
      <c r="F599" s="60" t="s">
        <v>152</v>
      </c>
      <c r="G599" s="4">
        <v>18666.39</v>
      </c>
      <c r="H599" s="4">
        <v>16244.29</v>
      </c>
      <c r="I599" s="103">
        <v>614</v>
      </c>
      <c r="J599" s="4">
        <f>'Форма 2'!I2208</f>
        <v>1272211.92</v>
      </c>
      <c r="K599" s="4">
        <v>0</v>
      </c>
      <c r="L599" s="4">
        <v>0</v>
      </c>
      <c r="M599" s="4">
        <v>0</v>
      </c>
      <c r="N599" s="4">
        <f t="shared" si="83"/>
        <v>1171130.8500000001</v>
      </c>
      <c r="O599" s="4">
        <v>101081.07</v>
      </c>
      <c r="P599" s="4">
        <f t="shared" si="81"/>
        <v>78.319999999999993</v>
      </c>
      <c r="Q599" s="4">
        <f>'Форма 2'!K2208</f>
        <v>164</v>
      </c>
      <c r="R599" s="53" t="s">
        <v>161</v>
      </c>
      <c r="S599" s="5">
        <v>1</v>
      </c>
    </row>
    <row r="600" spans="1:21" x14ac:dyDescent="0.35">
      <c r="A600" s="20">
        <f t="shared" si="82"/>
        <v>158</v>
      </c>
      <c r="B600" s="101">
        <v>4329</v>
      </c>
      <c r="C600" s="102" t="s">
        <v>373</v>
      </c>
      <c r="D600" s="60">
        <v>1989</v>
      </c>
      <c r="E600" s="60" t="s">
        <v>74</v>
      </c>
      <c r="F600" s="60" t="s">
        <v>152</v>
      </c>
      <c r="G600" s="4">
        <v>8517.23</v>
      </c>
      <c r="H600" s="4">
        <v>6684.43</v>
      </c>
      <c r="I600" s="103">
        <v>253</v>
      </c>
      <c r="J600" s="4">
        <f>'Форма 2'!I2210</f>
        <v>663362.56999999995</v>
      </c>
      <c r="K600" s="4">
        <v>0</v>
      </c>
      <c r="L600" s="4">
        <v>0</v>
      </c>
      <c r="M600" s="4">
        <v>0</v>
      </c>
      <c r="N600" s="4">
        <f t="shared" si="83"/>
        <v>621768.30000000005</v>
      </c>
      <c r="O600" s="4">
        <v>41594.269999999997</v>
      </c>
      <c r="P600" s="4">
        <f t="shared" si="81"/>
        <v>99.24</v>
      </c>
      <c r="Q600" s="4">
        <f>'Форма 2'!K2210</f>
        <v>164</v>
      </c>
      <c r="R600" s="53" t="s">
        <v>161</v>
      </c>
      <c r="S600" s="5">
        <v>1</v>
      </c>
    </row>
    <row r="601" spans="1:21" x14ac:dyDescent="0.35">
      <c r="A601" s="20">
        <f t="shared" si="82"/>
        <v>159</v>
      </c>
      <c r="B601" s="101">
        <v>4331</v>
      </c>
      <c r="C601" s="102" t="s">
        <v>730</v>
      </c>
      <c r="D601" s="60">
        <v>1991</v>
      </c>
      <c r="E601" s="25" t="s">
        <v>182</v>
      </c>
      <c r="F601" s="25" t="s">
        <v>152</v>
      </c>
      <c r="G601" s="4">
        <v>11578.2</v>
      </c>
      <c r="H601" s="4">
        <v>8909.4</v>
      </c>
      <c r="I601" s="103">
        <v>337</v>
      </c>
      <c r="J601" s="4">
        <f>'Форма 2'!I2212</f>
        <v>129124</v>
      </c>
      <c r="K601" s="4">
        <v>0</v>
      </c>
      <c r="L601" s="4">
        <v>0</v>
      </c>
      <c r="M601" s="4">
        <v>0</v>
      </c>
      <c r="N601" s="4">
        <f t="shared" si="83"/>
        <v>125393.5</v>
      </c>
      <c r="O601" s="4">
        <v>3730.5</v>
      </c>
      <c r="P601" s="4">
        <f t="shared" si="81"/>
        <v>14.49</v>
      </c>
      <c r="Q601" s="4">
        <f>'Форма 2'!K2212</f>
        <v>14.49</v>
      </c>
      <c r="R601" s="53" t="s">
        <v>161</v>
      </c>
      <c r="S601" s="5">
        <v>1</v>
      </c>
    </row>
    <row r="602" spans="1:21" x14ac:dyDescent="0.35">
      <c r="A602" s="20">
        <f t="shared" si="82"/>
        <v>160</v>
      </c>
      <c r="B602" s="101">
        <v>4334</v>
      </c>
      <c r="C602" s="102" t="s">
        <v>731</v>
      </c>
      <c r="D602" s="60">
        <v>1993</v>
      </c>
      <c r="E602" s="60" t="s">
        <v>74</v>
      </c>
      <c r="F602" s="60" t="s">
        <v>152</v>
      </c>
      <c r="G602" s="4">
        <v>11323.6</v>
      </c>
      <c r="H602" s="4">
        <v>8925.1</v>
      </c>
      <c r="I602" s="103">
        <v>337</v>
      </c>
      <c r="J602" s="4">
        <f>'Форма 2'!I2217</f>
        <v>763989.88</v>
      </c>
      <c r="K602" s="4">
        <v>0</v>
      </c>
      <c r="L602" s="4">
        <v>0</v>
      </c>
      <c r="M602" s="4">
        <v>0</v>
      </c>
      <c r="N602" s="4">
        <f t="shared" si="83"/>
        <v>708452.91</v>
      </c>
      <c r="O602" s="4">
        <v>55536.97</v>
      </c>
      <c r="P602" s="4">
        <f t="shared" si="81"/>
        <v>85.6</v>
      </c>
      <c r="Q602" s="4">
        <f>'Форма 2'!K2217</f>
        <v>164</v>
      </c>
      <c r="R602" s="53" t="s">
        <v>161</v>
      </c>
      <c r="S602" s="5">
        <v>1</v>
      </c>
    </row>
    <row r="603" spans="1:21" x14ac:dyDescent="0.35">
      <c r="A603" s="20">
        <f t="shared" si="82"/>
        <v>161</v>
      </c>
      <c r="B603" s="101">
        <v>4335</v>
      </c>
      <c r="C603" s="102" t="s">
        <v>123</v>
      </c>
      <c r="D603" s="60">
        <v>1966</v>
      </c>
      <c r="E603" s="25" t="s">
        <v>434</v>
      </c>
      <c r="F603" s="25" t="s">
        <v>152</v>
      </c>
      <c r="G603" s="4">
        <v>3606.8</v>
      </c>
      <c r="H603" s="4">
        <v>2109.1999999999998</v>
      </c>
      <c r="I603" s="103">
        <v>80</v>
      </c>
      <c r="J603" s="4">
        <f>'Форма 2'!I2219</f>
        <v>158190</v>
      </c>
      <c r="K603" s="4">
        <v>0</v>
      </c>
      <c r="L603" s="4">
        <v>0</v>
      </c>
      <c r="M603" s="4">
        <v>0</v>
      </c>
      <c r="N603" s="4">
        <f t="shared" si="83"/>
        <v>154668.76</v>
      </c>
      <c r="O603" s="4">
        <v>3521.24</v>
      </c>
      <c r="P603" s="4">
        <f t="shared" si="81"/>
        <v>75</v>
      </c>
      <c r="Q603" s="4">
        <f>'Форма 2'!K2219</f>
        <v>75</v>
      </c>
      <c r="R603" s="53" t="s">
        <v>161</v>
      </c>
      <c r="S603" s="5">
        <v>1</v>
      </c>
    </row>
    <row r="604" spans="1:21" x14ac:dyDescent="0.35">
      <c r="A604" s="20">
        <f t="shared" si="82"/>
        <v>162</v>
      </c>
      <c r="B604" s="101">
        <v>3431</v>
      </c>
      <c r="C604" s="102" t="s">
        <v>732</v>
      </c>
      <c r="D604" s="60">
        <v>1990</v>
      </c>
      <c r="E604" s="25" t="s">
        <v>182</v>
      </c>
      <c r="F604" s="25" t="s">
        <v>152</v>
      </c>
      <c r="G604" s="4">
        <v>5782.2</v>
      </c>
      <c r="H604" s="4">
        <v>5083.3999999999996</v>
      </c>
      <c r="I604" s="103">
        <v>192</v>
      </c>
      <c r="J604" s="4">
        <f>'Форма 2'!I2221</f>
        <v>5416817</v>
      </c>
      <c r="K604" s="4">
        <v>0</v>
      </c>
      <c r="L604" s="4">
        <v>0</v>
      </c>
      <c r="M604" s="4">
        <v>0</v>
      </c>
      <c r="N604" s="4">
        <f t="shared" si="83"/>
        <v>5414951.75</v>
      </c>
      <c r="O604" s="4">
        <v>1865.25</v>
      </c>
      <c r="P604" s="4">
        <f t="shared" si="81"/>
        <v>1065.5899999999999</v>
      </c>
      <c r="Q604" s="4">
        <f>'Форма 2'!K2221</f>
        <v>1065.5899999999999</v>
      </c>
      <c r="R604" s="53" t="s">
        <v>161</v>
      </c>
      <c r="S604" s="5">
        <v>1</v>
      </c>
    </row>
    <row r="605" spans="1:21" x14ac:dyDescent="0.35">
      <c r="A605" s="20">
        <f t="shared" si="82"/>
        <v>163</v>
      </c>
      <c r="B605" s="101">
        <v>3116</v>
      </c>
      <c r="C605" s="102" t="s">
        <v>733</v>
      </c>
      <c r="D605" s="60">
        <v>1983</v>
      </c>
      <c r="E605" s="25" t="s">
        <v>74</v>
      </c>
      <c r="F605" s="25" t="s">
        <v>152</v>
      </c>
      <c r="G605" s="4">
        <v>2648</v>
      </c>
      <c r="H605" s="4">
        <v>2341</v>
      </c>
      <c r="I605" s="103">
        <v>88</v>
      </c>
      <c r="J605" s="4">
        <f>'Форма 2'!I2228</f>
        <v>242345.09</v>
      </c>
      <c r="K605" s="4">
        <v>0</v>
      </c>
      <c r="L605" s="4">
        <v>0</v>
      </c>
      <c r="M605" s="4">
        <v>0</v>
      </c>
      <c r="N605" s="4">
        <f t="shared" si="83"/>
        <v>227778.08</v>
      </c>
      <c r="O605" s="4">
        <v>14567.01</v>
      </c>
      <c r="P605" s="4">
        <f t="shared" si="81"/>
        <v>103.52</v>
      </c>
      <c r="Q605" s="4">
        <f>'Форма 2'!K2228</f>
        <v>169</v>
      </c>
      <c r="R605" s="53" t="s">
        <v>161</v>
      </c>
      <c r="S605" s="5">
        <v>1</v>
      </c>
    </row>
    <row r="606" spans="1:21" x14ac:dyDescent="0.35">
      <c r="A606" s="20">
        <f t="shared" si="82"/>
        <v>164</v>
      </c>
      <c r="B606" s="101">
        <v>3291</v>
      </c>
      <c r="C606" s="102" t="s">
        <v>566</v>
      </c>
      <c r="D606" s="60">
        <v>1973</v>
      </c>
      <c r="E606" s="25" t="s">
        <v>74</v>
      </c>
      <c r="F606" s="25" t="s">
        <v>152</v>
      </c>
      <c r="G606" s="4">
        <v>3087</v>
      </c>
      <c r="H606" s="4">
        <v>2878.8</v>
      </c>
      <c r="I606" s="103">
        <v>109</v>
      </c>
      <c r="J606" s="4">
        <f>'Форма 2'!I2230</f>
        <v>486517.2</v>
      </c>
      <c r="K606" s="4">
        <v>0</v>
      </c>
      <c r="L606" s="4">
        <v>0</v>
      </c>
      <c r="M606" s="4">
        <v>0</v>
      </c>
      <c r="N606" s="4">
        <f t="shared" si="83"/>
        <v>468603.69</v>
      </c>
      <c r="O606" s="4">
        <v>17913.509999999998</v>
      </c>
      <c r="P606" s="4">
        <f t="shared" si="81"/>
        <v>169</v>
      </c>
      <c r="Q606" s="4">
        <f>'Форма 2'!K2230</f>
        <v>169</v>
      </c>
      <c r="R606" s="53" t="s">
        <v>161</v>
      </c>
      <c r="S606" s="5">
        <v>1</v>
      </c>
    </row>
    <row r="607" spans="1:21" x14ac:dyDescent="0.35">
      <c r="A607" s="20">
        <f t="shared" si="82"/>
        <v>165</v>
      </c>
      <c r="B607" s="101">
        <v>3295</v>
      </c>
      <c r="C607" s="102" t="s">
        <v>567</v>
      </c>
      <c r="D607" s="60">
        <v>1972</v>
      </c>
      <c r="E607" s="25" t="s">
        <v>74</v>
      </c>
      <c r="F607" s="25" t="s">
        <v>152</v>
      </c>
      <c r="G607" s="4">
        <v>3837.1</v>
      </c>
      <c r="H607" s="4">
        <v>3558.7</v>
      </c>
      <c r="I607" s="103">
        <v>134</v>
      </c>
      <c r="J607" s="4">
        <f>'Форма 2'!I2232</f>
        <v>598733.47</v>
      </c>
      <c r="K607" s="4">
        <v>0</v>
      </c>
      <c r="L607" s="4">
        <v>0</v>
      </c>
      <c r="M607" s="4">
        <v>0</v>
      </c>
      <c r="N607" s="4">
        <f t="shared" si="83"/>
        <v>576589.25</v>
      </c>
      <c r="O607" s="4">
        <v>22144.22</v>
      </c>
      <c r="P607" s="4">
        <f t="shared" si="81"/>
        <v>168.24</v>
      </c>
      <c r="Q607" s="4">
        <f>'Форма 2'!K2232</f>
        <v>169</v>
      </c>
      <c r="R607" s="53" t="s">
        <v>161</v>
      </c>
      <c r="S607" s="5">
        <v>1</v>
      </c>
    </row>
    <row r="608" spans="1:21" x14ac:dyDescent="0.35">
      <c r="A608" s="20">
        <f t="shared" si="82"/>
        <v>166</v>
      </c>
      <c r="B608" s="101">
        <v>3298</v>
      </c>
      <c r="C608" s="102" t="s">
        <v>568</v>
      </c>
      <c r="D608" s="60">
        <v>1973</v>
      </c>
      <c r="E608" s="60" t="s">
        <v>74</v>
      </c>
      <c r="F608" s="60" t="s">
        <v>152</v>
      </c>
      <c r="G608" s="4">
        <v>2995.8</v>
      </c>
      <c r="H608" s="4">
        <v>2717.8</v>
      </c>
      <c r="I608" s="103">
        <v>103</v>
      </c>
      <c r="J608" s="4">
        <f>'Форма 2'!I2234</f>
        <v>428307.8</v>
      </c>
      <c r="K608" s="4">
        <v>0</v>
      </c>
      <c r="L608" s="4">
        <v>0</v>
      </c>
      <c r="M608" s="4">
        <v>0</v>
      </c>
      <c r="N608" s="4">
        <f t="shared" si="83"/>
        <v>411396.13</v>
      </c>
      <c r="O608" s="4">
        <v>16911.669999999998</v>
      </c>
      <c r="P608" s="4">
        <f t="shared" si="81"/>
        <v>157.59</v>
      </c>
      <c r="Q608" s="4">
        <f>'Форма 2'!K2234</f>
        <v>169</v>
      </c>
      <c r="R608" s="53" t="s">
        <v>161</v>
      </c>
      <c r="S608" s="5">
        <v>1</v>
      </c>
    </row>
    <row r="609" spans="1:21" x14ac:dyDescent="0.35">
      <c r="A609" s="20">
        <f t="shared" si="82"/>
        <v>167</v>
      </c>
      <c r="B609" s="101">
        <v>3299</v>
      </c>
      <c r="C609" s="102" t="s">
        <v>124</v>
      </c>
      <c r="D609" s="60">
        <v>1968</v>
      </c>
      <c r="E609" s="60" t="s">
        <v>74</v>
      </c>
      <c r="F609" s="60" t="s">
        <v>152</v>
      </c>
      <c r="G609" s="4">
        <v>3785.95</v>
      </c>
      <c r="H609" s="4">
        <v>3495.95</v>
      </c>
      <c r="I609" s="103">
        <v>132</v>
      </c>
      <c r="J609" s="4">
        <f>'Форма 2'!I2236</f>
        <v>588176.1</v>
      </c>
      <c r="K609" s="4">
        <v>0</v>
      </c>
      <c r="L609" s="4">
        <v>0</v>
      </c>
      <c r="M609" s="4">
        <v>0</v>
      </c>
      <c r="N609" s="4">
        <f t="shared" si="83"/>
        <v>566422.34</v>
      </c>
      <c r="O609" s="4">
        <v>21753.759999999998</v>
      </c>
      <c r="P609" s="4">
        <f t="shared" si="81"/>
        <v>168.24</v>
      </c>
      <c r="Q609" s="4">
        <f>'Форма 2'!K2236</f>
        <v>169</v>
      </c>
      <c r="R609" s="53" t="s">
        <v>161</v>
      </c>
      <c r="S609" s="5">
        <v>1</v>
      </c>
    </row>
    <row r="610" spans="1:21" x14ac:dyDescent="0.35">
      <c r="A610" s="20">
        <f t="shared" si="82"/>
        <v>168</v>
      </c>
      <c r="B610" s="20">
        <v>3301</v>
      </c>
      <c r="C610" s="61" t="s">
        <v>569</v>
      </c>
      <c r="D610" s="60">
        <v>1991</v>
      </c>
      <c r="E610" s="60" t="s">
        <v>182</v>
      </c>
      <c r="F610" s="60" t="s">
        <v>183</v>
      </c>
      <c r="G610" s="4">
        <v>10443.9</v>
      </c>
      <c r="H610" s="4">
        <v>8954.2000000000007</v>
      </c>
      <c r="I610" s="19">
        <v>419</v>
      </c>
      <c r="J610" s="4">
        <f>'Форма 2'!I2238</f>
        <v>6981568</v>
      </c>
      <c r="K610" s="4">
        <v>0</v>
      </c>
      <c r="L610" s="4">
        <v>0</v>
      </c>
      <c r="M610" s="4">
        <v>0</v>
      </c>
      <c r="N610" s="4">
        <f>J610-K610-L610-M610-O610</f>
        <v>6712939.79</v>
      </c>
      <c r="O610" s="4">
        <v>268628.21000000002</v>
      </c>
      <c r="P610" s="4">
        <f t="shared" si="81"/>
        <v>779.7</v>
      </c>
      <c r="Q610" s="4">
        <f>'Форма 2'!K2238</f>
        <v>794.12</v>
      </c>
      <c r="R610" s="53" t="s">
        <v>161</v>
      </c>
      <c r="S610" s="5">
        <v>1</v>
      </c>
    </row>
    <row r="611" spans="1:21" x14ac:dyDescent="0.35">
      <c r="A611" s="20">
        <f t="shared" si="82"/>
        <v>169</v>
      </c>
      <c r="B611" s="101">
        <v>3105</v>
      </c>
      <c r="C611" s="102" t="s">
        <v>734</v>
      </c>
      <c r="D611" s="60">
        <v>1995</v>
      </c>
      <c r="E611" s="25" t="s">
        <v>74</v>
      </c>
      <c r="F611" s="25" t="s">
        <v>152</v>
      </c>
      <c r="G611" s="4">
        <v>14149.1</v>
      </c>
      <c r="H611" s="4">
        <v>11658.1</v>
      </c>
      <c r="I611" s="103">
        <v>440</v>
      </c>
      <c r="J611" s="4">
        <f>'Форма 2'!I2251</f>
        <v>985264.76</v>
      </c>
      <c r="K611" s="4">
        <v>0</v>
      </c>
      <c r="L611" s="4">
        <v>0</v>
      </c>
      <c r="M611" s="4">
        <v>0</v>
      </c>
      <c r="N611" s="4">
        <f>J611-K611-L611-M611-O611</f>
        <v>912721.54</v>
      </c>
      <c r="O611" s="4">
        <v>72543.22</v>
      </c>
      <c r="P611" s="4">
        <f t="shared" si="81"/>
        <v>84.51</v>
      </c>
      <c r="Q611" s="4">
        <f>'Форма 2'!K2251</f>
        <v>164</v>
      </c>
      <c r="R611" s="53" t="s">
        <v>161</v>
      </c>
      <c r="S611" s="5">
        <v>1</v>
      </c>
    </row>
    <row r="612" spans="1:21" s="3" customFormat="1" ht="31" x14ac:dyDescent="0.35">
      <c r="A612" s="20">
        <f t="shared" si="82"/>
        <v>170</v>
      </c>
      <c r="B612" s="20">
        <v>4380</v>
      </c>
      <c r="C612" s="61" t="s">
        <v>570</v>
      </c>
      <c r="D612" s="25" t="s">
        <v>571</v>
      </c>
      <c r="E612" s="60" t="s">
        <v>182</v>
      </c>
      <c r="F612" s="60" t="s">
        <v>183</v>
      </c>
      <c r="G612" s="4">
        <v>12217.4</v>
      </c>
      <c r="H612" s="4">
        <v>9586.5</v>
      </c>
      <c r="I612" s="19">
        <v>369</v>
      </c>
      <c r="J612" s="4">
        <f>'Форма 2'!I2253</f>
        <v>8726960</v>
      </c>
      <c r="K612" s="4">
        <v>0</v>
      </c>
      <c r="L612" s="4">
        <v>0</v>
      </c>
      <c r="M612" s="4">
        <v>0</v>
      </c>
      <c r="N612" s="4">
        <f>J612-K612-L612-M612-O612</f>
        <v>8391174.7400000002</v>
      </c>
      <c r="O612" s="4">
        <v>335785.26</v>
      </c>
      <c r="P612" s="4">
        <f t="shared" si="81"/>
        <v>910.34</v>
      </c>
      <c r="Q612" s="4">
        <f>'Форма 2'!K2253</f>
        <v>927.19</v>
      </c>
      <c r="R612" s="53" t="s">
        <v>161</v>
      </c>
      <c r="S612" s="5">
        <v>1</v>
      </c>
      <c r="T612" s="1"/>
      <c r="U612" s="1"/>
    </row>
    <row r="613" spans="1:21" ht="31" x14ac:dyDescent="0.35">
      <c r="A613" s="27">
        <f t="shared" si="82"/>
        <v>171</v>
      </c>
      <c r="B613" s="105">
        <v>3131</v>
      </c>
      <c r="C613" s="102" t="s">
        <v>735</v>
      </c>
      <c r="D613" s="25" t="s">
        <v>753</v>
      </c>
      <c r="E613" s="25" t="s">
        <v>754</v>
      </c>
      <c r="F613" s="25" t="s">
        <v>152</v>
      </c>
      <c r="G613" s="35">
        <v>12716</v>
      </c>
      <c r="H613" s="35">
        <v>10845</v>
      </c>
      <c r="I613" s="103">
        <v>410</v>
      </c>
      <c r="J613" s="35">
        <f>'Форма 2'!I2269</f>
        <v>779316</v>
      </c>
      <c r="K613" s="35">
        <v>0</v>
      </c>
      <c r="L613" s="35">
        <v>0</v>
      </c>
      <c r="M613" s="35">
        <v>0</v>
      </c>
      <c r="N613" s="35">
        <f>J613-K613-L613-M613-O613</f>
        <v>751500.02</v>
      </c>
      <c r="O613" s="35">
        <v>27815.98</v>
      </c>
      <c r="P613" s="35">
        <f t="shared" si="81"/>
        <v>71.86</v>
      </c>
      <c r="Q613" s="35">
        <f>'Форма 2'!K2269</f>
        <v>71.86</v>
      </c>
      <c r="R613" s="62" t="s">
        <v>161</v>
      </c>
      <c r="S613" s="63">
        <v>1</v>
      </c>
    </row>
    <row r="614" spans="1:21" x14ac:dyDescent="0.35">
      <c r="A614" s="20">
        <f t="shared" si="82"/>
        <v>172</v>
      </c>
      <c r="B614" s="101">
        <v>3313</v>
      </c>
      <c r="C614" s="102" t="s">
        <v>572</v>
      </c>
      <c r="D614" s="60">
        <v>1973</v>
      </c>
      <c r="E614" s="25" t="s">
        <v>74</v>
      </c>
      <c r="F614" s="25" t="s">
        <v>152</v>
      </c>
      <c r="G614" s="4">
        <v>3909.4</v>
      </c>
      <c r="H614" s="4">
        <v>3573</v>
      </c>
      <c r="I614" s="103">
        <v>135</v>
      </c>
      <c r="J614" s="4">
        <f>'Форма 2'!I2277</f>
        <v>563226.28</v>
      </c>
      <c r="K614" s="4">
        <v>0</v>
      </c>
      <c r="L614" s="4">
        <v>0</v>
      </c>
      <c r="M614" s="4">
        <v>0</v>
      </c>
      <c r="N614" s="4">
        <f>J614-K614-L614-M614-O614</f>
        <v>540993.06999999995</v>
      </c>
      <c r="O614" s="4">
        <v>22233.21</v>
      </c>
      <c r="P614" s="4">
        <f t="shared" si="81"/>
        <v>157.63</v>
      </c>
      <c r="Q614" s="4">
        <f>'Форма 2'!K2277</f>
        <v>169</v>
      </c>
      <c r="R614" s="53" t="s">
        <v>161</v>
      </c>
      <c r="S614" s="5">
        <v>1</v>
      </c>
    </row>
    <row r="615" spans="1:21" x14ac:dyDescent="0.35">
      <c r="A615" s="20">
        <f t="shared" si="82"/>
        <v>173</v>
      </c>
      <c r="B615" s="101">
        <v>3316</v>
      </c>
      <c r="C615" s="102" t="s">
        <v>125</v>
      </c>
      <c r="D615" s="60">
        <v>1971</v>
      </c>
      <c r="E615" s="25" t="s">
        <v>74</v>
      </c>
      <c r="F615" s="25" t="s">
        <v>152</v>
      </c>
      <c r="G615" s="4">
        <v>3097.2</v>
      </c>
      <c r="H615" s="4">
        <v>2886.1</v>
      </c>
      <c r="I615" s="103">
        <v>109</v>
      </c>
      <c r="J615" s="4">
        <f>'Форма 2'!I2279</f>
        <v>487750.9</v>
      </c>
      <c r="K615" s="4">
        <v>0</v>
      </c>
      <c r="L615" s="4">
        <v>0</v>
      </c>
      <c r="M615" s="4">
        <v>0</v>
      </c>
      <c r="N615" s="4">
        <f t="shared" si="83"/>
        <v>469791.97</v>
      </c>
      <c r="O615" s="4">
        <v>17958.93</v>
      </c>
      <c r="P615" s="4">
        <f t="shared" si="81"/>
        <v>169</v>
      </c>
      <c r="Q615" s="4">
        <f>'Форма 2'!K2279</f>
        <v>169</v>
      </c>
      <c r="R615" s="53" t="s">
        <v>161</v>
      </c>
      <c r="S615" s="5">
        <v>1</v>
      </c>
      <c r="U615" s="3"/>
    </row>
    <row r="616" spans="1:21" x14ac:dyDescent="0.35">
      <c r="A616" s="20">
        <f t="shared" si="82"/>
        <v>174</v>
      </c>
      <c r="B616" s="20">
        <v>4342</v>
      </c>
      <c r="C616" s="61" t="s">
        <v>573</v>
      </c>
      <c r="D616" s="60">
        <v>1974</v>
      </c>
      <c r="E616" s="25" t="s">
        <v>74</v>
      </c>
      <c r="F616" s="25" t="s">
        <v>152</v>
      </c>
      <c r="G616" s="4">
        <v>5793.55</v>
      </c>
      <c r="H616" s="4">
        <v>4412.1499999999996</v>
      </c>
      <c r="I616" s="103">
        <v>167</v>
      </c>
      <c r="J616" s="4">
        <f>'Форма 2'!I2281</f>
        <v>295259.90999999997</v>
      </c>
      <c r="K616" s="4">
        <v>0</v>
      </c>
      <c r="L616" s="4">
        <v>0</v>
      </c>
      <c r="M616" s="4">
        <v>0</v>
      </c>
      <c r="N616" s="4">
        <f t="shared" si="83"/>
        <v>267805.03999999998</v>
      </c>
      <c r="O616" s="4">
        <v>27454.87</v>
      </c>
      <c r="P616" s="4">
        <f t="shared" si="81"/>
        <v>66.92</v>
      </c>
      <c r="Q616" s="4">
        <f>'Форма 2'!K2281</f>
        <v>169</v>
      </c>
      <c r="R616" s="53" t="s">
        <v>161</v>
      </c>
      <c r="S616" s="5">
        <v>1</v>
      </c>
    </row>
    <row r="617" spans="1:21" x14ac:dyDescent="0.35">
      <c r="A617" s="20">
        <f t="shared" si="82"/>
        <v>175</v>
      </c>
      <c r="B617" s="101">
        <v>4343</v>
      </c>
      <c r="C617" s="102" t="s">
        <v>736</v>
      </c>
      <c r="D617" s="60">
        <v>1981</v>
      </c>
      <c r="E617" s="25" t="s">
        <v>74</v>
      </c>
      <c r="F617" s="25" t="s">
        <v>152</v>
      </c>
      <c r="G617" s="4">
        <v>3624.8</v>
      </c>
      <c r="H617" s="4">
        <v>2708.3</v>
      </c>
      <c r="I617" s="103">
        <v>102</v>
      </c>
      <c r="J617" s="4">
        <f>'Форма 2'!I2283</f>
        <v>453166.3</v>
      </c>
      <c r="K617" s="4">
        <v>0</v>
      </c>
      <c r="L617" s="4">
        <v>0</v>
      </c>
      <c r="M617" s="4">
        <v>0</v>
      </c>
      <c r="N617" s="4">
        <f t="shared" si="83"/>
        <v>438163.41</v>
      </c>
      <c r="O617" s="4">
        <v>15002.89</v>
      </c>
      <c r="P617" s="4">
        <f t="shared" si="81"/>
        <v>167.33</v>
      </c>
      <c r="Q617" s="4">
        <f>'Форма 2'!K2283</f>
        <v>168</v>
      </c>
      <c r="R617" s="53" t="s">
        <v>161</v>
      </c>
      <c r="S617" s="5">
        <v>1</v>
      </c>
    </row>
    <row r="618" spans="1:21" x14ac:dyDescent="0.35">
      <c r="A618" s="20">
        <f t="shared" si="82"/>
        <v>176</v>
      </c>
      <c r="B618" s="101">
        <v>3318</v>
      </c>
      <c r="C618" s="102" t="s">
        <v>126</v>
      </c>
      <c r="D618" s="60">
        <v>1972</v>
      </c>
      <c r="E618" s="25" t="s">
        <v>74</v>
      </c>
      <c r="F618" s="25" t="s">
        <v>152</v>
      </c>
      <c r="G618" s="4">
        <v>3824.2</v>
      </c>
      <c r="H618" s="4">
        <v>3544.3</v>
      </c>
      <c r="I618" s="103">
        <v>134</v>
      </c>
      <c r="J618" s="4">
        <f>'Форма 2'!I2285</f>
        <v>598986.69999999995</v>
      </c>
      <c r="K618" s="4">
        <v>0</v>
      </c>
      <c r="L618" s="4">
        <v>0</v>
      </c>
      <c r="M618" s="4">
        <v>0</v>
      </c>
      <c r="N618" s="4">
        <f t="shared" si="83"/>
        <v>576932.07999999996</v>
      </c>
      <c r="O618" s="4">
        <v>22054.62</v>
      </c>
      <c r="P618" s="4">
        <f t="shared" si="81"/>
        <v>169</v>
      </c>
      <c r="Q618" s="4">
        <f>'Форма 2'!K2285</f>
        <v>169</v>
      </c>
      <c r="R618" s="53" t="s">
        <v>161</v>
      </c>
      <c r="S618" s="5">
        <v>1</v>
      </c>
    </row>
    <row r="619" spans="1:21" x14ac:dyDescent="0.35">
      <c r="A619" s="20">
        <f t="shared" si="82"/>
        <v>177</v>
      </c>
      <c r="B619" s="20">
        <v>4344</v>
      </c>
      <c r="C619" s="61" t="s">
        <v>574</v>
      </c>
      <c r="D619" s="60">
        <v>1974</v>
      </c>
      <c r="E619" s="25" t="s">
        <v>74</v>
      </c>
      <c r="F619" s="25" t="s">
        <v>152</v>
      </c>
      <c r="G619" s="4">
        <v>4367.7</v>
      </c>
      <c r="H619" s="4">
        <v>3205.5</v>
      </c>
      <c r="I619" s="103">
        <v>121</v>
      </c>
      <c r="J619" s="4">
        <f>'Форма 2'!I2287</f>
        <v>233540.56</v>
      </c>
      <c r="K619" s="4">
        <v>0</v>
      </c>
      <c r="L619" s="4">
        <v>0</v>
      </c>
      <c r="M619" s="4">
        <v>0</v>
      </c>
      <c r="N619" s="4">
        <f t="shared" si="83"/>
        <v>223729.23</v>
      </c>
      <c r="O619" s="4">
        <v>9811.33</v>
      </c>
      <c r="P619" s="4">
        <f t="shared" si="81"/>
        <v>72.86</v>
      </c>
      <c r="Q619" s="4">
        <f>'Форма 2'!K2287</f>
        <v>169</v>
      </c>
      <c r="R619" s="53" t="s">
        <v>161</v>
      </c>
      <c r="S619" s="5">
        <v>1</v>
      </c>
    </row>
    <row r="620" spans="1:21" x14ac:dyDescent="0.35">
      <c r="A620" s="20">
        <f t="shared" si="82"/>
        <v>178</v>
      </c>
      <c r="B620" s="101">
        <v>3319</v>
      </c>
      <c r="C620" s="102" t="s">
        <v>127</v>
      </c>
      <c r="D620" s="60">
        <v>1970</v>
      </c>
      <c r="E620" s="60" t="s">
        <v>74</v>
      </c>
      <c r="F620" s="60" t="s">
        <v>152</v>
      </c>
      <c r="G620" s="4">
        <v>3818.3</v>
      </c>
      <c r="H620" s="4">
        <v>3538.3</v>
      </c>
      <c r="I620" s="103">
        <v>134</v>
      </c>
      <c r="J620" s="4">
        <f>'Форма 2'!I2289</f>
        <v>597972.68999999994</v>
      </c>
      <c r="K620" s="4">
        <v>0</v>
      </c>
      <c r="L620" s="4">
        <v>0</v>
      </c>
      <c r="M620" s="4">
        <v>0</v>
      </c>
      <c r="N620" s="4">
        <f t="shared" si="83"/>
        <v>575955.41</v>
      </c>
      <c r="O620" s="4">
        <v>22017.279999999999</v>
      </c>
      <c r="P620" s="4">
        <f t="shared" si="81"/>
        <v>169</v>
      </c>
      <c r="Q620" s="4">
        <f>'Форма 2'!K2289</f>
        <v>169</v>
      </c>
      <c r="R620" s="53" t="s">
        <v>161</v>
      </c>
      <c r="S620" s="5">
        <v>1</v>
      </c>
    </row>
    <row r="621" spans="1:21" x14ac:dyDescent="0.35">
      <c r="A621" s="20">
        <f t="shared" si="82"/>
        <v>179</v>
      </c>
      <c r="B621" s="101">
        <v>3320</v>
      </c>
      <c r="C621" s="102" t="s">
        <v>575</v>
      </c>
      <c r="D621" s="60">
        <v>1976</v>
      </c>
      <c r="E621" s="60" t="s">
        <v>74</v>
      </c>
      <c r="F621" s="60" t="s">
        <v>152</v>
      </c>
      <c r="G621" s="4">
        <v>3018</v>
      </c>
      <c r="H621" s="4">
        <v>2666</v>
      </c>
      <c r="I621" s="103">
        <v>101</v>
      </c>
      <c r="J621" s="4">
        <f>'Форма 2'!I2291</f>
        <v>449950</v>
      </c>
      <c r="K621" s="4">
        <v>0</v>
      </c>
      <c r="L621" s="4">
        <v>0</v>
      </c>
      <c r="M621" s="4">
        <v>0</v>
      </c>
      <c r="N621" s="4">
        <f t="shared" si="83"/>
        <v>433360.66</v>
      </c>
      <c r="O621" s="4">
        <v>16589.34</v>
      </c>
      <c r="P621" s="4">
        <f t="shared" si="81"/>
        <v>168.77</v>
      </c>
      <c r="Q621" s="4">
        <f>'Форма 2'!K2291</f>
        <v>169</v>
      </c>
      <c r="R621" s="53" t="s">
        <v>161</v>
      </c>
      <c r="S621" s="5">
        <v>1</v>
      </c>
    </row>
    <row r="622" spans="1:21" ht="31" x14ac:dyDescent="0.35">
      <c r="A622" s="20">
        <f t="shared" si="82"/>
        <v>180</v>
      </c>
      <c r="B622" s="101">
        <v>4360</v>
      </c>
      <c r="C622" s="102" t="s">
        <v>737</v>
      </c>
      <c r="D622" s="25" t="s">
        <v>219</v>
      </c>
      <c r="E622" s="25" t="s">
        <v>74</v>
      </c>
      <c r="F622" s="25" t="s">
        <v>152</v>
      </c>
      <c r="G622" s="4">
        <v>14794.05</v>
      </c>
      <c r="H622" s="4">
        <v>11758.85</v>
      </c>
      <c r="I622" s="103">
        <v>474</v>
      </c>
      <c r="J622" s="4">
        <f>'Форма 2'!I2293</f>
        <v>961945.24</v>
      </c>
      <c r="K622" s="4">
        <v>0</v>
      </c>
      <c r="L622" s="4">
        <v>0</v>
      </c>
      <c r="M622" s="4">
        <v>0</v>
      </c>
      <c r="N622" s="4">
        <f t="shared" si="83"/>
        <v>888775.09</v>
      </c>
      <c r="O622" s="4">
        <v>73170.149999999994</v>
      </c>
      <c r="P622" s="4">
        <f t="shared" si="81"/>
        <v>81.81</v>
      </c>
      <c r="Q622" s="4">
        <f>'Форма 2'!K2293</f>
        <v>164</v>
      </c>
      <c r="R622" s="53" t="s">
        <v>161</v>
      </c>
      <c r="S622" s="5">
        <v>1</v>
      </c>
    </row>
    <row r="623" spans="1:21" x14ac:dyDescent="0.35">
      <c r="A623" s="20">
        <f t="shared" si="82"/>
        <v>181</v>
      </c>
      <c r="B623" s="101">
        <v>3173</v>
      </c>
      <c r="C623" s="102" t="s">
        <v>576</v>
      </c>
      <c r="D623" s="60">
        <v>1976</v>
      </c>
      <c r="E623" s="25" t="s">
        <v>74</v>
      </c>
      <c r="F623" s="25" t="s">
        <v>152</v>
      </c>
      <c r="G623" s="4">
        <v>2921</v>
      </c>
      <c r="H623" s="4">
        <v>2633.8</v>
      </c>
      <c r="I623" s="103">
        <v>99</v>
      </c>
      <c r="J623" s="4">
        <f>'Форма 2'!I2295</f>
        <v>445112.2</v>
      </c>
      <c r="K623" s="4">
        <v>0</v>
      </c>
      <c r="L623" s="4">
        <v>0</v>
      </c>
      <c r="M623" s="4">
        <v>0</v>
      </c>
      <c r="N623" s="4">
        <f t="shared" si="83"/>
        <v>428723.22</v>
      </c>
      <c r="O623" s="4">
        <v>16388.98</v>
      </c>
      <c r="P623" s="4">
        <f t="shared" si="81"/>
        <v>169</v>
      </c>
      <c r="Q623" s="4">
        <f>'Форма 2'!K2295</f>
        <v>169</v>
      </c>
      <c r="R623" s="53" t="s">
        <v>161</v>
      </c>
      <c r="S623" s="5">
        <v>1</v>
      </c>
    </row>
    <row r="624" spans="1:21" x14ac:dyDescent="0.35">
      <c r="A624" s="20">
        <f t="shared" si="82"/>
        <v>182</v>
      </c>
      <c r="B624" s="101">
        <v>3183</v>
      </c>
      <c r="C624" s="102" t="s">
        <v>128</v>
      </c>
      <c r="D624" s="60">
        <v>1970</v>
      </c>
      <c r="E624" s="25" t="s">
        <v>74</v>
      </c>
      <c r="F624" s="25" t="s">
        <v>152</v>
      </c>
      <c r="G624" s="4">
        <v>6324.9</v>
      </c>
      <c r="H624" s="4">
        <v>5802.9</v>
      </c>
      <c r="I624" s="103">
        <v>219</v>
      </c>
      <c r="J624" s="4">
        <f>'Форма 2'!I2297</f>
        <v>695902.01</v>
      </c>
      <c r="K624" s="4">
        <v>0</v>
      </c>
      <c r="L624" s="4">
        <v>0</v>
      </c>
      <c r="M624" s="4">
        <v>0</v>
      </c>
      <c r="N624" s="4">
        <f t="shared" si="83"/>
        <v>659793.12</v>
      </c>
      <c r="O624" s="4">
        <v>36108.89</v>
      </c>
      <c r="P624" s="4">
        <f t="shared" si="81"/>
        <v>119.92</v>
      </c>
      <c r="Q624" s="4">
        <f>'Форма 2'!K2297</f>
        <v>169</v>
      </c>
      <c r="R624" s="53" t="s">
        <v>161</v>
      </c>
      <c r="S624" s="5">
        <v>1</v>
      </c>
    </row>
    <row r="625" spans="1:19" x14ac:dyDescent="0.35">
      <c r="A625" s="20">
        <f t="shared" si="82"/>
        <v>183</v>
      </c>
      <c r="B625" s="101">
        <v>3186</v>
      </c>
      <c r="C625" s="102" t="s">
        <v>129</v>
      </c>
      <c r="D625" s="60">
        <v>1970</v>
      </c>
      <c r="E625" s="25" t="s">
        <v>74</v>
      </c>
      <c r="F625" s="25" t="s">
        <v>152</v>
      </c>
      <c r="G625" s="4">
        <v>3116.9</v>
      </c>
      <c r="H625" s="4">
        <v>2902.9</v>
      </c>
      <c r="I625" s="103">
        <v>110</v>
      </c>
      <c r="J625" s="4">
        <f>'Форма 2'!I2299</f>
        <v>476075.6</v>
      </c>
      <c r="K625" s="4">
        <v>0</v>
      </c>
      <c r="L625" s="4">
        <v>0</v>
      </c>
      <c r="M625" s="4">
        <v>0</v>
      </c>
      <c r="N625" s="4">
        <f>J625-K625-L625-M625-O625</f>
        <v>458012.13</v>
      </c>
      <c r="O625" s="4">
        <v>18063.47</v>
      </c>
      <c r="P625" s="4">
        <f t="shared" si="81"/>
        <v>164</v>
      </c>
      <c r="Q625" s="4">
        <f>'Форма 2'!K2299</f>
        <v>169</v>
      </c>
      <c r="R625" s="53" t="s">
        <v>161</v>
      </c>
      <c r="S625" s="5">
        <v>1</v>
      </c>
    </row>
    <row r="626" spans="1:19" x14ac:dyDescent="0.35">
      <c r="A626" s="20">
        <f t="shared" si="82"/>
        <v>184</v>
      </c>
      <c r="B626" s="101">
        <v>3190</v>
      </c>
      <c r="C626" s="102" t="s">
        <v>130</v>
      </c>
      <c r="D626" s="60">
        <v>1969</v>
      </c>
      <c r="E626" s="25" t="s">
        <v>74</v>
      </c>
      <c r="F626" s="25" t="s">
        <v>152</v>
      </c>
      <c r="G626" s="4">
        <v>3125.2</v>
      </c>
      <c r="H626" s="4">
        <v>2911</v>
      </c>
      <c r="I626" s="103">
        <v>110</v>
      </c>
      <c r="J626" s="4">
        <f>'Форма 2'!I2301</f>
        <v>491959</v>
      </c>
      <c r="K626" s="4">
        <v>0</v>
      </c>
      <c r="L626" s="4">
        <v>0</v>
      </c>
      <c r="M626" s="4">
        <v>0</v>
      </c>
      <c r="N626" s="4">
        <f t="shared" si="83"/>
        <v>473845.13</v>
      </c>
      <c r="O626" s="4">
        <v>18113.87</v>
      </c>
      <c r="P626" s="4">
        <f t="shared" si="81"/>
        <v>169</v>
      </c>
      <c r="Q626" s="4">
        <f>'Форма 2'!K2301</f>
        <v>169</v>
      </c>
      <c r="R626" s="53" t="s">
        <v>161</v>
      </c>
      <c r="S626" s="5">
        <v>1</v>
      </c>
    </row>
    <row r="627" spans="1:19" x14ac:dyDescent="0.35">
      <c r="A627" s="20">
        <f t="shared" si="82"/>
        <v>185</v>
      </c>
      <c r="B627" s="20">
        <v>3138</v>
      </c>
      <c r="C627" s="61" t="s">
        <v>383</v>
      </c>
      <c r="D627" s="60">
        <v>1971</v>
      </c>
      <c r="E627" s="60" t="s">
        <v>74</v>
      </c>
      <c r="F627" s="60" t="s">
        <v>481</v>
      </c>
      <c r="G627" s="4">
        <v>3540</v>
      </c>
      <c r="H627" s="4">
        <v>3244</v>
      </c>
      <c r="I627" s="19">
        <v>174</v>
      </c>
      <c r="J627" s="4">
        <f>'Форма 2'!I2303</f>
        <v>6485096.6200000001</v>
      </c>
      <c r="K627" s="4">
        <v>0</v>
      </c>
      <c r="L627" s="4">
        <v>0</v>
      </c>
      <c r="M627" s="4">
        <v>0</v>
      </c>
      <c r="N627" s="4">
        <f t="shared" si="83"/>
        <v>6238999.9400000004</v>
      </c>
      <c r="O627" s="4">
        <v>246096.68</v>
      </c>
      <c r="P627" s="4">
        <f t="shared" si="81"/>
        <v>1999.11</v>
      </c>
      <c r="Q627" s="4">
        <f>'Форма 2'!K2303</f>
        <v>3242</v>
      </c>
      <c r="R627" s="53" t="s">
        <v>161</v>
      </c>
      <c r="S627" s="5">
        <v>1</v>
      </c>
    </row>
    <row r="628" spans="1:19" x14ac:dyDescent="0.35">
      <c r="A628" s="20">
        <f t="shared" si="82"/>
        <v>186</v>
      </c>
      <c r="B628" s="20">
        <v>3139</v>
      </c>
      <c r="C628" s="61" t="s">
        <v>384</v>
      </c>
      <c r="D628" s="60">
        <v>1970</v>
      </c>
      <c r="E628" s="60" t="s">
        <v>74</v>
      </c>
      <c r="F628" s="60" t="s">
        <v>481</v>
      </c>
      <c r="G628" s="4">
        <v>3566</v>
      </c>
      <c r="H628" s="4">
        <v>3270</v>
      </c>
      <c r="I628" s="19">
        <v>191</v>
      </c>
      <c r="J628" s="4">
        <f>'Форма 2'!I2306</f>
        <v>6473622.2699999996</v>
      </c>
      <c r="K628" s="4">
        <v>0</v>
      </c>
      <c r="L628" s="4">
        <v>0</v>
      </c>
      <c r="M628" s="4">
        <v>0</v>
      </c>
      <c r="N628" s="4">
        <f t="shared" si="83"/>
        <v>6225553.1699999999</v>
      </c>
      <c r="O628" s="4">
        <v>248069.1</v>
      </c>
      <c r="P628" s="4">
        <f t="shared" si="81"/>
        <v>1979.7</v>
      </c>
      <c r="Q628" s="4">
        <f>'Форма 2'!K2306</f>
        <v>3242</v>
      </c>
      <c r="R628" s="53" t="s">
        <v>161</v>
      </c>
      <c r="S628" s="5">
        <v>1</v>
      </c>
    </row>
    <row r="629" spans="1:19" x14ac:dyDescent="0.35">
      <c r="A629" s="20">
        <f t="shared" si="82"/>
        <v>187</v>
      </c>
      <c r="B629" s="20">
        <v>3140</v>
      </c>
      <c r="C629" s="61" t="s">
        <v>385</v>
      </c>
      <c r="D629" s="60">
        <v>1970</v>
      </c>
      <c r="E629" s="60" t="s">
        <v>74</v>
      </c>
      <c r="F629" s="60" t="s">
        <v>481</v>
      </c>
      <c r="G629" s="4">
        <v>3562</v>
      </c>
      <c r="H629" s="4">
        <v>3278</v>
      </c>
      <c r="I629" s="19">
        <v>153</v>
      </c>
      <c r="J629" s="4">
        <f>'Форма 2'!I2309</f>
        <v>6553066.1900000004</v>
      </c>
      <c r="K629" s="4">
        <v>0</v>
      </c>
      <c r="L629" s="4">
        <v>0</v>
      </c>
      <c r="M629" s="4">
        <v>0</v>
      </c>
      <c r="N629" s="4">
        <f t="shared" si="83"/>
        <v>6304390.1900000004</v>
      </c>
      <c r="O629" s="4">
        <v>248676</v>
      </c>
      <c r="P629" s="4">
        <f t="shared" si="81"/>
        <v>1999.11</v>
      </c>
      <c r="Q629" s="4">
        <f>'Форма 2'!K2309</f>
        <v>3242</v>
      </c>
      <c r="R629" s="53" t="s">
        <v>161</v>
      </c>
      <c r="S629" s="5">
        <v>1</v>
      </c>
    </row>
    <row r="630" spans="1:19" x14ac:dyDescent="0.35">
      <c r="A630" s="20">
        <f t="shared" si="82"/>
        <v>188</v>
      </c>
      <c r="B630" s="20">
        <v>3192</v>
      </c>
      <c r="C630" s="61" t="s">
        <v>386</v>
      </c>
      <c r="D630" s="60">
        <v>1971</v>
      </c>
      <c r="E630" s="60" t="s">
        <v>74</v>
      </c>
      <c r="F630" s="60" t="s">
        <v>481</v>
      </c>
      <c r="G630" s="4">
        <v>6233</v>
      </c>
      <c r="H630" s="4">
        <v>5806.9</v>
      </c>
      <c r="I630" s="19">
        <v>295</v>
      </c>
      <c r="J630" s="4">
        <f>'Форма 2'!I2312</f>
        <v>10225229.08</v>
      </c>
      <c r="K630" s="4">
        <v>0</v>
      </c>
      <c r="L630" s="4">
        <v>0</v>
      </c>
      <c r="M630" s="4">
        <v>0</v>
      </c>
      <c r="N630" s="4">
        <f t="shared" si="83"/>
        <v>9784705.4000000004</v>
      </c>
      <c r="O630" s="4">
        <v>440523.68</v>
      </c>
      <c r="P630" s="4">
        <f t="shared" ref="P630:P693" si="84">J630/H630</f>
        <v>1760.88</v>
      </c>
      <c r="Q630" s="4">
        <f>'Форма 2'!K2312</f>
        <v>3242</v>
      </c>
      <c r="R630" s="53" t="s">
        <v>161</v>
      </c>
      <c r="S630" s="5">
        <v>1</v>
      </c>
    </row>
    <row r="631" spans="1:19" x14ac:dyDescent="0.35">
      <c r="A631" s="20">
        <f t="shared" ref="A631:A650" si="85">A630+1</f>
        <v>189</v>
      </c>
      <c r="B631" s="101">
        <v>3141</v>
      </c>
      <c r="C631" s="102" t="s">
        <v>738</v>
      </c>
      <c r="D631" s="60">
        <v>1994</v>
      </c>
      <c r="E631" s="25" t="s">
        <v>74</v>
      </c>
      <c r="F631" s="25" t="s">
        <v>152</v>
      </c>
      <c r="G631" s="4">
        <f>4456.2+4522.4+(1071.5+698.3+742)</f>
        <v>11490.4</v>
      </c>
      <c r="H631" s="4">
        <f>4456.2+4522.4</f>
        <v>8978.6</v>
      </c>
      <c r="I631" s="103">
        <v>142</v>
      </c>
      <c r="J631" s="4">
        <f>'Форма 2'!I2315</f>
        <v>825217.71</v>
      </c>
      <c r="K631" s="4">
        <v>0</v>
      </c>
      <c r="L631" s="4">
        <v>0</v>
      </c>
      <c r="M631" s="4">
        <v>0</v>
      </c>
      <c r="N631" s="4">
        <f t="shared" si="83"/>
        <v>801858.22</v>
      </c>
      <c r="O631" s="4">
        <v>23359.49</v>
      </c>
      <c r="P631" s="4">
        <f t="shared" si="84"/>
        <v>91.91</v>
      </c>
      <c r="Q631" s="4">
        <f>'Форма 2'!K2315</f>
        <v>164</v>
      </c>
      <c r="R631" s="53" t="s">
        <v>161</v>
      </c>
      <c r="S631" s="5">
        <v>1</v>
      </c>
    </row>
    <row r="632" spans="1:19" x14ac:dyDescent="0.35">
      <c r="A632" s="20">
        <f t="shared" si="85"/>
        <v>190</v>
      </c>
      <c r="B632" s="101">
        <v>3376</v>
      </c>
      <c r="C632" s="102" t="s">
        <v>131</v>
      </c>
      <c r="D632" s="60">
        <v>1964</v>
      </c>
      <c r="E632" s="60" t="s">
        <v>74</v>
      </c>
      <c r="F632" s="60" t="s">
        <v>152</v>
      </c>
      <c r="G632" s="4">
        <v>2702.4</v>
      </c>
      <c r="H632" s="4">
        <v>2525.6</v>
      </c>
      <c r="I632" s="103">
        <v>95</v>
      </c>
      <c r="J632" s="4">
        <f>'Форма 2'!I2317</f>
        <v>388955.03</v>
      </c>
      <c r="K632" s="4">
        <v>0</v>
      </c>
      <c r="L632" s="4">
        <v>0</v>
      </c>
      <c r="M632" s="4">
        <v>0</v>
      </c>
      <c r="N632" s="4">
        <f t="shared" ref="N632:N649" si="86">J632-K632-L632-M632-O632</f>
        <v>373239.33</v>
      </c>
      <c r="O632" s="4">
        <v>15715.7</v>
      </c>
      <c r="P632" s="4">
        <f t="shared" si="84"/>
        <v>154.01</v>
      </c>
      <c r="Q632" s="4">
        <f>'Форма 2'!K2317</f>
        <v>239</v>
      </c>
      <c r="R632" s="53" t="s">
        <v>161</v>
      </c>
      <c r="S632" s="5">
        <v>1</v>
      </c>
    </row>
    <row r="633" spans="1:19" x14ac:dyDescent="0.35">
      <c r="A633" s="20">
        <f t="shared" si="85"/>
        <v>191</v>
      </c>
      <c r="B633" s="101">
        <v>3378</v>
      </c>
      <c r="C633" s="102" t="s">
        <v>577</v>
      </c>
      <c r="D633" s="60">
        <v>1973</v>
      </c>
      <c r="E633" s="60" t="s">
        <v>74</v>
      </c>
      <c r="F633" s="60" t="s">
        <v>152</v>
      </c>
      <c r="G633" s="4">
        <v>4538.3999999999996</v>
      </c>
      <c r="H633" s="4">
        <v>3969.6</v>
      </c>
      <c r="I633" s="103">
        <v>150</v>
      </c>
      <c r="J633" s="4">
        <f>'Форма 2'!I2319</f>
        <v>289372.81</v>
      </c>
      <c r="K633" s="4">
        <v>0</v>
      </c>
      <c r="L633" s="4">
        <v>0</v>
      </c>
      <c r="M633" s="4">
        <v>0</v>
      </c>
      <c r="N633" s="4">
        <f t="shared" si="86"/>
        <v>264671.74</v>
      </c>
      <c r="O633" s="4">
        <v>24701.07</v>
      </c>
      <c r="P633" s="4">
        <f t="shared" si="84"/>
        <v>72.900000000000006</v>
      </c>
      <c r="Q633" s="4">
        <f>'Форма 2'!K2319</f>
        <v>169</v>
      </c>
      <c r="R633" s="53" t="s">
        <v>161</v>
      </c>
      <c r="S633" s="5">
        <v>1</v>
      </c>
    </row>
    <row r="634" spans="1:19" x14ac:dyDescent="0.35">
      <c r="A634" s="20">
        <f t="shared" si="85"/>
        <v>192</v>
      </c>
      <c r="B634" s="101">
        <v>3381</v>
      </c>
      <c r="C634" s="102" t="s">
        <v>578</v>
      </c>
      <c r="D634" s="60">
        <v>1979</v>
      </c>
      <c r="E634" s="25" t="s">
        <v>74</v>
      </c>
      <c r="F634" s="25" t="s">
        <v>152</v>
      </c>
      <c r="G634" s="4">
        <v>1603.3</v>
      </c>
      <c r="H634" s="4">
        <v>1492.8</v>
      </c>
      <c r="I634" s="103">
        <v>56</v>
      </c>
      <c r="J634" s="4">
        <f>'Форма 2'!I2321</f>
        <v>252283.19</v>
      </c>
      <c r="K634" s="4">
        <v>0</v>
      </c>
      <c r="L634" s="4">
        <v>0</v>
      </c>
      <c r="M634" s="4">
        <v>0</v>
      </c>
      <c r="N634" s="4">
        <f t="shared" si="86"/>
        <v>242994.15</v>
      </c>
      <c r="O634" s="4">
        <v>9289.0400000000009</v>
      </c>
      <c r="P634" s="4">
        <f t="shared" si="84"/>
        <v>169</v>
      </c>
      <c r="Q634" s="4">
        <f>'Форма 2'!K2321</f>
        <v>169</v>
      </c>
      <c r="R634" s="53" t="s">
        <v>161</v>
      </c>
      <c r="S634" s="5">
        <v>1</v>
      </c>
    </row>
    <row r="635" spans="1:19" ht="31" x14ac:dyDescent="0.35">
      <c r="A635" s="20">
        <f t="shared" si="85"/>
        <v>193</v>
      </c>
      <c r="B635" s="101">
        <v>3383</v>
      </c>
      <c r="C635" s="102" t="s">
        <v>739</v>
      </c>
      <c r="D635" s="25" t="s">
        <v>755</v>
      </c>
      <c r="E635" s="25" t="s">
        <v>74</v>
      </c>
      <c r="F635" s="25" t="s">
        <v>152</v>
      </c>
      <c r="G635" s="4">
        <v>5463</v>
      </c>
      <c r="H635" s="4">
        <v>5213</v>
      </c>
      <c r="I635" s="103">
        <v>197</v>
      </c>
      <c r="J635" s="4">
        <f>'Форма 2'!I2323</f>
        <v>476043.46</v>
      </c>
      <c r="K635" s="4">
        <v>0</v>
      </c>
      <c r="L635" s="4">
        <v>0</v>
      </c>
      <c r="M635" s="4">
        <v>0</v>
      </c>
      <c r="N635" s="4">
        <f t="shared" si="86"/>
        <v>443605.26</v>
      </c>
      <c r="O635" s="4">
        <v>32438.2</v>
      </c>
      <c r="P635" s="4">
        <f t="shared" si="84"/>
        <v>91.32</v>
      </c>
      <c r="Q635" s="4">
        <f>'Форма 2'!K2323</f>
        <v>169</v>
      </c>
      <c r="R635" s="53" t="s">
        <v>161</v>
      </c>
      <c r="S635" s="5">
        <v>1</v>
      </c>
    </row>
    <row r="636" spans="1:19" x14ac:dyDescent="0.35">
      <c r="A636" s="20">
        <f t="shared" si="85"/>
        <v>194</v>
      </c>
      <c r="B636" s="101">
        <v>3388</v>
      </c>
      <c r="C636" s="102" t="s">
        <v>740</v>
      </c>
      <c r="D636" s="60">
        <v>1994</v>
      </c>
      <c r="E636" s="25" t="s">
        <v>308</v>
      </c>
      <c r="F636" s="25" t="s">
        <v>152</v>
      </c>
      <c r="G636" s="4">
        <v>2856.5</v>
      </c>
      <c r="H636" s="4">
        <v>2537.1999999999998</v>
      </c>
      <c r="I636" s="103">
        <v>96</v>
      </c>
      <c r="J636" s="4">
        <f>'Форма 2'!I2325</f>
        <v>1073235.6000000001</v>
      </c>
      <c r="K636" s="4">
        <v>0</v>
      </c>
      <c r="L636" s="4">
        <v>0</v>
      </c>
      <c r="M636" s="4">
        <v>0</v>
      </c>
      <c r="N636" s="4">
        <f t="shared" si="86"/>
        <v>1036942.73</v>
      </c>
      <c r="O636" s="4">
        <v>36292.870000000003</v>
      </c>
      <c r="P636" s="4">
        <f t="shared" si="84"/>
        <v>423</v>
      </c>
      <c r="Q636" s="4">
        <f>'Форма 2'!K2325</f>
        <v>423</v>
      </c>
      <c r="R636" s="53" t="s">
        <v>161</v>
      </c>
      <c r="S636" s="5">
        <v>1</v>
      </c>
    </row>
    <row r="637" spans="1:19" x14ac:dyDescent="0.35">
      <c r="A637" s="20">
        <f t="shared" si="85"/>
        <v>195</v>
      </c>
      <c r="B637" s="20">
        <v>3389</v>
      </c>
      <c r="C637" s="61" t="s">
        <v>388</v>
      </c>
      <c r="D637" s="60">
        <v>1945</v>
      </c>
      <c r="E637" s="60" t="s">
        <v>483</v>
      </c>
      <c r="F637" s="60" t="s">
        <v>183</v>
      </c>
      <c r="G637" s="4">
        <v>1837.27</v>
      </c>
      <c r="H637" s="4">
        <v>1631.17</v>
      </c>
      <c r="I637" s="103">
        <v>62</v>
      </c>
      <c r="J637" s="4">
        <f>'Форма 2'!I2329</f>
        <v>4917977.54</v>
      </c>
      <c r="K637" s="4">
        <v>0</v>
      </c>
      <c r="L637" s="4">
        <v>0</v>
      </c>
      <c r="M637" s="4">
        <v>0</v>
      </c>
      <c r="N637" s="4">
        <f t="shared" si="86"/>
        <v>4733296.09</v>
      </c>
      <c r="O637" s="4">
        <v>184681.45</v>
      </c>
      <c r="P637" s="4">
        <f t="shared" si="84"/>
        <v>3015</v>
      </c>
      <c r="Q637" s="4">
        <f>'Форма 2'!K2329</f>
        <v>3015</v>
      </c>
      <c r="R637" s="53" t="s">
        <v>161</v>
      </c>
      <c r="S637" s="5">
        <v>1</v>
      </c>
    </row>
    <row r="638" spans="1:19" x14ac:dyDescent="0.35">
      <c r="A638" s="20">
        <f t="shared" si="85"/>
        <v>196</v>
      </c>
      <c r="B638" s="101">
        <v>3398</v>
      </c>
      <c r="C638" s="102" t="s">
        <v>579</v>
      </c>
      <c r="D638" s="60">
        <v>1977</v>
      </c>
      <c r="E638" s="60" t="s">
        <v>74</v>
      </c>
      <c r="F638" s="60" t="s">
        <v>152</v>
      </c>
      <c r="G638" s="4">
        <f>4313.4+610.3</f>
        <v>4923.7</v>
      </c>
      <c r="H638" s="4">
        <v>2693</v>
      </c>
      <c r="I638" s="103">
        <v>102</v>
      </c>
      <c r="J638" s="4">
        <f>'Форма 2'!I2333</f>
        <v>298384.63</v>
      </c>
      <c r="K638" s="4">
        <v>0</v>
      </c>
      <c r="L638" s="4">
        <v>0</v>
      </c>
      <c r="M638" s="4">
        <v>0</v>
      </c>
      <c r="N638" s="4">
        <f t="shared" si="86"/>
        <v>281596.96999999997</v>
      </c>
      <c r="O638" s="4">
        <v>16787.66</v>
      </c>
      <c r="P638" s="4">
        <f t="shared" si="84"/>
        <v>110.8</v>
      </c>
      <c r="Q638" s="4">
        <f>'Форма 2'!K2333</f>
        <v>169</v>
      </c>
      <c r="R638" s="53" t="s">
        <v>161</v>
      </c>
      <c r="S638" s="5">
        <v>1</v>
      </c>
    </row>
    <row r="639" spans="1:19" x14ac:dyDescent="0.35">
      <c r="A639" s="20">
        <f t="shared" si="85"/>
        <v>197</v>
      </c>
      <c r="B639" s="101">
        <v>3406</v>
      </c>
      <c r="C639" s="102" t="s">
        <v>132</v>
      </c>
      <c r="D639" s="60">
        <v>1956</v>
      </c>
      <c r="E639" s="60" t="s">
        <v>580</v>
      </c>
      <c r="F639" s="60" t="s">
        <v>152</v>
      </c>
      <c r="G639" s="4">
        <v>1344.96</v>
      </c>
      <c r="H639" s="4">
        <v>1229.96</v>
      </c>
      <c r="I639" s="103">
        <v>46</v>
      </c>
      <c r="J639" s="4">
        <f>'Форма 2'!I2335</f>
        <v>549336.54</v>
      </c>
      <c r="K639" s="4">
        <v>0</v>
      </c>
      <c r="L639" s="4">
        <v>0</v>
      </c>
      <c r="M639" s="4">
        <v>0</v>
      </c>
      <c r="N639" s="4">
        <f t="shared" si="86"/>
        <v>531089.48</v>
      </c>
      <c r="O639" s="4">
        <v>18247.060000000001</v>
      </c>
      <c r="P639" s="4">
        <f t="shared" si="84"/>
        <v>446.63</v>
      </c>
      <c r="Q639" s="4">
        <f>'Форма 2'!K2335</f>
        <v>501</v>
      </c>
      <c r="R639" s="53" t="s">
        <v>161</v>
      </c>
      <c r="S639" s="5">
        <v>1</v>
      </c>
    </row>
    <row r="640" spans="1:19" x14ac:dyDescent="0.35">
      <c r="A640" s="20">
        <f t="shared" si="85"/>
        <v>198</v>
      </c>
      <c r="B640" s="101">
        <v>3408</v>
      </c>
      <c r="C640" s="102" t="s">
        <v>133</v>
      </c>
      <c r="D640" s="60">
        <v>1959</v>
      </c>
      <c r="E640" s="25" t="s">
        <v>74</v>
      </c>
      <c r="F640" s="25" t="s">
        <v>152</v>
      </c>
      <c r="G640" s="4">
        <v>3389.51</v>
      </c>
      <c r="H640" s="4">
        <v>3143.51</v>
      </c>
      <c r="I640" s="103">
        <v>119</v>
      </c>
      <c r="J640" s="4">
        <f>'Форма 2'!I2339</f>
        <v>282137.65999999997</v>
      </c>
      <c r="K640" s="4">
        <v>0</v>
      </c>
      <c r="L640" s="4">
        <v>0</v>
      </c>
      <c r="M640" s="4">
        <v>0</v>
      </c>
      <c r="N640" s="4">
        <f t="shared" si="86"/>
        <v>262576.98</v>
      </c>
      <c r="O640" s="4">
        <v>19560.68</v>
      </c>
      <c r="P640" s="4">
        <f t="shared" si="84"/>
        <v>89.75</v>
      </c>
      <c r="Q640" s="4">
        <f>'Форма 2'!K2339</f>
        <v>169</v>
      </c>
      <c r="R640" s="53" t="s">
        <v>161</v>
      </c>
      <c r="S640" s="5">
        <v>1</v>
      </c>
    </row>
    <row r="641" spans="1:19" x14ac:dyDescent="0.35">
      <c r="A641" s="20">
        <f t="shared" si="85"/>
        <v>199</v>
      </c>
      <c r="B641" s="101">
        <v>4365</v>
      </c>
      <c r="C641" s="102" t="s">
        <v>389</v>
      </c>
      <c r="D641" s="60">
        <v>1904</v>
      </c>
      <c r="E641" s="60" t="s">
        <v>74</v>
      </c>
      <c r="F641" s="60" t="s">
        <v>183</v>
      </c>
      <c r="G641" s="4">
        <v>1569</v>
      </c>
      <c r="H641" s="4">
        <v>1319.4</v>
      </c>
      <c r="I641" s="103">
        <v>51</v>
      </c>
      <c r="J641" s="4">
        <f>'Форма 2'!I2341</f>
        <v>8471867.4000000004</v>
      </c>
      <c r="K641" s="4">
        <v>0</v>
      </c>
      <c r="L641" s="4">
        <v>0</v>
      </c>
      <c r="M641" s="4">
        <v>0</v>
      </c>
      <c r="N641" s="4">
        <f t="shared" si="86"/>
        <v>8179509.6900000004</v>
      </c>
      <c r="O641" s="4">
        <v>292357.71000000002</v>
      </c>
      <c r="P641" s="4">
        <f t="shared" si="84"/>
        <v>6421</v>
      </c>
      <c r="Q641" s="4">
        <f>'Форма 2'!K2341</f>
        <v>6421</v>
      </c>
      <c r="R641" s="53" t="s">
        <v>161</v>
      </c>
      <c r="S641" s="5">
        <v>1</v>
      </c>
    </row>
    <row r="642" spans="1:19" x14ac:dyDescent="0.35">
      <c r="A642" s="20">
        <f t="shared" si="85"/>
        <v>200</v>
      </c>
      <c r="B642" s="101">
        <v>4366</v>
      </c>
      <c r="C642" s="102" t="s">
        <v>390</v>
      </c>
      <c r="D642" s="60">
        <v>1917</v>
      </c>
      <c r="E642" s="60" t="s">
        <v>74</v>
      </c>
      <c r="F642" s="60" t="s">
        <v>183</v>
      </c>
      <c r="G642" s="4">
        <v>2131.7600000000002</v>
      </c>
      <c r="H642" s="4">
        <v>1864.76</v>
      </c>
      <c r="I642" s="103">
        <v>80</v>
      </c>
      <c r="J642" s="4">
        <f>'Форма 2'!I2346</f>
        <v>6514445.7999999998</v>
      </c>
      <c r="K642" s="4">
        <v>0</v>
      </c>
      <c r="L642" s="4">
        <v>0</v>
      </c>
      <c r="M642" s="4">
        <v>0</v>
      </c>
      <c r="N642" s="4">
        <f t="shared" si="86"/>
        <v>6118013.7199999997</v>
      </c>
      <c r="O642" s="4">
        <v>396432.08</v>
      </c>
      <c r="P642" s="4">
        <f t="shared" si="84"/>
        <v>3493.45</v>
      </c>
      <c r="Q642" s="4">
        <f>'Форма 2'!K2346</f>
        <v>6165</v>
      </c>
      <c r="R642" s="53" t="s">
        <v>161</v>
      </c>
      <c r="S642" s="5">
        <v>1</v>
      </c>
    </row>
    <row r="643" spans="1:19" x14ac:dyDescent="0.35">
      <c r="A643" s="20">
        <f t="shared" si="85"/>
        <v>201</v>
      </c>
      <c r="B643" s="101">
        <v>4367</v>
      </c>
      <c r="C643" s="102" t="s">
        <v>391</v>
      </c>
      <c r="D643" s="60">
        <v>1917</v>
      </c>
      <c r="E643" s="60" t="s">
        <v>74</v>
      </c>
      <c r="F643" s="60" t="s">
        <v>183</v>
      </c>
      <c r="G643" s="4">
        <v>836.8</v>
      </c>
      <c r="H643" s="4">
        <v>723.7</v>
      </c>
      <c r="I643" s="103">
        <v>33</v>
      </c>
      <c r="J643" s="4">
        <f>'Форма 2'!I2350</f>
        <v>4217266.12</v>
      </c>
      <c r="K643" s="4">
        <v>0</v>
      </c>
      <c r="L643" s="4">
        <v>0</v>
      </c>
      <c r="M643" s="4">
        <v>0</v>
      </c>
      <c r="N643" s="4">
        <f t="shared" si="86"/>
        <v>4056905.9</v>
      </c>
      <c r="O643" s="4">
        <v>160360.22</v>
      </c>
      <c r="P643" s="4">
        <f t="shared" si="84"/>
        <v>5827.37</v>
      </c>
      <c r="Q643" s="4">
        <f>'Форма 2'!K2350</f>
        <v>6421</v>
      </c>
      <c r="R643" s="53" t="s">
        <v>161</v>
      </c>
      <c r="S643" s="5">
        <v>1</v>
      </c>
    </row>
    <row r="644" spans="1:19" x14ac:dyDescent="0.35">
      <c r="A644" s="20">
        <f t="shared" si="85"/>
        <v>202</v>
      </c>
      <c r="B644" s="101">
        <v>3416</v>
      </c>
      <c r="C644" s="102" t="s">
        <v>134</v>
      </c>
      <c r="D644" s="60">
        <v>1917</v>
      </c>
      <c r="E644" s="25" t="s">
        <v>434</v>
      </c>
      <c r="F644" s="25" t="s">
        <v>152</v>
      </c>
      <c r="G644" s="4">
        <v>941</v>
      </c>
      <c r="H644" s="4">
        <v>887</v>
      </c>
      <c r="I644" s="103">
        <v>34</v>
      </c>
      <c r="J644" s="4">
        <f>'Форма 2'!I2355</f>
        <v>60316</v>
      </c>
      <c r="K644" s="4">
        <v>0</v>
      </c>
      <c r="L644" s="4">
        <v>0</v>
      </c>
      <c r="M644" s="4">
        <v>0</v>
      </c>
      <c r="N644" s="4">
        <f t="shared" si="86"/>
        <v>58263.05</v>
      </c>
      <c r="O644" s="4">
        <v>2052.9499999999998</v>
      </c>
      <c r="P644" s="4">
        <f t="shared" si="84"/>
        <v>68</v>
      </c>
      <c r="Q644" s="4">
        <f>'Форма 2'!K2355</f>
        <v>68</v>
      </c>
      <c r="R644" s="53" t="s">
        <v>161</v>
      </c>
      <c r="S644" s="5">
        <v>1</v>
      </c>
    </row>
    <row r="645" spans="1:19" x14ac:dyDescent="0.35">
      <c r="A645" s="20">
        <f t="shared" si="85"/>
        <v>203</v>
      </c>
      <c r="B645" s="101">
        <v>3417</v>
      </c>
      <c r="C645" s="102" t="s">
        <v>135</v>
      </c>
      <c r="D645" s="60">
        <v>1917</v>
      </c>
      <c r="E645" s="25" t="s">
        <v>581</v>
      </c>
      <c r="F645" s="25" t="s">
        <v>152</v>
      </c>
      <c r="G645" s="4">
        <v>975.5</v>
      </c>
      <c r="H645" s="4">
        <v>921.5</v>
      </c>
      <c r="I645" s="103">
        <v>35</v>
      </c>
      <c r="J645" s="4">
        <f>'Форма 2'!I2358</f>
        <v>788804</v>
      </c>
      <c r="K645" s="4">
        <v>0</v>
      </c>
      <c r="L645" s="4">
        <v>0</v>
      </c>
      <c r="M645" s="4">
        <v>0</v>
      </c>
      <c r="N645" s="4">
        <f t="shared" si="86"/>
        <v>775902.3</v>
      </c>
      <c r="O645" s="4">
        <v>12901.7</v>
      </c>
      <c r="P645" s="4">
        <f t="shared" si="84"/>
        <v>856</v>
      </c>
      <c r="Q645" s="4">
        <f>'Форма 2'!K2358</f>
        <v>856</v>
      </c>
      <c r="R645" s="53" t="s">
        <v>161</v>
      </c>
      <c r="S645" s="5">
        <v>1</v>
      </c>
    </row>
    <row r="646" spans="1:19" x14ac:dyDescent="0.35">
      <c r="A646" s="20">
        <f t="shared" si="85"/>
        <v>204</v>
      </c>
      <c r="B646" s="101">
        <v>8156</v>
      </c>
      <c r="C646" s="102" t="s">
        <v>741</v>
      </c>
      <c r="D646" s="60">
        <v>1983</v>
      </c>
      <c r="E646" s="25" t="s">
        <v>74</v>
      </c>
      <c r="F646" s="25" t="s">
        <v>152</v>
      </c>
      <c r="G646" s="4">
        <v>4327.3999999999996</v>
      </c>
      <c r="H646" s="4">
        <v>3902.7</v>
      </c>
      <c r="I646" s="103">
        <v>148</v>
      </c>
      <c r="J646" s="4">
        <f>'Форма 2'!I2363</f>
        <v>655653.6</v>
      </c>
      <c r="K646" s="4">
        <v>0</v>
      </c>
      <c r="L646" s="4">
        <v>0</v>
      </c>
      <c r="M646" s="4">
        <v>0</v>
      </c>
      <c r="N646" s="4">
        <f t="shared" si="86"/>
        <v>634034.22</v>
      </c>
      <c r="O646" s="4">
        <v>21619.38</v>
      </c>
      <c r="P646" s="4">
        <f t="shared" si="84"/>
        <v>168</v>
      </c>
      <c r="Q646" s="4">
        <f>'Форма 2'!K2363</f>
        <v>168</v>
      </c>
      <c r="R646" s="53" t="s">
        <v>161</v>
      </c>
      <c r="S646" s="5">
        <v>1</v>
      </c>
    </row>
    <row r="647" spans="1:19" x14ac:dyDescent="0.35">
      <c r="A647" s="20">
        <f t="shared" si="85"/>
        <v>205</v>
      </c>
      <c r="B647" s="101">
        <v>3147</v>
      </c>
      <c r="C647" s="102" t="s">
        <v>392</v>
      </c>
      <c r="D647" s="60">
        <v>1988</v>
      </c>
      <c r="E647" s="25" t="s">
        <v>74</v>
      </c>
      <c r="F647" s="25" t="s">
        <v>152</v>
      </c>
      <c r="G647" s="4">
        <v>8586</v>
      </c>
      <c r="H647" s="4">
        <v>7160</v>
      </c>
      <c r="I647" s="103">
        <v>270</v>
      </c>
      <c r="J647" s="4">
        <f>'Форма 2'!I2365</f>
        <v>1174240</v>
      </c>
      <c r="K647" s="4">
        <v>0</v>
      </c>
      <c r="L647" s="4">
        <v>0</v>
      </c>
      <c r="M647" s="4">
        <v>0</v>
      </c>
      <c r="N647" s="4">
        <f t="shared" si="86"/>
        <v>1129686.47</v>
      </c>
      <c r="O647" s="4">
        <v>44553.53</v>
      </c>
      <c r="P647" s="4">
        <f t="shared" si="84"/>
        <v>164</v>
      </c>
      <c r="Q647" s="4">
        <f>'Форма 2'!K2365</f>
        <v>164</v>
      </c>
      <c r="R647" s="53" t="s">
        <v>161</v>
      </c>
      <c r="S647" s="5">
        <v>1</v>
      </c>
    </row>
    <row r="648" spans="1:19" x14ac:dyDescent="0.35">
      <c r="A648" s="20">
        <f t="shared" si="85"/>
        <v>206</v>
      </c>
      <c r="B648" s="101">
        <v>4254</v>
      </c>
      <c r="C648" s="102" t="s">
        <v>742</v>
      </c>
      <c r="D648" s="60">
        <v>1991</v>
      </c>
      <c r="E648" s="25" t="s">
        <v>182</v>
      </c>
      <c r="F648" s="25" t="s">
        <v>152</v>
      </c>
      <c r="G648" s="4">
        <v>5601.2</v>
      </c>
      <c r="H648" s="4">
        <v>4859.2</v>
      </c>
      <c r="I648" s="103">
        <v>184</v>
      </c>
      <c r="J648" s="4">
        <f>'Форма 2'!I2367</f>
        <v>64562</v>
      </c>
      <c r="K648" s="4">
        <v>0</v>
      </c>
      <c r="L648" s="4">
        <v>0</v>
      </c>
      <c r="M648" s="4">
        <v>0</v>
      </c>
      <c r="N648" s="4">
        <f t="shared" si="86"/>
        <v>62696.75</v>
      </c>
      <c r="O648" s="4">
        <v>1865.25</v>
      </c>
      <c r="P648" s="4">
        <f t="shared" si="84"/>
        <v>13.29</v>
      </c>
      <c r="Q648" s="4">
        <f>'Форма 2'!K2367</f>
        <v>13.29</v>
      </c>
      <c r="R648" s="53" t="s">
        <v>161</v>
      </c>
      <c r="S648" s="5">
        <v>1</v>
      </c>
    </row>
    <row r="649" spans="1:19" x14ac:dyDescent="0.35">
      <c r="A649" s="20">
        <f t="shared" si="85"/>
        <v>207</v>
      </c>
      <c r="B649" s="101">
        <v>3438</v>
      </c>
      <c r="C649" s="102" t="s">
        <v>743</v>
      </c>
      <c r="D649" s="60">
        <v>1980</v>
      </c>
      <c r="E649" s="60" t="s">
        <v>74</v>
      </c>
      <c r="F649" s="60" t="s">
        <v>152</v>
      </c>
      <c r="G649" s="4">
        <v>11134.22</v>
      </c>
      <c r="H649" s="4">
        <v>10071.02</v>
      </c>
      <c r="I649" s="103">
        <v>380</v>
      </c>
      <c r="J649" s="4">
        <f>'Форма 2'!I2370</f>
        <v>1651647.28</v>
      </c>
      <c r="K649" s="4">
        <v>0</v>
      </c>
      <c r="L649" s="4">
        <v>0</v>
      </c>
      <c r="M649" s="4">
        <v>0</v>
      </c>
      <c r="N649" s="4">
        <f t="shared" si="86"/>
        <v>1588979.76</v>
      </c>
      <c r="O649" s="4">
        <v>62667.519999999997</v>
      </c>
      <c r="P649" s="4">
        <f t="shared" si="84"/>
        <v>164</v>
      </c>
      <c r="Q649" s="4">
        <f>'Форма 2'!K2370</f>
        <v>164</v>
      </c>
      <c r="R649" s="53" t="s">
        <v>161</v>
      </c>
      <c r="S649" s="5">
        <v>1</v>
      </c>
    </row>
    <row r="650" spans="1:19" x14ac:dyDescent="0.35">
      <c r="A650" s="20">
        <f t="shared" si="85"/>
        <v>208</v>
      </c>
      <c r="B650" s="20">
        <v>8032</v>
      </c>
      <c r="C650" s="61" t="s">
        <v>582</v>
      </c>
      <c r="D650" s="60">
        <v>1974</v>
      </c>
      <c r="E650" s="60" t="s">
        <v>182</v>
      </c>
      <c r="F650" s="60" t="s">
        <v>183</v>
      </c>
      <c r="G650" s="4">
        <v>2818.3</v>
      </c>
      <c r="H650" s="4">
        <v>2459.3000000000002</v>
      </c>
      <c r="I650" s="19">
        <v>84</v>
      </c>
      <c r="J650" s="4">
        <f>'Форма 2'!I2372</f>
        <v>1316474.8999999999</v>
      </c>
      <c r="K650" s="4">
        <v>0</v>
      </c>
      <c r="L650" s="4">
        <v>0</v>
      </c>
      <c r="M650" s="4">
        <v>0</v>
      </c>
      <c r="N650" s="4">
        <f>J650-K650-L650-M650-O650</f>
        <v>1249317.8500000001</v>
      </c>
      <c r="O650" s="4">
        <v>67157.05</v>
      </c>
      <c r="P650" s="4">
        <f t="shared" si="84"/>
        <v>535.29999999999995</v>
      </c>
      <c r="Q650" s="4">
        <f>'Форма 2'!K2372</f>
        <v>722.85</v>
      </c>
      <c r="R650" s="53" t="s">
        <v>161</v>
      </c>
      <c r="S650" s="5">
        <v>1</v>
      </c>
    </row>
    <row r="651" spans="1:19" x14ac:dyDescent="0.35">
      <c r="A651" s="236" t="s">
        <v>393</v>
      </c>
      <c r="B651" s="236"/>
      <c r="C651" s="236"/>
      <c r="D651" s="60" t="s">
        <v>13</v>
      </c>
      <c r="E651" s="60" t="s">
        <v>13</v>
      </c>
      <c r="F651" s="60" t="s">
        <v>13</v>
      </c>
      <c r="G651" s="4">
        <f t="shared" ref="G651:N651" si="87">SUM(G652:G697)</f>
        <v>205204.73</v>
      </c>
      <c r="H651" s="4">
        <f t="shared" si="87"/>
        <v>181247.81</v>
      </c>
      <c r="I651" s="19">
        <f t="shared" si="87"/>
        <v>7755</v>
      </c>
      <c r="J651" s="4">
        <f t="shared" si="87"/>
        <v>119148093.59999999</v>
      </c>
      <c r="K651" s="4">
        <f t="shared" si="87"/>
        <v>0</v>
      </c>
      <c r="L651" s="4">
        <f t="shared" si="87"/>
        <v>0</v>
      </c>
      <c r="M651" s="4">
        <f t="shared" si="87"/>
        <v>0</v>
      </c>
      <c r="N651" s="4">
        <f t="shared" si="87"/>
        <v>114236318.54000001</v>
      </c>
      <c r="O651" s="4">
        <f t="shared" ref="O651" si="88">SUM(O652:O697)</f>
        <v>4911775.0599999996</v>
      </c>
      <c r="P651" s="4" t="s">
        <v>13</v>
      </c>
      <c r="Q651" s="4" t="s">
        <v>13</v>
      </c>
      <c r="R651" s="53" t="s">
        <v>13</v>
      </c>
      <c r="S651" s="5" t="s">
        <v>13</v>
      </c>
    </row>
    <row r="652" spans="1:19" x14ac:dyDescent="0.35">
      <c r="A652" s="20">
        <f>A650+1</f>
        <v>209</v>
      </c>
      <c r="B652" s="101">
        <v>2427</v>
      </c>
      <c r="C652" s="102" t="s">
        <v>136</v>
      </c>
      <c r="D652" s="60">
        <v>1962</v>
      </c>
      <c r="E652" s="60" t="s">
        <v>74</v>
      </c>
      <c r="F652" s="60" t="s">
        <v>152</v>
      </c>
      <c r="G652" s="4">
        <v>4049.25</v>
      </c>
      <c r="H652" s="4">
        <v>3713.1</v>
      </c>
      <c r="I652" s="103">
        <v>140</v>
      </c>
      <c r="J652" s="4">
        <f>'Форма 2'!I2376</f>
        <v>210833.21</v>
      </c>
      <c r="K652" s="4">
        <v>0</v>
      </c>
      <c r="L652" s="4">
        <v>0</v>
      </c>
      <c r="M652" s="4">
        <v>0</v>
      </c>
      <c r="N652" s="4">
        <f>J652-K652-L652-M652-O652</f>
        <v>187728.22</v>
      </c>
      <c r="O652" s="4">
        <v>23104.99</v>
      </c>
      <c r="P652" s="4">
        <f t="shared" si="84"/>
        <v>56.78</v>
      </c>
      <c r="Q652" s="4">
        <f>'Форма 2'!K2376</f>
        <v>169</v>
      </c>
      <c r="R652" s="53" t="s">
        <v>161</v>
      </c>
      <c r="S652" s="5">
        <v>1</v>
      </c>
    </row>
    <row r="653" spans="1:19" x14ac:dyDescent="0.35">
      <c r="A653" s="20">
        <f>A652+1</f>
        <v>210</v>
      </c>
      <c r="B653" s="20">
        <v>2258</v>
      </c>
      <c r="C653" s="61" t="s">
        <v>394</v>
      </c>
      <c r="D653" s="60">
        <v>1968</v>
      </c>
      <c r="E653" s="60" t="s">
        <v>74</v>
      </c>
      <c r="F653" s="60" t="s">
        <v>481</v>
      </c>
      <c r="G653" s="4">
        <v>4958.3</v>
      </c>
      <c r="H653" s="4">
        <v>4516</v>
      </c>
      <c r="I653" s="19">
        <v>193</v>
      </c>
      <c r="J653" s="4">
        <f>'Форма 2'!I2378</f>
        <v>7341250.8899999997</v>
      </c>
      <c r="K653" s="4">
        <v>0</v>
      </c>
      <c r="L653" s="4">
        <v>0</v>
      </c>
      <c r="M653" s="4">
        <v>0</v>
      </c>
      <c r="N653" s="4">
        <f t="shared" ref="N653:N697" si="89">J653-K653-L653-M653-O653</f>
        <v>7062705.9400000004</v>
      </c>
      <c r="O653" s="4">
        <v>278544.95</v>
      </c>
      <c r="P653" s="4">
        <f t="shared" si="84"/>
        <v>1625.61</v>
      </c>
      <c r="Q653" s="4">
        <f>'Форма 2'!K2378</f>
        <v>3242</v>
      </c>
      <c r="R653" s="53" t="s">
        <v>161</v>
      </c>
      <c r="S653" s="5">
        <v>1</v>
      </c>
    </row>
    <row r="654" spans="1:19" x14ac:dyDescent="0.35">
      <c r="A654" s="20">
        <f t="shared" ref="A654:A697" si="90">A653+1</f>
        <v>211</v>
      </c>
      <c r="B654" s="101">
        <v>8169</v>
      </c>
      <c r="C654" s="102" t="s">
        <v>583</v>
      </c>
      <c r="D654" s="60">
        <v>1932</v>
      </c>
      <c r="E654" s="25" t="s">
        <v>74</v>
      </c>
      <c r="F654" s="25" t="s">
        <v>152</v>
      </c>
      <c r="G654" s="4">
        <v>4847.74</v>
      </c>
      <c r="H654" s="4">
        <v>3616.91</v>
      </c>
      <c r="I654" s="104">
        <v>87</v>
      </c>
      <c r="J654" s="4">
        <f>'Форма 2'!I2381</f>
        <v>519075.47</v>
      </c>
      <c r="K654" s="4">
        <v>0</v>
      </c>
      <c r="L654" s="4">
        <v>0</v>
      </c>
      <c r="M654" s="4">
        <v>0</v>
      </c>
      <c r="N654" s="4">
        <f>J654-K654-L654-M654-O654</f>
        <v>496569.03</v>
      </c>
      <c r="O654" s="4">
        <v>22506.44</v>
      </c>
      <c r="P654" s="4">
        <f t="shared" si="84"/>
        <v>143.51</v>
      </c>
      <c r="Q654" s="4">
        <f>'Форма 2'!K2381</f>
        <v>239</v>
      </c>
      <c r="R654" s="53" t="s">
        <v>161</v>
      </c>
      <c r="S654" s="5">
        <v>1</v>
      </c>
    </row>
    <row r="655" spans="1:19" x14ac:dyDescent="0.35">
      <c r="A655" s="20">
        <f t="shared" si="90"/>
        <v>212</v>
      </c>
      <c r="B655" s="20">
        <v>2345</v>
      </c>
      <c r="C655" s="61" t="s">
        <v>397</v>
      </c>
      <c r="D655" s="60">
        <v>1966</v>
      </c>
      <c r="E655" s="60" t="s">
        <v>74</v>
      </c>
      <c r="F655" s="60" t="s">
        <v>481</v>
      </c>
      <c r="G655" s="4">
        <v>3070.7</v>
      </c>
      <c r="H655" s="4">
        <v>2866.7</v>
      </c>
      <c r="I655" s="19">
        <v>128</v>
      </c>
      <c r="J655" s="4">
        <f>'Форма 2'!I2383</f>
        <v>6044549.9900000002</v>
      </c>
      <c r="K655" s="4">
        <v>0</v>
      </c>
      <c r="L655" s="4">
        <v>0</v>
      </c>
      <c r="M655" s="4">
        <v>0</v>
      </c>
      <c r="N655" s="4">
        <f t="shared" si="89"/>
        <v>5815205.0300000003</v>
      </c>
      <c r="O655" s="4">
        <v>229344.96</v>
      </c>
      <c r="P655" s="4">
        <f t="shared" si="84"/>
        <v>2108.54</v>
      </c>
      <c r="Q655" s="4">
        <f>'Форма 2'!K2383</f>
        <v>3449</v>
      </c>
      <c r="R655" s="53" t="s">
        <v>161</v>
      </c>
      <c r="S655" s="5">
        <v>1</v>
      </c>
    </row>
    <row r="656" spans="1:19" x14ac:dyDescent="0.35">
      <c r="A656" s="20">
        <f t="shared" si="90"/>
        <v>213</v>
      </c>
      <c r="B656" s="20">
        <v>2213</v>
      </c>
      <c r="C656" s="61" t="s">
        <v>398</v>
      </c>
      <c r="D656" s="60">
        <v>1967</v>
      </c>
      <c r="E656" s="60" t="s">
        <v>74</v>
      </c>
      <c r="F656" s="60" t="s">
        <v>481</v>
      </c>
      <c r="G656" s="4">
        <v>3514</v>
      </c>
      <c r="H656" s="4">
        <v>3314</v>
      </c>
      <c r="I656" s="19">
        <v>120</v>
      </c>
      <c r="J656" s="4">
        <f>'Форма 2'!I2386</f>
        <v>7809843.5499999998</v>
      </c>
      <c r="K656" s="4">
        <v>0</v>
      </c>
      <c r="L656" s="4">
        <v>0</v>
      </c>
      <c r="M656" s="4">
        <v>0</v>
      </c>
      <c r="N656" s="4">
        <f t="shared" si="89"/>
        <v>7513519.0499999998</v>
      </c>
      <c r="O656" s="4">
        <v>296324.5</v>
      </c>
      <c r="P656" s="4">
        <f t="shared" si="84"/>
        <v>2356.62</v>
      </c>
      <c r="Q656" s="4">
        <f>'Форма 2'!K2386</f>
        <v>3449</v>
      </c>
      <c r="R656" s="53" t="s">
        <v>161</v>
      </c>
      <c r="S656" s="5">
        <v>1</v>
      </c>
    </row>
    <row r="657" spans="1:21" x14ac:dyDescent="0.35">
      <c r="A657" s="20">
        <f t="shared" si="90"/>
        <v>214</v>
      </c>
      <c r="B657" s="20">
        <v>2215</v>
      </c>
      <c r="C657" s="61" t="s">
        <v>399</v>
      </c>
      <c r="D657" s="60">
        <v>1967</v>
      </c>
      <c r="E657" s="60" t="s">
        <v>74</v>
      </c>
      <c r="F657" s="60" t="s">
        <v>481</v>
      </c>
      <c r="G657" s="4">
        <v>3831.5</v>
      </c>
      <c r="H657" s="4">
        <v>3550.3</v>
      </c>
      <c r="I657" s="19">
        <v>178</v>
      </c>
      <c r="J657" s="4">
        <f>'Форма 2'!I2389</f>
        <v>6101584.9299999997</v>
      </c>
      <c r="K657" s="4">
        <v>0</v>
      </c>
      <c r="L657" s="4">
        <v>0</v>
      </c>
      <c r="M657" s="4">
        <v>0</v>
      </c>
      <c r="N657" s="4">
        <f t="shared" si="89"/>
        <v>5837529.4100000001</v>
      </c>
      <c r="O657" s="4">
        <v>264055.52</v>
      </c>
      <c r="P657" s="4">
        <f t="shared" si="84"/>
        <v>1718.61</v>
      </c>
      <c r="Q657" s="4">
        <f>'Форма 2'!K2389</f>
        <v>3242</v>
      </c>
      <c r="R657" s="53" t="s">
        <v>161</v>
      </c>
      <c r="S657" s="5">
        <v>1</v>
      </c>
    </row>
    <row r="658" spans="1:21" ht="46.5" x14ac:dyDescent="0.35">
      <c r="A658" s="20">
        <f t="shared" si="90"/>
        <v>215</v>
      </c>
      <c r="B658" s="20">
        <v>2475</v>
      </c>
      <c r="C658" s="61" t="s">
        <v>584</v>
      </c>
      <c r="D658" s="25" t="s">
        <v>585</v>
      </c>
      <c r="E658" s="60" t="s">
        <v>182</v>
      </c>
      <c r="F658" s="60" t="s">
        <v>183</v>
      </c>
      <c r="G658" s="4">
        <v>15875.19</v>
      </c>
      <c r="H658" s="4">
        <v>14771.39</v>
      </c>
      <c r="I658" s="19">
        <v>604</v>
      </c>
      <c r="J658" s="4">
        <f>'Форма 2'!I2392</f>
        <v>2636363.5</v>
      </c>
      <c r="K658" s="4">
        <v>0</v>
      </c>
      <c r="L658" s="4">
        <v>0</v>
      </c>
      <c r="M658" s="4">
        <v>0</v>
      </c>
      <c r="N658" s="4">
        <f>J658-K658-L658-M658-O658</f>
        <v>2502049.4</v>
      </c>
      <c r="O658" s="4">
        <v>134314.1</v>
      </c>
      <c r="P658" s="4">
        <f t="shared" si="84"/>
        <v>178.48</v>
      </c>
      <c r="Q658" s="4">
        <f>'Форма 2'!K2392</f>
        <v>240.69</v>
      </c>
      <c r="R658" s="53" t="s">
        <v>161</v>
      </c>
      <c r="S658" s="5">
        <v>1</v>
      </c>
    </row>
    <row r="659" spans="1:21" x14ac:dyDescent="0.35">
      <c r="A659" s="20">
        <f t="shared" si="90"/>
        <v>216</v>
      </c>
      <c r="B659" s="20">
        <v>2217</v>
      </c>
      <c r="C659" s="61" t="s">
        <v>400</v>
      </c>
      <c r="D659" s="60">
        <v>1967</v>
      </c>
      <c r="E659" s="60" t="s">
        <v>74</v>
      </c>
      <c r="F659" s="60" t="s">
        <v>481</v>
      </c>
      <c r="G659" s="4">
        <v>3843.4</v>
      </c>
      <c r="H659" s="4">
        <v>3563</v>
      </c>
      <c r="I659" s="19">
        <v>172</v>
      </c>
      <c r="J659" s="4">
        <f>'Форма 2'!I2399</f>
        <v>6151722.2300000004</v>
      </c>
      <c r="K659" s="4">
        <v>0</v>
      </c>
      <c r="L659" s="4">
        <v>0</v>
      </c>
      <c r="M659" s="4">
        <v>0</v>
      </c>
      <c r="N659" s="4">
        <f t="shared" si="89"/>
        <v>5887666.71</v>
      </c>
      <c r="O659" s="4">
        <v>264055.52</v>
      </c>
      <c r="P659" s="4">
        <f t="shared" si="84"/>
        <v>1726.56</v>
      </c>
      <c r="Q659" s="4">
        <f>'Форма 2'!K2399</f>
        <v>3242</v>
      </c>
      <c r="R659" s="53" t="s">
        <v>161</v>
      </c>
      <c r="S659" s="5">
        <v>1</v>
      </c>
    </row>
    <row r="660" spans="1:21" x14ac:dyDescent="0.35">
      <c r="A660" s="20">
        <f t="shared" si="90"/>
        <v>217</v>
      </c>
      <c r="B660" s="101">
        <v>2536</v>
      </c>
      <c r="C660" s="102" t="s">
        <v>137</v>
      </c>
      <c r="D660" s="60">
        <v>1962</v>
      </c>
      <c r="E660" s="25" t="s">
        <v>434</v>
      </c>
      <c r="F660" s="25" t="s">
        <v>152</v>
      </c>
      <c r="G660" s="4">
        <v>835.9</v>
      </c>
      <c r="H660" s="4">
        <v>775.9</v>
      </c>
      <c r="I660" s="103">
        <v>29</v>
      </c>
      <c r="J660" s="4">
        <f>'Форма 2'!I2402</f>
        <v>118882.38</v>
      </c>
      <c r="K660" s="4">
        <v>0</v>
      </c>
      <c r="L660" s="4">
        <v>0</v>
      </c>
      <c r="M660" s="4">
        <v>0</v>
      </c>
      <c r="N660" s="4">
        <f>J660-K660-L660-M660-O660</f>
        <v>112641.2</v>
      </c>
      <c r="O660" s="4">
        <v>6241.18</v>
      </c>
      <c r="P660" s="4">
        <f t="shared" si="84"/>
        <v>153.22</v>
      </c>
      <c r="Q660" s="4">
        <f>'Форма 2'!K2402</f>
        <v>223</v>
      </c>
      <c r="R660" s="53" t="s">
        <v>161</v>
      </c>
      <c r="S660" s="5">
        <v>1</v>
      </c>
    </row>
    <row r="661" spans="1:21" x14ac:dyDescent="0.35">
      <c r="A661" s="20">
        <f t="shared" si="90"/>
        <v>218</v>
      </c>
      <c r="B661" s="101">
        <v>2409</v>
      </c>
      <c r="C661" s="102" t="s">
        <v>138</v>
      </c>
      <c r="D661" s="60">
        <v>1964</v>
      </c>
      <c r="E661" s="25" t="s">
        <v>74</v>
      </c>
      <c r="F661" s="25" t="s">
        <v>152</v>
      </c>
      <c r="G661" s="4">
        <v>2579.3000000000002</v>
      </c>
      <c r="H661" s="4">
        <v>2414.56</v>
      </c>
      <c r="I661" s="103">
        <v>91</v>
      </c>
      <c r="J661" s="4">
        <f>'Форма 2'!I2404</f>
        <v>233842.02</v>
      </c>
      <c r="K661" s="4">
        <v>0</v>
      </c>
      <c r="L661" s="4">
        <v>0</v>
      </c>
      <c r="M661" s="4">
        <v>0</v>
      </c>
      <c r="N661" s="4">
        <f>J661-K661-L661-M661-O661</f>
        <v>218817.28</v>
      </c>
      <c r="O661" s="4">
        <v>15024.74</v>
      </c>
      <c r="P661" s="4">
        <f t="shared" si="84"/>
        <v>96.85</v>
      </c>
      <c r="Q661" s="4">
        <f>'Форма 2'!K2404</f>
        <v>169</v>
      </c>
      <c r="R661" s="53" t="s">
        <v>161</v>
      </c>
      <c r="S661" s="5">
        <v>1</v>
      </c>
    </row>
    <row r="662" spans="1:21" x14ac:dyDescent="0.35">
      <c r="A662" s="20">
        <f t="shared" si="90"/>
        <v>219</v>
      </c>
      <c r="B662" s="20">
        <v>2222</v>
      </c>
      <c r="C662" s="61" t="s">
        <v>403</v>
      </c>
      <c r="D662" s="60">
        <v>1974</v>
      </c>
      <c r="E662" s="60" t="s">
        <v>74</v>
      </c>
      <c r="F662" s="60" t="s">
        <v>481</v>
      </c>
      <c r="G662" s="4">
        <v>6206.42</v>
      </c>
      <c r="H662" s="4">
        <v>5780.42</v>
      </c>
      <c r="I662" s="19">
        <v>271</v>
      </c>
      <c r="J662" s="4">
        <f>'Форма 2'!I2406</f>
        <v>9625047.9100000001</v>
      </c>
      <c r="K662" s="4">
        <v>0</v>
      </c>
      <c r="L662" s="4">
        <v>0</v>
      </c>
      <c r="M662" s="4">
        <v>0</v>
      </c>
      <c r="N662" s="4">
        <f t="shared" si="89"/>
        <v>9090798.4700000007</v>
      </c>
      <c r="O662" s="4">
        <v>534249.43999999994</v>
      </c>
      <c r="P662" s="4">
        <f t="shared" si="84"/>
        <v>1665.11</v>
      </c>
      <c r="Q662" s="4">
        <f>'Форма 2'!K2406</f>
        <v>3449</v>
      </c>
      <c r="R662" s="53" t="s">
        <v>161</v>
      </c>
      <c r="S662" s="5">
        <v>1</v>
      </c>
    </row>
    <row r="663" spans="1:21" x14ac:dyDescent="0.35">
      <c r="A663" s="20">
        <f t="shared" si="90"/>
        <v>220</v>
      </c>
      <c r="B663" s="20">
        <v>2223</v>
      </c>
      <c r="C663" s="61" t="s">
        <v>404</v>
      </c>
      <c r="D663" s="60">
        <v>1971</v>
      </c>
      <c r="E663" s="60" t="s">
        <v>74</v>
      </c>
      <c r="F663" s="60" t="s">
        <v>481</v>
      </c>
      <c r="G663" s="4">
        <v>4950.6000000000004</v>
      </c>
      <c r="H663" s="4">
        <v>4630</v>
      </c>
      <c r="I663" s="19">
        <v>232</v>
      </c>
      <c r="J663" s="4">
        <f>'Форма 2'!I2409</f>
        <v>6729006.3899999997</v>
      </c>
      <c r="K663" s="4">
        <v>0</v>
      </c>
      <c r="L663" s="4">
        <v>0</v>
      </c>
      <c r="M663" s="4">
        <v>0</v>
      </c>
      <c r="N663" s="4">
        <f t="shared" si="89"/>
        <v>6377764.8200000003</v>
      </c>
      <c r="O663" s="4">
        <v>351241.57</v>
      </c>
      <c r="P663" s="4">
        <f t="shared" si="84"/>
        <v>1453.35</v>
      </c>
      <c r="Q663" s="4">
        <f>'Форма 2'!K2409</f>
        <v>3242</v>
      </c>
      <c r="R663" s="53" t="s">
        <v>161</v>
      </c>
      <c r="S663" s="5">
        <v>1</v>
      </c>
    </row>
    <row r="664" spans="1:21" x14ac:dyDescent="0.35">
      <c r="A664" s="20">
        <f t="shared" si="90"/>
        <v>221</v>
      </c>
      <c r="B664" s="20">
        <v>2103</v>
      </c>
      <c r="C664" s="61" t="s">
        <v>405</v>
      </c>
      <c r="D664" s="60">
        <v>1967</v>
      </c>
      <c r="E664" s="60" t="s">
        <v>74</v>
      </c>
      <c r="F664" s="60" t="s">
        <v>481</v>
      </c>
      <c r="G664" s="4">
        <f>3273.5+249.6</f>
        <v>3523.1</v>
      </c>
      <c r="H664" s="4">
        <v>3273.5</v>
      </c>
      <c r="I664" s="19">
        <v>137</v>
      </c>
      <c r="J664" s="4">
        <f>'Форма 2'!I2412</f>
        <v>6191726.4199999999</v>
      </c>
      <c r="K664" s="4">
        <v>0</v>
      </c>
      <c r="L664" s="4">
        <v>0</v>
      </c>
      <c r="M664" s="4">
        <v>0</v>
      </c>
      <c r="N664" s="4">
        <f t="shared" si="89"/>
        <v>5933860.75</v>
      </c>
      <c r="O664" s="4">
        <v>257865.67</v>
      </c>
      <c r="P664" s="4">
        <f t="shared" si="84"/>
        <v>1891.47</v>
      </c>
      <c r="Q664" s="4">
        <f>'Форма 2'!K2412</f>
        <v>3449</v>
      </c>
      <c r="R664" s="53" t="s">
        <v>161</v>
      </c>
      <c r="S664" s="5">
        <v>1</v>
      </c>
    </row>
    <row r="665" spans="1:21" x14ac:dyDescent="0.35">
      <c r="A665" s="20">
        <f t="shared" si="90"/>
        <v>222</v>
      </c>
      <c r="B665" s="20">
        <v>2496</v>
      </c>
      <c r="C665" s="61" t="s">
        <v>586</v>
      </c>
      <c r="D665" s="60">
        <v>1956</v>
      </c>
      <c r="E665" s="60" t="s">
        <v>483</v>
      </c>
      <c r="F665" s="60" t="s">
        <v>183</v>
      </c>
      <c r="G665" s="4">
        <v>786.12</v>
      </c>
      <c r="H665" s="4">
        <v>655.1</v>
      </c>
      <c r="I665" s="19">
        <v>31</v>
      </c>
      <c r="J665" s="4">
        <f>'Форма 2'!I2415</f>
        <v>1975126.5</v>
      </c>
      <c r="K665" s="4">
        <v>0</v>
      </c>
      <c r="L665" s="4">
        <v>0</v>
      </c>
      <c r="M665" s="4">
        <v>0</v>
      </c>
      <c r="N665" s="4">
        <f t="shared" si="89"/>
        <v>1900955.92</v>
      </c>
      <c r="O665" s="4">
        <v>74170.58</v>
      </c>
      <c r="P665" s="4">
        <f t="shared" si="84"/>
        <v>3015</v>
      </c>
      <c r="Q665" s="4">
        <f>'Форма 2'!K2415</f>
        <v>3015</v>
      </c>
      <c r="R665" s="53" t="s">
        <v>161</v>
      </c>
      <c r="S665" s="5">
        <v>1</v>
      </c>
    </row>
    <row r="666" spans="1:21" x14ac:dyDescent="0.35">
      <c r="A666" s="20">
        <f t="shared" si="90"/>
        <v>223</v>
      </c>
      <c r="B666" s="20">
        <v>2368</v>
      </c>
      <c r="C666" s="61" t="s">
        <v>407</v>
      </c>
      <c r="D666" s="60">
        <v>1975</v>
      </c>
      <c r="E666" s="60" t="s">
        <v>74</v>
      </c>
      <c r="F666" s="60" t="s">
        <v>481</v>
      </c>
      <c r="G666" s="4">
        <f>4326+870.7+(82.8)*5</f>
        <v>5610.7</v>
      </c>
      <c r="H666" s="4">
        <v>4326</v>
      </c>
      <c r="I666" s="19">
        <v>211</v>
      </c>
      <c r="J666" s="4">
        <f>'Форма 2'!I2419</f>
        <v>9862648.2899999991</v>
      </c>
      <c r="K666" s="4">
        <v>0</v>
      </c>
      <c r="L666" s="4">
        <v>0</v>
      </c>
      <c r="M666" s="4">
        <v>0</v>
      </c>
      <c r="N666" s="4">
        <f t="shared" si="89"/>
        <v>9483457.1400000006</v>
      </c>
      <c r="O666" s="4">
        <v>379191.15</v>
      </c>
      <c r="P666" s="4">
        <f t="shared" si="84"/>
        <v>2279.85</v>
      </c>
      <c r="Q666" s="4">
        <f>'Форма 2'!K2419</f>
        <v>3449</v>
      </c>
      <c r="R666" s="53" t="s">
        <v>161</v>
      </c>
      <c r="S666" s="5">
        <v>1</v>
      </c>
    </row>
    <row r="667" spans="1:21" x14ac:dyDescent="0.35">
      <c r="A667" s="20">
        <f t="shared" si="90"/>
        <v>224</v>
      </c>
      <c r="B667" s="101">
        <v>2235</v>
      </c>
      <c r="C667" s="102" t="s">
        <v>139</v>
      </c>
      <c r="D667" s="60">
        <v>1985</v>
      </c>
      <c r="E667" s="25" t="s">
        <v>308</v>
      </c>
      <c r="F667" s="25" t="s">
        <v>152</v>
      </c>
      <c r="G667" s="4">
        <v>3951.8</v>
      </c>
      <c r="H667" s="4">
        <v>3471.8</v>
      </c>
      <c r="I667" s="103">
        <v>131</v>
      </c>
      <c r="J667" s="4">
        <f>'Форма 2'!I2422</f>
        <v>1193035.8999999999</v>
      </c>
      <c r="K667" s="4">
        <v>0</v>
      </c>
      <c r="L667" s="4">
        <v>0</v>
      </c>
      <c r="M667" s="4">
        <v>0</v>
      </c>
      <c r="N667" s="4">
        <f>J667-K667-L667-M667-O667</f>
        <v>1165636.3600000001</v>
      </c>
      <c r="O667" s="4">
        <v>27399.54</v>
      </c>
      <c r="P667" s="4">
        <f t="shared" si="84"/>
        <v>343.64</v>
      </c>
      <c r="Q667" s="4">
        <f>'Форма 2'!K2422</f>
        <v>423</v>
      </c>
      <c r="R667" s="53" t="s">
        <v>161</v>
      </c>
      <c r="S667" s="5">
        <v>1</v>
      </c>
    </row>
    <row r="668" spans="1:21" x14ac:dyDescent="0.35">
      <c r="A668" s="20">
        <f t="shared" si="90"/>
        <v>225</v>
      </c>
      <c r="B668" s="101">
        <v>2411</v>
      </c>
      <c r="C668" s="102" t="s">
        <v>140</v>
      </c>
      <c r="D668" s="60">
        <v>1907</v>
      </c>
      <c r="E668" s="25" t="s">
        <v>74</v>
      </c>
      <c r="F668" s="25" t="s">
        <v>152</v>
      </c>
      <c r="G668" s="4">
        <v>991.1</v>
      </c>
      <c r="H668" s="4">
        <v>812.8</v>
      </c>
      <c r="I668" s="104">
        <v>49</v>
      </c>
      <c r="J668" s="4">
        <f>'Форма 2'!I2426</f>
        <v>124961.12</v>
      </c>
      <c r="K668" s="4">
        <v>0</v>
      </c>
      <c r="L668" s="4">
        <v>0</v>
      </c>
      <c r="M668" s="4">
        <v>0</v>
      </c>
      <c r="N668" s="4">
        <f>J668-K668-L668-M668-O668</f>
        <v>119903.42</v>
      </c>
      <c r="O668" s="4">
        <v>5057.7</v>
      </c>
      <c r="P668" s="4">
        <f t="shared" si="84"/>
        <v>153.74</v>
      </c>
      <c r="Q668" s="4">
        <f>'Форма 2'!K2426</f>
        <v>239</v>
      </c>
      <c r="R668" s="53" t="s">
        <v>161</v>
      </c>
      <c r="S668" s="5">
        <v>1</v>
      </c>
    </row>
    <row r="669" spans="1:21" s="3" customFormat="1" ht="31" x14ac:dyDescent="0.35">
      <c r="A669" s="20">
        <f t="shared" si="90"/>
        <v>226</v>
      </c>
      <c r="B669" s="101">
        <v>2570</v>
      </c>
      <c r="C669" s="102" t="s">
        <v>141</v>
      </c>
      <c r="D669" s="25" t="s">
        <v>587</v>
      </c>
      <c r="E669" s="25" t="s">
        <v>434</v>
      </c>
      <c r="F669" s="25" t="s">
        <v>152</v>
      </c>
      <c r="G669" s="4">
        <v>718.4</v>
      </c>
      <c r="H669" s="4">
        <v>628.4</v>
      </c>
      <c r="I669" s="104">
        <v>20</v>
      </c>
      <c r="J669" s="4">
        <f>'Форма 2'!I2428</f>
        <v>42731.199999999997</v>
      </c>
      <c r="K669" s="4">
        <v>0</v>
      </c>
      <c r="L669" s="4">
        <v>0</v>
      </c>
      <c r="M669" s="4">
        <v>0</v>
      </c>
      <c r="N669" s="4">
        <f t="shared" si="89"/>
        <v>41682.11</v>
      </c>
      <c r="O669" s="4">
        <v>1049.0899999999999</v>
      </c>
      <c r="P669" s="4">
        <f t="shared" si="84"/>
        <v>68</v>
      </c>
      <c r="Q669" s="4">
        <f>'Форма 2'!K2428</f>
        <v>68</v>
      </c>
      <c r="R669" s="53" t="s">
        <v>161</v>
      </c>
      <c r="S669" s="5">
        <v>1</v>
      </c>
      <c r="T669" s="1"/>
      <c r="U669" s="1"/>
    </row>
    <row r="670" spans="1:21" x14ac:dyDescent="0.35">
      <c r="A670" s="27">
        <f t="shared" si="90"/>
        <v>227</v>
      </c>
      <c r="B670" s="27">
        <v>2236</v>
      </c>
      <c r="C670" s="61" t="s">
        <v>409</v>
      </c>
      <c r="D670" s="25">
        <v>1992</v>
      </c>
      <c r="E670" s="25" t="s">
        <v>235</v>
      </c>
      <c r="F670" s="25" t="s">
        <v>155</v>
      </c>
      <c r="G670" s="35">
        <v>1955.2</v>
      </c>
      <c r="H670" s="35">
        <v>1767.2</v>
      </c>
      <c r="I670" s="36">
        <v>90</v>
      </c>
      <c r="J670" s="35">
        <f>'Форма 2'!I2430</f>
        <v>3983227.62</v>
      </c>
      <c r="K670" s="35">
        <v>0</v>
      </c>
      <c r="L670" s="35">
        <v>0</v>
      </c>
      <c r="M670" s="35">
        <v>0</v>
      </c>
      <c r="N670" s="35">
        <f t="shared" si="89"/>
        <v>3798902.01</v>
      </c>
      <c r="O670" s="35">
        <v>184325.61</v>
      </c>
      <c r="P670" s="35">
        <f t="shared" si="84"/>
        <v>2253.98</v>
      </c>
      <c r="Q670" s="35">
        <f>'Форма 2'!K2430</f>
        <v>2749</v>
      </c>
      <c r="R670" s="62" t="s">
        <v>161</v>
      </c>
      <c r="S670" s="63">
        <v>1</v>
      </c>
    </row>
    <row r="671" spans="1:21" x14ac:dyDescent="0.35">
      <c r="A671" s="20">
        <f t="shared" si="90"/>
        <v>228</v>
      </c>
      <c r="B671" s="101">
        <v>2412</v>
      </c>
      <c r="C671" s="102" t="s">
        <v>142</v>
      </c>
      <c r="D671" s="60">
        <v>1966</v>
      </c>
      <c r="E671" s="25" t="s">
        <v>74</v>
      </c>
      <c r="F671" s="25" t="s">
        <v>152</v>
      </c>
      <c r="G671" s="4">
        <v>1450.2</v>
      </c>
      <c r="H671" s="4">
        <v>1324.2</v>
      </c>
      <c r="I671" s="104">
        <v>63</v>
      </c>
      <c r="J671" s="4">
        <f>'Форма 2'!I2433</f>
        <v>195005.56</v>
      </c>
      <c r="K671" s="4">
        <v>0</v>
      </c>
      <c r="L671" s="4">
        <v>0</v>
      </c>
      <c r="M671" s="4">
        <v>0</v>
      </c>
      <c r="N671" s="4">
        <f t="shared" si="89"/>
        <v>186765.65</v>
      </c>
      <c r="O671" s="4">
        <v>8239.91</v>
      </c>
      <c r="P671" s="4">
        <f t="shared" si="84"/>
        <v>147.26</v>
      </c>
      <c r="Q671" s="4">
        <f>'Форма 2'!K2433</f>
        <v>169</v>
      </c>
      <c r="R671" s="53" t="s">
        <v>161</v>
      </c>
      <c r="S671" s="5">
        <v>1</v>
      </c>
    </row>
    <row r="672" spans="1:21" x14ac:dyDescent="0.35">
      <c r="A672" s="20">
        <f t="shared" si="90"/>
        <v>229</v>
      </c>
      <c r="B672" s="101">
        <v>2416</v>
      </c>
      <c r="C672" s="102" t="s">
        <v>143</v>
      </c>
      <c r="D672" s="60">
        <v>1966</v>
      </c>
      <c r="E672" s="25" t="s">
        <v>74</v>
      </c>
      <c r="F672" s="25" t="s">
        <v>152</v>
      </c>
      <c r="G672" s="4">
        <v>3445.6</v>
      </c>
      <c r="H672" s="4">
        <v>3193.7</v>
      </c>
      <c r="I672" s="103">
        <v>90</v>
      </c>
      <c r="J672" s="4">
        <f>'Форма 2'!I2435</f>
        <v>274502.32</v>
      </c>
      <c r="K672" s="4">
        <v>0</v>
      </c>
      <c r="L672" s="4">
        <v>0</v>
      </c>
      <c r="M672" s="4">
        <v>0</v>
      </c>
      <c r="N672" s="4">
        <f>J672-K672-L672-M672-O672</f>
        <v>259720.01</v>
      </c>
      <c r="O672" s="4">
        <v>14782.31</v>
      </c>
      <c r="P672" s="4">
        <f t="shared" si="84"/>
        <v>85.95</v>
      </c>
      <c r="Q672" s="4">
        <f>'Форма 2'!K2435</f>
        <v>169</v>
      </c>
      <c r="R672" s="53" t="s">
        <v>161</v>
      </c>
      <c r="S672" s="5">
        <v>1</v>
      </c>
      <c r="U672" s="3"/>
    </row>
    <row r="673" spans="1:21" s="2" customFormat="1" x14ac:dyDescent="0.35">
      <c r="A673" s="20">
        <f t="shared" si="90"/>
        <v>230</v>
      </c>
      <c r="B673" s="101">
        <v>2489</v>
      </c>
      <c r="C673" s="102" t="s">
        <v>744</v>
      </c>
      <c r="D673" s="60">
        <v>1984</v>
      </c>
      <c r="E673" s="25" t="s">
        <v>74</v>
      </c>
      <c r="F673" s="25" t="s">
        <v>152</v>
      </c>
      <c r="G673" s="4">
        <v>4947.7</v>
      </c>
      <c r="H673" s="4">
        <v>4049.2</v>
      </c>
      <c r="I673" s="103">
        <v>153</v>
      </c>
      <c r="J673" s="4">
        <f>'Форма 2'!I2437</f>
        <v>159247.78</v>
      </c>
      <c r="K673" s="4">
        <v>0</v>
      </c>
      <c r="L673" s="4">
        <v>0</v>
      </c>
      <c r="M673" s="4">
        <v>0</v>
      </c>
      <c r="N673" s="4">
        <f>J673-K673-L673-M673-O673</f>
        <v>134051.39000000001</v>
      </c>
      <c r="O673" s="4">
        <v>25196.39</v>
      </c>
      <c r="P673" s="4">
        <f t="shared" si="84"/>
        <v>39.33</v>
      </c>
      <c r="Q673" s="4">
        <f>'Форма 2'!K2437</f>
        <v>164</v>
      </c>
      <c r="R673" s="53" t="s">
        <v>161</v>
      </c>
      <c r="S673" s="5">
        <v>1</v>
      </c>
      <c r="T673" s="1"/>
      <c r="U673" s="1"/>
    </row>
    <row r="674" spans="1:21" s="64" customFormat="1" x14ac:dyDescent="0.35">
      <c r="A674" s="20">
        <f t="shared" si="90"/>
        <v>231</v>
      </c>
      <c r="B674" s="101">
        <v>2239</v>
      </c>
      <c r="C674" s="102" t="s">
        <v>745</v>
      </c>
      <c r="D674" s="60">
        <v>1989</v>
      </c>
      <c r="E674" s="25" t="s">
        <v>308</v>
      </c>
      <c r="F674" s="25" t="s">
        <v>152</v>
      </c>
      <c r="G674" s="4">
        <v>5087.6000000000004</v>
      </c>
      <c r="H674" s="4">
        <v>4698.6000000000004</v>
      </c>
      <c r="I674" s="103">
        <v>178</v>
      </c>
      <c r="J674" s="4">
        <f>'Форма 2'!I2439</f>
        <v>1657515.01</v>
      </c>
      <c r="K674" s="4">
        <v>0</v>
      </c>
      <c r="L674" s="4">
        <v>0</v>
      </c>
      <c r="M674" s="4">
        <v>0</v>
      </c>
      <c r="N674" s="4">
        <f>J674-K674-L674-M674-O674</f>
        <v>1620433.53</v>
      </c>
      <c r="O674" s="4">
        <v>37081.480000000003</v>
      </c>
      <c r="P674" s="4">
        <f t="shared" si="84"/>
        <v>352.77</v>
      </c>
      <c r="Q674" s="4">
        <f>'Форма 2'!K2439</f>
        <v>428</v>
      </c>
      <c r="R674" s="53" t="s">
        <v>161</v>
      </c>
      <c r="S674" s="5">
        <v>1</v>
      </c>
      <c r="T674" s="1"/>
      <c r="U674" s="1"/>
    </row>
    <row r="675" spans="1:21" s="2" customFormat="1" x14ac:dyDescent="0.35">
      <c r="A675" s="27">
        <f t="shared" si="90"/>
        <v>232</v>
      </c>
      <c r="B675" s="105">
        <v>2422</v>
      </c>
      <c r="C675" s="102" t="s">
        <v>746</v>
      </c>
      <c r="D675" s="25">
        <v>1987</v>
      </c>
      <c r="E675" s="25" t="s">
        <v>235</v>
      </c>
      <c r="F675" s="25" t="s">
        <v>152</v>
      </c>
      <c r="G675" s="35">
        <v>7977.9</v>
      </c>
      <c r="H675" s="35">
        <v>6937.3</v>
      </c>
      <c r="I675" s="103">
        <v>297</v>
      </c>
      <c r="J675" s="35">
        <f>'Форма 2'!I2443</f>
        <v>631294.30000000005</v>
      </c>
      <c r="K675" s="35">
        <v>0</v>
      </c>
      <c r="L675" s="35">
        <v>0</v>
      </c>
      <c r="M675" s="35">
        <v>0</v>
      </c>
      <c r="N675" s="35">
        <f>J675-K675-L675-M675-O675</f>
        <v>607078.24</v>
      </c>
      <c r="O675" s="35">
        <v>24216.06</v>
      </c>
      <c r="P675" s="35">
        <f t="shared" si="84"/>
        <v>91</v>
      </c>
      <c r="Q675" s="35">
        <f>'Форма 2'!K2443</f>
        <v>91</v>
      </c>
      <c r="R675" s="62" t="s">
        <v>161</v>
      </c>
      <c r="S675" s="63">
        <v>1</v>
      </c>
      <c r="T675" s="1"/>
      <c r="U675" s="1"/>
    </row>
    <row r="676" spans="1:21" s="2" customFormat="1" x14ac:dyDescent="0.35">
      <c r="A676" s="20">
        <f t="shared" si="90"/>
        <v>233</v>
      </c>
      <c r="B676" s="101">
        <v>2432</v>
      </c>
      <c r="C676" s="102" t="s">
        <v>144</v>
      </c>
      <c r="D676" s="60">
        <v>1960</v>
      </c>
      <c r="E676" s="25" t="s">
        <v>434</v>
      </c>
      <c r="F676" s="25" t="s">
        <v>152</v>
      </c>
      <c r="G676" s="4">
        <v>1402.7</v>
      </c>
      <c r="H676" s="4">
        <v>1229.0999999999999</v>
      </c>
      <c r="I676" s="104">
        <v>53</v>
      </c>
      <c r="J676" s="4">
        <f>'Форма 2'!I2445</f>
        <v>318336.90000000002</v>
      </c>
      <c r="K676" s="4">
        <v>0</v>
      </c>
      <c r="L676" s="4">
        <v>0</v>
      </c>
      <c r="M676" s="4">
        <v>0</v>
      </c>
      <c r="N676" s="4">
        <f t="shared" si="89"/>
        <v>316284.96000000002</v>
      </c>
      <c r="O676" s="4">
        <v>2051.94</v>
      </c>
      <c r="P676" s="4">
        <f t="shared" si="84"/>
        <v>259</v>
      </c>
      <c r="Q676" s="4">
        <f>'Форма 2'!K2445</f>
        <v>259</v>
      </c>
      <c r="R676" s="53" t="s">
        <v>161</v>
      </c>
      <c r="S676" s="5">
        <v>1</v>
      </c>
      <c r="T676" s="1"/>
    </row>
    <row r="677" spans="1:21" s="2" customFormat="1" x14ac:dyDescent="0.35">
      <c r="A677" s="20">
        <f t="shared" si="90"/>
        <v>234</v>
      </c>
      <c r="B677" s="20">
        <v>2733</v>
      </c>
      <c r="C677" s="61" t="s">
        <v>417</v>
      </c>
      <c r="D677" s="60">
        <v>1910</v>
      </c>
      <c r="E677" s="60" t="s">
        <v>74</v>
      </c>
      <c r="F677" s="60" t="s">
        <v>155</v>
      </c>
      <c r="G677" s="4">
        <v>906.2</v>
      </c>
      <c r="H677" s="4">
        <v>822.4</v>
      </c>
      <c r="I677" s="19">
        <v>55</v>
      </c>
      <c r="J677" s="4">
        <f>'Форма 2'!I2448</f>
        <v>3888307.2</v>
      </c>
      <c r="K677" s="4">
        <v>0</v>
      </c>
      <c r="L677" s="4">
        <v>0</v>
      </c>
      <c r="M677" s="4">
        <v>0</v>
      </c>
      <c r="N677" s="4">
        <f t="shared" si="89"/>
        <v>3740775.35</v>
      </c>
      <c r="O677" s="4">
        <v>147531.85</v>
      </c>
      <c r="P677" s="4">
        <f t="shared" si="84"/>
        <v>4728</v>
      </c>
      <c r="Q677" s="4">
        <f>'Форма 2'!K2448</f>
        <v>4728</v>
      </c>
      <c r="R677" s="53" t="s">
        <v>161</v>
      </c>
      <c r="S677" s="5">
        <v>1</v>
      </c>
      <c r="T677" s="1"/>
      <c r="U677" s="64"/>
    </row>
    <row r="678" spans="1:21" s="2" customFormat="1" x14ac:dyDescent="0.35">
      <c r="A678" s="20">
        <f t="shared" si="90"/>
        <v>235</v>
      </c>
      <c r="B678" s="20">
        <v>2268</v>
      </c>
      <c r="C678" s="61" t="s">
        <v>418</v>
      </c>
      <c r="D678" s="60">
        <v>1967</v>
      </c>
      <c r="E678" s="60" t="s">
        <v>74</v>
      </c>
      <c r="F678" s="60" t="s">
        <v>481</v>
      </c>
      <c r="G678" s="4">
        <v>3783.2</v>
      </c>
      <c r="H678" s="4">
        <v>3547.2</v>
      </c>
      <c r="I678" s="19">
        <v>180</v>
      </c>
      <c r="J678" s="4">
        <f>'Форма 2'!I2451</f>
        <v>7188220.0899999999</v>
      </c>
      <c r="K678" s="4">
        <v>0</v>
      </c>
      <c r="L678" s="4">
        <v>0</v>
      </c>
      <c r="M678" s="4">
        <v>0</v>
      </c>
      <c r="N678" s="4">
        <f t="shared" si="89"/>
        <v>6902864.7699999996</v>
      </c>
      <c r="O678" s="4">
        <v>285355.32</v>
      </c>
      <c r="P678" s="4">
        <f t="shared" si="84"/>
        <v>2026.45</v>
      </c>
      <c r="Q678" s="4">
        <f>'Форма 2'!K2451</f>
        <v>3449</v>
      </c>
      <c r="R678" s="53" t="s">
        <v>161</v>
      </c>
      <c r="S678" s="5">
        <v>1</v>
      </c>
      <c r="T678" s="1"/>
    </row>
    <row r="679" spans="1:21" s="2" customFormat="1" x14ac:dyDescent="0.35">
      <c r="A679" s="20">
        <f t="shared" si="90"/>
        <v>236</v>
      </c>
      <c r="B679" s="20">
        <v>2269</v>
      </c>
      <c r="C679" s="61" t="s">
        <v>419</v>
      </c>
      <c r="D679" s="60">
        <v>1969</v>
      </c>
      <c r="E679" s="60" t="s">
        <v>74</v>
      </c>
      <c r="F679" s="60" t="s">
        <v>481</v>
      </c>
      <c r="G679" s="4">
        <v>3904.87</v>
      </c>
      <c r="H679" s="4">
        <v>3668.87</v>
      </c>
      <c r="I679" s="19">
        <v>164</v>
      </c>
      <c r="J679" s="4">
        <f>'Форма 2'!I2454</f>
        <v>4787487.09</v>
      </c>
      <c r="K679" s="4">
        <v>0</v>
      </c>
      <c r="L679" s="4">
        <v>0</v>
      </c>
      <c r="M679" s="4">
        <v>0</v>
      </c>
      <c r="N679" s="4">
        <f t="shared" si="89"/>
        <v>4579622.07</v>
      </c>
      <c r="O679" s="4">
        <v>207865.02</v>
      </c>
      <c r="P679" s="4">
        <f t="shared" si="84"/>
        <v>1304.8900000000001</v>
      </c>
      <c r="Q679" s="4">
        <f>'Форма 2'!K2454</f>
        <v>3242</v>
      </c>
      <c r="R679" s="53" t="s">
        <v>161</v>
      </c>
      <c r="S679" s="5">
        <v>1</v>
      </c>
      <c r="T679" s="1"/>
    </row>
    <row r="680" spans="1:21" s="2" customFormat="1" x14ac:dyDescent="0.35">
      <c r="A680" s="20">
        <f t="shared" si="90"/>
        <v>237</v>
      </c>
      <c r="B680" s="101">
        <v>2434</v>
      </c>
      <c r="C680" s="102" t="s">
        <v>145</v>
      </c>
      <c r="D680" s="60">
        <v>1967</v>
      </c>
      <c r="E680" s="60" t="s">
        <v>74</v>
      </c>
      <c r="F680" s="60" t="s">
        <v>152</v>
      </c>
      <c r="G680" s="4">
        <v>3578.55</v>
      </c>
      <c r="H680" s="4">
        <v>3278.05</v>
      </c>
      <c r="I680" s="104">
        <v>163</v>
      </c>
      <c r="J680" s="4">
        <f>'Форма 2'!I2457</f>
        <v>550712.4</v>
      </c>
      <c r="K680" s="4">
        <v>0</v>
      </c>
      <c r="L680" s="4">
        <v>0</v>
      </c>
      <c r="M680" s="4">
        <v>0</v>
      </c>
      <c r="N680" s="4">
        <f t="shared" si="89"/>
        <v>532553.32999999996</v>
      </c>
      <c r="O680" s="4">
        <v>18159.07</v>
      </c>
      <c r="P680" s="4">
        <f t="shared" si="84"/>
        <v>168</v>
      </c>
      <c r="Q680" s="4">
        <f>'Форма 2'!K2457</f>
        <v>168</v>
      </c>
      <c r="R680" s="53" t="s">
        <v>161</v>
      </c>
      <c r="S680" s="5">
        <v>1</v>
      </c>
      <c r="T680" s="1"/>
    </row>
    <row r="681" spans="1:21" s="2" customFormat="1" x14ac:dyDescent="0.35">
      <c r="A681" s="20">
        <f t="shared" si="90"/>
        <v>238</v>
      </c>
      <c r="B681" s="20">
        <v>2967</v>
      </c>
      <c r="C681" s="61" t="s">
        <v>420</v>
      </c>
      <c r="D681" s="60">
        <v>1966</v>
      </c>
      <c r="E681" s="60" t="s">
        <v>289</v>
      </c>
      <c r="F681" s="60" t="s">
        <v>160</v>
      </c>
      <c r="G681" s="4">
        <v>4037.3</v>
      </c>
      <c r="H681" s="4">
        <v>3510.7</v>
      </c>
      <c r="I681" s="19">
        <v>182</v>
      </c>
      <c r="J681" s="4">
        <f>'Форма 2'!I2459</f>
        <v>204322.73</v>
      </c>
      <c r="K681" s="4">
        <v>0</v>
      </c>
      <c r="L681" s="4">
        <v>0</v>
      </c>
      <c r="M681" s="4">
        <v>0</v>
      </c>
      <c r="N681" s="4">
        <f t="shared" si="89"/>
        <v>196703.43</v>
      </c>
      <c r="O681" s="4">
        <v>7619.3</v>
      </c>
      <c r="P681" s="4">
        <f t="shared" si="84"/>
        <v>58.2</v>
      </c>
      <c r="Q681" s="4">
        <f>'Форма 2'!K2459</f>
        <v>173</v>
      </c>
      <c r="R681" s="53" t="s">
        <v>161</v>
      </c>
      <c r="S681" s="5">
        <v>1</v>
      </c>
      <c r="T681" s="1"/>
    </row>
    <row r="682" spans="1:21" s="64" customFormat="1" ht="31" x14ac:dyDescent="0.35">
      <c r="A682" s="20">
        <f t="shared" si="90"/>
        <v>239</v>
      </c>
      <c r="B682" s="101">
        <v>2286</v>
      </c>
      <c r="C682" s="102" t="s">
        <v>747</v>
      </c>
      <c r="D682" s="25" t="s">
        <v>756</v>
      </c>
      <c r="E682" s="60" t="s">
        <v>74</v>
      </c>
      <c r="F682" s="60" t="s">
        <v>152</v>
      </c>
      <c r="G682" s="4">
        <v>22311.8</v>
      </c>
      <c r="H682" s="4">
        <v>18477.8</v>
      </c>
      <c r="I682" s="103">
        <v>698</v>
      </c>
      <c r="J682" s="4">
        <f>'Форма 2'!I2462</f>
        <v>1614741.12</v>
      </c>
      <c r="K682" s="4">
        <v>0</v>
      </c>
      <c r="L682" s="4">
        <v>0</v>
      </c>
      <c r="M682" s="4">
        <v>0</v>
      </c>
      <c r="N682" s="4">
        <f t="shared" si="89"/>
        <v>1499761.91</v>
      </c>
      <c r="O682" s="4">
        <v>114979.21</v>
      </c>
      <c r="P682" s="4">
        <f t="shared" si="84"/>
        <v>87.39</v>
      </c>
      <c r="Q682" s="4">
        <f>'Форма 2'!K2462</f>
        <v>164</v>
      </c>
      <c r="R682" s="53" t="s">
        <v>161</v>
      </c>
      <c r="S682" s="5">
        <v>1</v>
      </c>
      <c r="T682" s="1"/>
      <c r="U682" s="2"/>
    </row>
    <row r="683" spans="1:21" s="2" customFormat="1" ht="31" x14ac:dyDescent="0.35">
      <c r="A683" s="27">
        <f t="shared" si="90"/>
        <v>240</v>
      </c>
      <c r="B683" s="105">
        <v>2163</v>
      </c>
      <c r="C683" s="102" t="s">
        <v>748</v>
      </c>
      <c r="D683" s="25" t="s">
        <v>757</v>
      </c>
      <c r="E683" s="25" t="s">
        <v>235</v>
      </c>
      <c r="F683" s="25" t="s">
        <v>152</v>
      </c>
      <c r="G683" s="35">
        <v>19878.5</v>
      </c>
      <c r="H683" s="35">
        <v>18241.8</v>
      </c>
      <c r="I683" s="103">
        <v>689</v>
      </c>
      <c r="J683" s="35">
        <f>'Форма 2'!I2464</f>
        <v>4540403.2</v>
      </c>
      <c r="K683" s="35">
        <v>0</v>
      </c>
      <c r="L683" s="35">
        <v>0</v>
      </c>
      <c r="M683" s="35">
        <v>0</v>
      </c>
      <c r="N683" s="35">
        <f t="shared" si="89"/>
        <v>4503027.7300000004</v>
      </c>
      <c r="O683" s="35">
        <v>37375.47</v>
      </c>
      <c r="P683" s="35">
        <f t="shared" si="84"/>
        <v>248.9</v>
      </c>
      <c r="Q683" s="35">
        <f>'Форма 2'!K2464</f>
        <v>248.9</v>
      </c>
      <c r="R683" s="62" t="s">
        <v>161</v>
      </c>
      <c r="S683" s="63">
        <v>1</v>
      </c>
      <c r="T683" s="1"/>
    </row>
    <row r="684" spans="1:21" s="2" customFormat="1" x14ac:dyDescent="0.35">
      <c r="A684" s="20">
        <f t="shared" si="90"/>
        <v>241</v>
      </c>
      <c r="B684" s="101">
        <v>2438</v>
      </c>
      <c r="C684" s="102" t="s">
        <v>749</v>
      </c>
      <c r="D684" s="60">
        <v>1981</v>
      </c>
      <c r="E684" s="25" t="s">
        <v>74</v>
      </c>
      <c r="F684" s="25" t="s">
        <v>152</v>
      </c>
      <c r="G684" s="4">
        <v>2629.57</v>
      </c>
      <c r="H684" s="4">
        <v>2393.4699999999998</v>
      </c>
      <c r="I684" s="103">
        <v>90</v>
      </c>
      <c r="J684" s="4">
        <f>'Форма 2'!I2472</f>
        <v>241734.03</v>
      </c>
      <c r="K684" s="4">
        <v>0</v>
      </c>
      <c r="L684" s="4">
        <v>0</v>
      </c>
      <c r="M684" s="4">
        <v>0</v>
      </c>
      <c r="N684" s="4">
        <f t="shared" si="89"/>
        <v>228475.17</v>
      </c>
      <c r="O684" s="4">
        <v>13258.86</v>
      </c>
      <c r="P684" s="4">
        <f t="shared" si="84"/>
        <v>101</v>
      </c>
      <c r="Q684" s="4">
        <f>'Форма 2'!K2472</f>
        <v>168</v>
      </c>
      <c r="R684" s="53" t="s">
        <v>161</v>
      </c>
      <c r="S684" s="5">
        <v>1</v>
      </c>
      <c r="T684" s="1"/>
    </row>
    <row r="685" spans="1:21" s="2" customFormat="1" x14ac:dyDescent="0.35">
      <c r="A685" s="20">
        <f t="shared" si="90"/>
        <v>242</v>
      </c>
      <c r="B685" s="101">
        <v>2291</v>
      </c>
      <c r="C685" s="102" t="s">
        <v>146</v>
      </c>
      <c r="D685" s="60">
        <v>1962</v>
      </c>
      <c r="E685" s="25" t="s">
        <v>74</v>
      </c>
      <c r="F685" s="25" t="s">
        <v>152</v>
      </c>
      <c r="G685" s="4">
        <v>1376.1</v>
      </c>
      <c r="H685" s="4">
        <v>1274.0999999999999</v>
      </c>
      <c r="I685" s="104">
        <v>65</v>
      </c>
      <c r="J685" s="4">
        <f>'Форма 2'!I2474</f>
        <v>145305.42000000001</v>
      </c>
      <c r="K685" s="4">
        <v>0</v>
      </c>
      <c r="L685" s="4">
        <v>0</v>
      </c>
      <c r="M685" s="4">
        <v>0</v>
      </c>
      <c r="N685" s="4">
        <f t="shared" si="89"/>
        <v>137377.26</v>
      </c>
      <c r="O685" s="4">
        <v>7928.16</v>
      </c>
      <c r="P685" s="4">
        <f t="shared" si="84"/>
        <v>114.05</v>
      </c>
      <c r="Q685" s="4">
        <f>'Форма 2'!K2474</f>
        <v>239</v>
      </c>
      <c r="R685" s="53" t="s">
        <v>161</v>
      </c>
      <c r="S685" s="5">
        <v>1</v>
      </c>
      <c r="T685" s="1"/>
      <c r="U685" s="64"/>
    </row>
    <row r="686" spans="1:21" s="2" customFormat="1" x14ac:dyDescent="0.35">
      <c r="A686" s="20">
        <f>A685+1</f>
        <v>243</v>
      </c>
      <c r="B686" s="20">
        <v>2449</v>
      </c>
      <c r="C686" s="61" t="s">
        <v>422</v>
      </c>
      <c r="D686" s="60">
        <v>1972</v>
      </c>
      <c r="E686" s="60" t="s">
        <v>74</v>
      </c>
      <c r="F686" s="60" t="s">
        <v>481</v>
      </c>
      <c r="G686" s="4">
        <v>3264.3</v>
      </c>
      <c r="H686" s="4">
        <v>2723.4</v>
      </c>
      <c r="I686" s="19">
        <v>150</v>
      </c>
      <c r="J686" s="4">
        <f>'Форма 2'!I2476</f>
        <v>5444362.5499999998</v>
      </c>
      <c r="K686" s="4">
        <v>0</v>
      </c>
      <c r="L686" s="4">
        <v>0</v>
      </c>
      <c r="M686" s="4">
        <v>0</v>
      </c>
      <c r="N686" s="4">
        <f t="shared" si="89"/>
        <v>5237759.68</v>
      </c>
      <c r="O686" s="4">
        <v>206602.87</v>
      </c>
      <c r="P686" s="4">
        <f t="shared" si="84"/>
        <v>1999.1</v>
      </c>
      <c r="Q686" s="4">
        <f>'Форма 2'!K2476</f>
        <v>3242</v>
      </c>
      <c r="R686" s="53" t="s">
        <v>161</v>
      </c>
      <c r="S686" s="5">
        <v>1</v>
      </c>
      <c r="T686" s="1"/>
    </row>
    <row r="687" spans="1:21" s="2" customFormat="1" x14ac:dyDescent="0.35">
      <c r="A687" s="20">
        <f t="shared" si="90"/>
        <v>244</v>
      </c>
      <c r="B687" s="101">
        <v>2451</v>
      </c>
      <c r="C687" s="102" t="s">
        <v>147</v>
      </c>
      <c r="D687" s="60">
        <v>1967</v>
      </c>
      <c r="E687" s="25" t="s">
        <v>74</v>
      </c>
      <c r="F687" s="25" t="s">
        <v>152</v>
      </c>
      <c r="G687" s="4">
        <v>4163.6000000000004</v>
      </c>
      <c r="H687" s="4">
        <v>3730.46</v>
      </c>
      <c r="I687" s="104">
        <v>167</v>
      </c>
      <c r="J687" s="4">
        <f>'Форма 2'!I2479</f>
        <v>262380.99</v>
      </c>
      <c r="K687" s="4">
        <v>0</v>
      </c>
      <c r="L687" s="4">
        <v>0</v>
      </c>
      <c r="M687" s="4">
        <v>0</v>
      </c>
      <c r="N687" s="4">
        <f>J687-K687-L687-M687-O687</f>
        <v>239167.98</v>
      </c>
      <c r="O687" s="4">
        <v>23213.01</v>
      </c>
      <c r="P687" s="4">
        <f t="shared" si="84"/>
        <v>70.33</v>
      </c>
      <c r="Q687" s="4">
        <f>'Форма 2'!K2479</f>
        <v>169</v>
      </c>
      <c r="R687" s="53" t="s">
        <v>161</v>
      </c>
      <c r="S687" s="5">
        <v>1</v>
      </c>
      <c r="T687" s="1"/>
    </row>
    <row r="688" spans="1:21" s="2" customFormat="1" x14ac:dyDescent="0.35">
      <c r="A688" s="20">
        <f t="shared" si="90"/>
        <v>245</v>
      </c>
      <c r="B688" s="101">
        <v>2452</v>
      </c>
      <c r="C688" s="102" t="s">
        <v>148</v>
      </c>
      <c r="D688" s="60">
        <v>1960</v>
      </c>
      <c r="E688" s="60" t="s">
        <v>74</v>
      </c>
      <c r="F688" s="60" t="s">
        <v>152</v>
      </c>
      <c r="G688" s="4">
        <f>2542.6+589.5</f>
        <v>3132.1</v>
      </c>
      <c r="H688" s="4">
        <v>2542.6</v>
      </c>
      <c r="I688" s="104">
        <v>121</v>
      </c>
      <c r="J688" s="4">
        <f>'Форма 2'!I2481</f>
        <v>370155.83</v>
      </c>
      <c r="K688" s="4">
        <v>0</v>
      </c>
      <c r="L688" s="4">
        <v>0</v>
      </c>
      <c r="M688" s="4">
        <v>0</v>
      </c>
      <c r="N688" s="4">
        <f t="shared" si="89"/>
        <v>360538.74</v>
      </c>
      <c r="O688" s="4">
        <v>9617.09</v>
      </c>
      <c r="P688" s="4">
        <f t="shared" si="84"/>
        <v>145.58000000000001</v>
      </c>
      <c r="Q688" s="4">
        <f>'Форма 2'!K2481</f>
        <v>239</v>
      </c>
      <c r="R688" s="53" t="s">
        <v>161</v>
      </c>
      <c r="S688" s="5">
        <v>1</v>
      </c>
      <c r="T688" s="1"/>
    </row>
    <row r="689" spans="1:21" s="2" customFormat="1" x14ac:dyDescent="0.35">
      <c r="A689" s="20">
        <f t="shared" si="90"/>
        <v>246</v>
      </c>
      <c r="B689" s="101">
        <v>2454</v>
      </c>
      <c r="C689" s="102" t="s">
        <v>588</v>
      </c>
      <c r="D689" s="60">
        <v>1980</v>
      </c>
      <c r="E689" s="25" t="s">
        <v>74</v>
      </c>
      <c r="F689" s="25" t="s">
        <v>152</v>
      </c>
      <c r="G689" s="4">
        <v>3981.78</v>
      </c>
      <c r="H689" s="4">
        <v>3640.78</v>
      </c>
      <c r="I689" s="104">
        <v>178</v>
      </c>
      <c r="J689" s="4">
        <f>'Форма 2'!I2483</f>
        <v>565597.78</v>
      </c>
      <c r="K689" s="4">
        <v>0</v>
      </c>
      <c r="L689" s="4">
        <v>0</v>
      </c>
      <c r="M689" s="4">
        <v>0</v>
      </c>
      <c r="N689" s="4">
        <f t="shared" si="89"/>
        <v>542942.81000000006</v>
      </c>
      <c r="O689" s="4">
        <v>22654.97</v>
      </c>
      <c r="P689" s="4">
        <f t="shared" si="84"/>
        <v>155.35</v>
      </c>
      <c r="Q689" s="4">
        <f>'Форма 2'!K2483</f>
        <v>169</v>
      </c>
      <c r="R689" s="53" t="s">
        <v>161</v>
      </c>
      <c r="S689" s="5">
        <v>1</v>
      </c>
      <c r="T689" s="1"/>
    </row>
    <row r="690" spans="1:21" s="2" customFormat="1" x14ac:dyDescent="0.35">
      <c r="A690" s="20">
        <f t="shared" si="90"/>
        <v>247</v>
      </c>
      <c r="B690" s="101">
        <v>2455</v>
      </c>
      <c r="C690" s="102" t="s">
        <v>589</v>
      </c>
      <c r="D690" s="60">
        <v>1979</v>
      </c>
      <c r="E690" s="60" t="s">
        <v>74</v>
      </c>
      <c r="F690" s="60" t="s">
        <v>152</v>
      </c>
      <c r="G690" s="4">
        <v>2624.5</v>
      </c>
      <c r="H690" s="4">
        <v>2363.5</v>
      </c>
      <c r="I690" s="104">
        <v>131</v>
      </c>
      <c r="J690" s="4">
        <f>'Форма 2'!I2485</f>
        <v>372968.5</v>
      </c>
      <c r="K690" s="4">
        <v>0</v>
      </c>
      <c r="L690" s="4">
        <v>0</v>
      </c>
      <c r="M690" s="4">
        <v>0</v>
      </c>
      <c r="N690" s="4">
        <f t="shared" si="89"/>
        <v>358261.48</v>
      </c>
      <c r="O690" s="4">
        <v>14707.02</v>
      </c>
      <c r="P690" s="4">
        <f t="shared" si="84"/>
        <v>157.80000000000001</v>
      </c>
      <c r="Q690" s="4">
        <f>'Форма 2'!K2485</f>
        <v>169</v>
      </c>
      <c r="R690" s="53" t="s">
        <v>161</v>
      </c>
      <c r="S690" s="5">
        <v>1</v>
      </c>
      <c r="T690" s="1"/>
    </row>
    <row r="691" spans="1:21" x14ac:dyDescent="0.35">
      <c r="A691" s="20">
        <f t="shared" si="90"/>
        <v>248</v>
      </c>
      <c r="B691" s="101">
        <v>2457</v>
      </c>
      <c r="C691" s="102" t="s">
        <v>590</v>
      </c>
      <c r="D691" s="60">
        <v>1979</v>
      </c>
      <c r="E691" s="25" t="s">
        <v>74</v>
      </c>
      <c r="F691" s="25" t="s">
        <v>152</v>
      </c>
      <c r="G691" s="4">
        <f>3930+1358.2</f>
        <v>5288.2</v>
      </c>
      <c r="H691" s="4">
        <v>3930</v>
      </c>
      <c r="I691" s="104">
        <v>209</v>
      </c>
      <c r="J691" s="4">
        <f>'Форма 2'!I2487</f>
        <v>472981.9</v>
      </c>
      <c r="K691" s="4">
        <v>0</v>
      </c>
      <c r="L691" s="4">
        <v>0</v>
      </c>
      <c r="M691" s="4">
        <v>0</v>
      </c>
      <c r="N691" s="4">
        <f t="shared" si="89"/>
        <v>454146.83</v>
      </c>
      <c r="O691" s="4">
        <v>18835.07</v>
      </c>
      <c r="P691" s="4">
        <f t="shared" si="84"/>
        <v>120.35</v>
      </c>
      <c r="Q691" s="4">
        <f>'Форма 2'!K2487</f>
        <v>169</v>
      </c>
      <c r="R691" s="53" t="s">
        <v>161</v>
      </c>
      <c r="S691" s="5">
        <v>1</v>
      </c>
      <c r="U691" s="2"/>
    </row>
    <row r="692" spans="1:21" x14ac:dyDescent="0.35">
      <c r="A692" s="20">
        <f t="shared" si="90"/>
        <v>249</v>
      </c>
      <c r="B692" s="101">
        <v>2303</v>
      </c>
      <c r="C692" s="102" t="s">
        <v>591</v>
      </c>
      <c r="D692" s="60">
        <v>1976</v>
      </c>
      <c r="E692" s="25" t="s">
        <v>74</v>
      </c>
      <c r="F692" s="25" t="s">
        <v>152</v>
      </c>
      <c r="G692" s="4">
        <v>14384.1</v>
      </c>
      <c r="H692" s="4">
        <v>12308.1</v>
      </c>
      <c r="I692" s="104">
        <v>520</v>
      </c>
      <c r="J692" s="4">
        <f>'Форма 2'!I2489</f>
        <v>644092.43999999994</v>
      </c>
      <c r="K692" s="4">
        <v>0</v>
      </c>
      <c r="L692" s="4">
        <v>0</v>
      </c>
      <c r="M692" s="4">
        <v>0</v>
      </c>
      <c r="N692" s="4">
        <f>J692-K692-L692-M692-O692</f>
        <v>614387.39</v>
      </c>
      <c r="O692" s="4">
        <v>29705.05</v>
      </c>
      <c r="P692" s="4">
        <f t="shared" si="84"/>
        <v>52.33</v>
      </c>
      <c r="Q692" s="4">
        <f>'Форма 2'!K2489</f>
        <v>164</v>
      </c>
      <c r="R692" s="53" t="s">
        <v>161</v>
      </c>
      <c r="S692" s="5">
        <v>1</v>
      </c>
      <c r="U692" s="2"/>
    </row>
    <row r="693" spans="1:21" x14ac:dyDescent="0.35">
      <c r="A693" s="20">
        <f t="shared" si="90"/>
        <v>250</v>
      </c>
      <c r="B693" s="20">
        <v>2307</v>
      </c>
      <c r="C693" s="61" t="s">
        <v>423</v>
      </c>
      <c r="D693" s="60">
        <v>1973</v>
      </c>
      <c r="E693" s="60" t="s">
        <v>74</v>
      </c>
      <c r="F693" s="60" t="s">
        <v>481</v>
      </c>
      <c r="G693" s="4">
        <v>3135.2</v>
      </c>
      <c r="H693" s="4">
        <v>2904.2</v>
      </c>
      <c r="I693" s="19">
        <v>132</v>
      </c>
      <c r="J693" s="4">
        <f>'Форма 2'!I2491</f>
        <v>5805800.7400000002</v>
      </c>
      <c r="K693" s="4">
        <v>0</v>
      </c>
      <c r="L693" s="4">
        <v>0</v>
      </c>
      <c r="M693" s="4">
        <v>0</v>
      </c>
      <c r="N693" s="4">
        <f t="shared" si="89"/>
        <v>5585482</v>
      </c>
      <c r="O693" s="4">
        <v>220318.74</v>
      </c>
      <c r="P693" s="4">
        <f t="shared" si="84"/>
        <v>1999.1</v>
      </c>
      <c r="Q693" s="4">
        <f>'Форма 2'!K2491</f>
        <v>3242</v>
      </c>
      <c r="R693" s="53" t="s">
        <v>161</v>
      </c>
      <c r="S693" s="5">
        <v>1</v>
      </c>
      <c r="U693" s="2"/>
    </row>
    <row r="694" spans="1:21" x14ac:dyDescent="0.35">
      <c r="A694" s="20">
        <f t="shared" si="90"/>
        <v>251</v>
      </c>
      <c r="B694" s="101">
        <v>2315</v>
      </c>
      <c r="C694" s="102" t="s">
        <v>149</v>
      </c>
      <c r="D694" s="60">
        <v>1960</v>
      </c>
      <c r="E694" s="25" t="s">
        <v>74</v>
      </c>
      <c r="F694" s="25" t="s">
        <v>152</v>
      </c>
      <c r="G694" s="4">
        <v>723.5</v>
      </c>
      <c r="H694" s="4">
        <v>669.5</v>
      </c>
      <c r="I694" s="104">
        <v>31</v>
      </c>
      <c r="J694" s="4">
        <f>'Форма 2'!I2494</f>
        <v>90030.79</v>
      </c>
      <c r="K694" s="4">
        <v>0</v>
      </c>
      <c r="L694" s="4">
        <v>0</v>
      </c>
      <c r="M694" s="4">
        <v>0</v>
      </c>
      <c r="N694" s="4">
        <f t="shared" si="89"/>
        <v>85509.15</v>
      </c>
      <c r="O694" s="4">
        <v>4521.6400000000003</v>
      </c>
      <c r="P694" s="4">
        <f>J694/H694</f>
        <v>134.47</v>
      </c>
      <c r="Q694" s="4">
        <f>'Форма 2'!K2494</f>
        <v>260</v>
      </c>
      <c r="R694" s="53" t="s">
        <v>161</v>
      </c>
      <c r="S694" s="5">
        <v>1</v>
      </c>
    </row>
    <row r="695" spans="1:21" x14ac:dyDescent="0.35">
      <c r="A695" s="20">
        <f t="shared" si="90"/>
        <v>252</v>
      </c>
      <c r="B695" s="20">
        <v>2880</v>
      </c>
      <c r="C695" s="61" t="s">
        <v>425</v>
      </c>
      <c r="D695" s="60">
        <v>1917</v>
      </c>
      <c r="E695" s="60" t="s">
        <v>74</v>
      </c>
      <c r="F695" s="60" t="s">
        <v>481</v>
      </c>
      <c r="G695" s="4">
        <v>245.6</v>
      </c>
      <c r="H695" s="4">
        <v>222.1</v>
      </c>
      <c r="I695" s="19">
        <v>18</v>
      </c>
      <c r="J695" s="4">
        <f>'Форма 2'!I2496</f>
        <v>1108412.26</v>
      </c>
      <c r="K695" s="4">
        <v>0</v>
      </c>
      <c r="L695" s="4">
        <v>0</v>
      </c>
      <c r="M695" s="4">
        <v>0</v>
      </c>
      <c r="N695" s="4">
        <f t="shared" si="89"/>
        <v>1066356.3999999999</v>
      </c>
      <c r="O695" s="4">
        <v>42055.86</v>
      </c>
      <c r="P695" s="4">
        <f>J695/H695</f>
        <v>4990.6000000000004</v>
      </c>
      <c r="Q695" s="4">
        <f>'Форма 2'!K2496</f>
        <v>7066</v>
      </c>
      <c r="R695" s="53" t="s">
        <v>161</v>
      </c>
      <c r="S695" s="5">
        <v>1</v>
      </c>
    </row>
    <row r="696" spans="1:21" x14ac:dyDescent="0.35">
      <c r="A696" s="20">
        <f t="shared" si="90"/>
        <v>253</v>
      </c>
      <c r="B696" s="20">
        <v>2911</v>
      </c>
      <c r="C696" s="61" t="s">
        <v>426</v>
      </c>
      <c r="D696" s="60">
        <v>1900</v>
      </c>
      <c r="E696" s="25" t="s">
        <v>74</v>
      </c>
      <c r="F696" s="25" t="s">
        <v>758</v>
      </c>
      <c r="G696" s="4">
        <v>208.24</v>
      </c>
      <c r="H696" s="4">
        <v>170.5</v>
      </c>
      <c r="I696" s="19">
        <v>9</v>
      </c>
      <c r="J696" s="4">
        <f>'Форма 2'!I2499</f>
        <v>522122.04</v>
      </c>
      <c r="K696" s="4">
        <v>0</v>
      </c>
      <c r="L696" s="4">
        <v>0</v>
      </c>
      <c r="M696" s="4">
        <v>0</v>
      </c>
      <c r="N696" s="4">
        <f t="shared" si="89"/>
        <v>508695.89</v>
      </c>
      <c r="O696" s="4">
        <v>13426.15</v>
      </c>
      <c r="P696" s="4">
        <f>J696/H696</f>
        <v>3062.3</v>
      </c>
      <c r="Q696" s="4">
        <f>'Форма 2'!K2499</f>
        <v>11888</v>
      </c>
      <c r="R696" s="53" t="s">
        <v>493</v>
      </c>
      <c r="S696" s="5">
        <v>1</v>
      </c>
    </row>
    <row r="697" spans="1:21" x14ac:dyDescent="0.35">
      <c r="A697" s="20">
        <f t="shared" si="90"/>
        <v>254</v>
      </c>
      <c r="B697" s="101">
        <v>2482</v>
      </c>
      <c r="C697" s="102" t="s">
        <v>150</v>
      </c>
      <c r="D697" s="60">
        <v>1953</v>
      </c>
      <c r="E697" s="25" t="s">
        <v>74</v>
      </c>
      <c r="F697" s="25" t="s">
        <v>152</v>
      </c>
      <c r="G697" s="4">
        <f>949.1+288</f>
        <v>1237.0999999999999</v>
      </c>
      <c r="H697" s="4">
        <v>949.1</v>
      </c>
      <c r="I697" s="104">
        <v>55</v>
      </c>
      <c r="J697" s="4">
        <f>'Форма 2'!I2501</f>
        <v>196593.11</v>
      </c>
      <c r="K697" s="4">
        <v>0</v>
      </c>
      <c r="L697" s="4">
        <v>0</v>
      </c>
      <c r="M697" s="4">
        <v>0</v>
      </c>
      <c r="N697" s="4">
        <f t="shared" si="89"/>
        <v>190183.12</v>
      </c>
      <c r="O697" s="4">
        <v>6409.99</v>
      </c>
      <c r="P697" s="4">
        <f>J697/H697</f>
        <v>207.14</v>
      </c>
      <c r="Q697" s="4">
        <f>'Форма 2'!K2501</f>
        <v>252</v>
      </c>
      <c r="R697" s="53" t="s">
        <v>161</v>
      </c>
      <c r="S697" s="5">
        <v>1</v>
      </c>
    </row>
    <row r="698" spans="1:21" x14ac:dyDescent="0.35">
      <c r="A698" s="227" t="s">
        <v>36</v>
      </c>
      <c r="B698" s="227"/>
      <c r="C698" s="227"/>
      <c r="D698" s="18" t="s">
        <v>13</v>
      </c>
      <c r="E698" s="4" t="s">
        <v>13</v>
      </c>
      <c r="F698" s="4" t="s">
        <v>13</v>
      </c>
      <c r="G698" s="16">
        <f>G699</f>
        <v>1983.8</v>
      </c>
      <c r="H698" s="16">
        <f t="shared" ref="H698:O698" si="91">H699</f>
        <v>1267</v>
      </c>
      <c r="I698" s="17">
        <f t="shared" si="91"/>
        <v>49</v>
      </c>
      <c r="J698" s="16">
        <f t="shared" si="91"/>
        <v>247740.95</v>
      </c>
      <c r="K698" s="16">
        <f t="shared" si="91"/>
        <v>0</v>
      </c>
      <c r="L698" s="16">
        <f t="shared" si="91"/>
        <v>0</v>
      </c>
      <c r="M698" s="16">
        <f t="shared" si="91"/>
        <v>0</v>
      </c>
      <c r="N698" s="16">
        <f t="shared" si="91"/>
        <v>127281.12</v>
      </c>
      <c r="O698" s="16">
        <f t="shared" si="91"/>
        <v>120459.83</v>
      </c>
      <c r="P698" s="4" t="s">
        <v>13</v>
      </c>
      <c r="Q698" s="4" t="s">
        <v>13</v>
      </c>
      <c r="R698" s="4" t="s">
        <v>13</v>
      </c>
      <c r="S698" s="19" t="s">
        <v>13</v>
      </c>
    </row>
    <row r="699" spans="1:21" x14ac:dyDescent="0.35">
      <c r="A699" s="65">
        <v>1</v>
      </c>
      <c r="B699" s="65">
        <v>4850</v>
      </c>
      <c r="C699" s="66" t="s">
        <v>592</v>
      </c>
      <c r="D699" s="46">
        <v>1988</v>
      </c>
      <c r="E699" s="46" t="s">
        <v>74</v>
      </c>
      <c r="F699" s="46" t="s">
        <v>152</v>
      </c>
      <c r="G699" s="50">
        <v>1983.8</v>
      </c>
      <c r="H699" s="4">
        <v>1267</v>
      </c>
      <c r="I699" s="67">
        <v>49</v>
      </c>
      <c r="J699" s="4">
        <f>'Форма 2'!I2504</f>
        <v>247740.95</v>
      </c>
      <c r="K699" s="4">
        <v>0</v>
      </c>
      <c r="L699" s="4">
        <v>0</v>
      </c>
      <c r="M699" s="4">
        <v>0</v>
      </c>
      <c r="N699" s="4">
        <f>J699-O699</f>
        <v>127281.12</v>
      </c>
      <c r="O699" s="4">
        <v>120459.83</v>
      </c>
      <c r="P699" s="4">
        <f>J699/H699</f>
        <v>195.53</v>
      </c>
      <c r="Q699" s="4">
        <f>'Форма 2'!K2504</f>
        <v>239</v>
      </c>
      <c r="R699" s="26" t="s">
        <v>161</v>
      </c>
      <c r="S699" s="5">
        <v>1</v>
      </c>
    </row>
    <row r="700" spans="1:21" x14ac:dyDescent="0.35">
      <c r="A700" s="232" t="s">
        <v>37</v>
      </c>
      <c r="B700" s="232"/>
      <c r="C700" s="232"/>
      <c r="D700" s="18" t="s">
        <v>13</v>
      </c>
      <c r="E700" s="4" t="s">
        <v>13</v>
      </c>
      <c r="F700" s="4" t="s">
        <v>13</v>
      </c>
      <c r="G700" s="50">
        <f>SUM(G701:G703)</f>
        <v>1290.46</v>
      </c>
      <c r="H700" s="50">
        <f t="shared" ref="H700:O700" si="92">SUM(H701:H703)</f>
        <v>1135.81</v>
      </c>
      <c r="I700" s="56">
        <f t="shared" si="92"/>
        <v>73</v>
      </c>
      <c r="J700" s="50">
        <f t="shared" si="92"/>
        <v>3242197.93</v>
      </c>
      <c r="K700" s="50">
        <f t="shared" si="92"/>
        <v>0</v>
      </c>
      <c r="L700" s="50">
        <f t="shared" si="92"/>
        <v>0</v>
      </c>
      <c r="M700" s="50">
        <f t="shared" si="92"/>
        <v>0</v>
      </c>
      <c r="N700" s="50">
        <f>SUM(N701:N703)</f>
        <v>3047155.68</v>
      </c>
      <c r="O700" s="50">
        <f t="shared" si="92"/>
        <v>195042.25</v>
      </c>
      <c r="P700" s="4" t="s">
        <v>13</v>
      </c>
      <c r="Q700" s="4" t="s">
        <v>13</v>
      </c>
      <c r="R700" s="4" t="s">
        <v>13</v>
      </c>
      <c r="S700" s="19" t="s">
        <v>13</v>
      </c>
    </row>
    <row r="701" spans="1:21" x14ac:dyDescent="0.35">
      <c r="A701" s="68">
        <v>1</v>
      </c>
      <c r="B701" s="68">
        <v>7336</v>
      </c>
      <c r="C701" s="70" t="s">
        <v>593</v>
      </c>
      <c r="D701" s="71">
        <v>1941</v>
      </c>
      <c r="E701" s="60" t="s">
        <v>434</v>
      </c>
      <c r="F701" s="71" t="s">
        <v>152</v>
      </c>
      <c r="G701" s="72">
        <v>326.57</v>
      </c>
      <c r="H701" s="16">
        <v>288.99</v>
      </c>
      <c r="I701" s="73">
        <v>18</v>
      </c>
      <c r="J701" s="4">
        <f>'Форма 2'!I2507</f>
        <v>123398.73</v>
      </c>
      <c r="K701" s="4">
        <v>0</v>
      </c>
      <c r="L701" s="4">
        <v>0</v>
      </c>
      <c r="M701" s="4">
        <v>0</v>
      </c>
      <c r="N701" s="4">
        <f t="shared" ref="N701:N703" si="93">J701-K701-L701-M701-O701</f>
        <v>116623.37</v>
      </c>
      <c r="O701" s="4">
        <v>6775.36</v>
      </c>
      <c r="P701" s="4">
        <f>J701/H701</f>
        <v>427</v>
      </c>
      <c r="Q701" s="4">
        <f>'Форма 2'!K2507</f>
        <v>427</v>
      </c>
      <c r="R701" s="53" t="s">
        <v>161</v>
      </c>
      <c r="S701" s="5">
        <v>1</v>
      </c>
    </row>
    <row r="702" spans="1:21" x14ac:dyDescent="0.35">
      <c r="A702" s="68">
        <f>A701+1</f>
        <v>2</v>
      </c>
      <c r="B702" s="47">
        <v>7309</v>
      </c>
      <c r="C702" s="69" t="s">
        <v>594</v>
      </c>
      <c r="D702" s="60">
        <v>1975</v>
      </c>
      <c r="E702" s="60" t="s">
        <v>434</v>
      </c>
      <c r="F702" s="60" t="s">
        <v>152</v>
      </c>
      <c r="G702" s="50">
        <v>595.89</v>
      </c>
      <c r="H702" s="50">
        <v>527.49</v>
      </c>
      <c r="I702" s="56">
        <v>28</v>
      </c>
      <c r="J702" s="4">
        <f>'Форма 2'!I2510</f>
        <v>165367.6</v>
      </c>
      <c r="K702" s="50">
        <v>0</v>
      </c>
      <c r="L702" s="50">
        <v>0</v>
      </c>
      <c r="M702" s="50">
        <v>0</v>
      </c>
      <c r="N702" s="4">
        <f t="shared" si="93"/>
        <v>153000.62</v>
      </c>
      <c r="O702" s="4">
        <v>12366.98</v>
      </c>
      <c r="P702" s="4">
        <f>J702/H702</f>
        <v>313.5</v>
      </c>
      <c r="Q702" s="4">
        <f>'Форма 2'!K2510</f>
        <v>427</v>
      </c>
      <c r="R702" s="53" t="s">
        <v>161</v>
      </c>
      <c r="S702" s="19">
        <v>1</v>
      </c>
    </row>
    <row r="703" spans="1:21" x14ac:dyDescent="0.35">
      <c r="A703" s="68">
        <f>A702+1</f>
        <v>3</v>
      </c>
      <c r="B703" s="68">
        <v>7310</v>
      </c>
      <c r="C703" s="69" t="s">
        <v>433</v>
      </c>
      <c r="D703" s="60">
        <v>1956</v>
      </c>
      <c r="E703" s="60" t="s">
        <v>434</v>
      </c>
      <c r="F703" s="60" t="s">
        <v>155</v>
      </c>
      <c r="G703" s="50">
        <v>368</v>
      </c>
      <c r="H703" s="50">
        <v>319.33</v>
      </c>
      <c r="I703" s="19">
        <v>27</v>
      </c>
      <c r="J703" s="4">
        <f>'Форма 2'!I2513</f>
        <v>2953431.6</v>
      </c>
      <c r="K703" s="50">
        <f>K706</f>
        <v>0</v>
      </c>
      <c r="L703" s="50">
        <f>L706</f>
        <v>0</v>
      </c>
      <c r="M703" s="50">
        <f>M706</f>
        <v>0</v>
      </c>
      <c r="N703" s="4">
        <f t="shared" si="93"/>
        <v>2777531.69</v>
      </c>
      <c r="O703" s="50">
        <v>175899.91</v>
      </c>
      <c r="P703" s="50">
        <f>J703/H703</f>
        <v>9248.84</v>
      </c>
      <c r="Q703" s="50">
        <f>'Форма 2'!K2513</f>
        <v>9492</v>
      </c>
      <c r="R703" s="82" t="s">
        <v>161</v>
      </c>
      <c r="S703" s="68">
        <v>1</v>
      </c>
    </row>
    <row r="704" spans="1:21" x14ac:dyDescent="0.35">
      <c r="A704" s="232" t="s">
        <v>39</v>
      </c>
      <c r="B704" s="232"/>
      <c r="C704" s="232"/>
      <c r="D704" s="18" t="s">
        <v>13</v>
      </c>
      <c r="E704" s="4" t="s">
        <v>13</v>
      </c>
      <c r="F704" s="4" t="s">
        <v>13</v>
      </c>
      <c r="G704" s="4">
        <f>G705+G706</f>
        <v>948</v>
      </c>
      <c r="H704" s="4">
        <f t="shared" ref="H704:O704" si="94">H705+H706</f>
        <v>858</v>
      </c>
      <c r="I704" s="19">
        <f t="shared" si="94"/>
        <v>52</v>
      </c>
      <c r="J704" s="4">
        <f t="shared" si="94"/>
        <v>1653320.8</v>
      </c>
      <c r="K704" s="4">
        <f t="shared" si="94"/>
        <v>0</v>
      </c>
      <c r="L704" s="4">
        <f t="shared" si="94"/>
        <v>0</v>
      </c>
      <c r="M704" s="4">
        <f t="shared" si="94"/>
        <v>0</v>
      </c>
      <c r="N704" s="4">
        <f t="shared" si="94"/>
        <v>1549206.29</v>
      </c>
      <c r="O704" s="4">
        <f t="shared" si="94"/>
        <v>104114.51</v>
      </c>
      <c r="P704" s="4" t="s">
        <v>13</v>
      </c>
      <c r="Q704" s="4" t="s">
        <v>13</v>
      </c>
      <c r="R704" s="4" t="s">
        <v>13</v>
      </c>
      <c r="S704" s="19" t="s">
        <v>13</v>
      </c>
    </row>
    <row r="705" spans="1:21" s="3" customFormat="1" x14ac:dyDescent="0.35">
      <c r="A705" s="65">
        <v>1</v>
      </c>
      <c r="B705" s="65">
        <v>6736</v>
      </c>
      <c r="C705" s="70" t="s">
        <v>595</v>
      </c>
      <c r="D705" s="71">
        <v>1963</v>
      </c>
      <c r="E705" s="21" t="s">
        <v>74</v>
      </c>
      <c r="F705" s="21" t="s">
        <v>152</v>
      </c>
      <c r="G705" s="72">
        <v>426.2</v>
      </c>
      <c r="H705" s="35">
        <v>401.2</v>
      </c>
      <c r="I705" s="73">
        <v>15</v>
      </c>
      <c r="J705" s="4">
        <f>'Форма 2'!I2519</f>
        <v>104312</v>
      </c>
      <c r="K705" s="4">
        <v>0</v>
      </c>
      <c r="L705" s="4">
        <v>0</v>
      </c>
      <c r="M705" s="4">
        <v>0</v>
      </c>
      <c r="N705" s="4">
        <f>J705-O705</f>
        <v>99683.12</v>
      </c>
      <c r="O705" s="4">
        <v>4628.88</v>
      </c>
      <c r="P705" s="35">
        <f>J705/H705</f>
        <v>260</v>
      </c>
      <c r="Q705" s="16">
        <f>'Форма 2'!K2519</f>
        <v>260</v>
      </c>
      <c r="R705" s="26" t="s">
        <v>161</v>
      </c>
      <c r="S705" s="5">
        <v>1</v>
      </c>
      <c r="T705" s="1"/>
      <c r="U705" s="1"/>
    </row>
    <row r="706" spans="1:21" x14ac:dyDescent="0.35">
      <c r="A706" s="68">
        <f>A705+1</f>
        <v>2</v>
      </c>
      <c r="B706" s="68">
        <v>6742</v>
      </c>
      <c r="C706" s="70" t="s">
        <v>437</v>
      </c>
      <c r="D706" s="71">
        <v>1952</v>
      </c>
      <c r="E706" s="71" t="s">
        <v>596</v>
      </c>
      <c r="F706" s="71" t="s">
        <v>183</v>
      </c>
      <c r="G706" s="72">
        <v>521.79999999999995</v>
      </c>
      <c r="H706" s="35">
        <v>456.8</v>
      </c>
      <c r="I706" s="73">
        <v>37</v>
      </c>
      <c r="J706" s="35">
        <f>'Форма 2'!I2521</f>
        <v>1549008.8</v>
      </c>
      <c r="K706" s="35">
        <v>0</v>
      </c>
      <c r="L706" s="35">
        <v>0</v>
      </c>
      <c r="M706" s="35">
        <v>0</v>
      </c>
      <c r="N706" s="35">
        <f>J706-O706</f>
        <v>1449523.17</v>
      </c>
      <c r="O706" s="35">
        <v>99485.63</v>
      </c>
      <c r="P706" s="35">
        <f>J706/H706</f>
        <v>3391</v>
      </c>
      <c r="Q706" s="41">
        <f>'Форма 2'!K2521</f>
        <v>3391</v>
      </c>
      <c r="R706" s="95" t="s">
        <v>161</v>
      </c>
      <c r="S706" s="63">
        <v>1</v>
      </c>
    </row>
    <row r="707" spans="1:21" x14ac:dyDescent="0.35">
      <c r="A707" s="232" t="s">
        <v>40</v>
      </c>
      <c r="B707" s="232"/>
      <c r="C707" s="232"/>
      <c r="D707" s="18" t="s">
        <v>13</v>
      </c>
      <c r="E707" s="4" t="s">
        <v>13</v>
      </c>
      <c r="F707" s="4" t="s">
        <v>13</v>
      </c>
      <c r="G707" s="4">
        <f t="shared" ref="G707:O707" si="95">SUM(G708:G728)</f>
        <v>17807.47</v>
      </c>
      <c r="H707" s="4">
        <f t="shared" si="95"/>
        <v>14448.9</v>
      </c>
      <c r="I707" s="19">
        <f t="shared" si="95"/>
        <v>507</v>
      </c>
      <c r="J707" s="4">
        <f t="shared" si="95"/>
        <v>27784828.149999999</v>
      </c>
      <c r="K707" s="4">
        <f t="shared" si="95"/>
        <v>0</v>
      </c>
      <c r="L707" s="4">
        <f t="shared" si="95"/>
        <v>0</v>
      </c>
      <c r="M707" s="4">
        <f t="shared" si="95"/>
        <v>0</v>
      </c>
      <c r="N707" s="4">
        <f t="shared" si="95"/>
        <v>26515028.550000001</v>
      </c>
      <c r="O707" s="4">
        <f t="shared" si="95"/>
        <v>1269799.6000000001</v>
      </c>
      <c r="P707" s="4" t="s">
        <v>13</v>
      </c>
      <c r="Q707" s="4" t="s">
        <v>13</v>
      </c>
      <c r="R707" s="4" t="s">
        <v>13</v>
      </c>
      <c r="S707" s="19" t="s">
        <v>13</v>
      </c>
    </row>
    <row r="708" spans="1:21" x14ac:dyDescent="0.35">
      <c r="A708" s="65">
        <v>1</v>
      </c>
      <c r="B708" s="65">
        <v>5598</v>
      </c>
      <c r="C708" s="48" t="s">
        <v>597</v>
      </c>
      <c r="D708" s="46">
        <v>1958</v>
      </c>
      <c r="E708" s="46" t="s">
        <v>74</v>
      </c>
      <c r="F708" s="46" t="s">
        <v>160</v>
      </c>
      <c r="G708" s="50">
        <v>454.4</v>
      </c>
      <c r="H708" s="4">
        <v>430.4</v>
      </c>
      <c r="I708" s="67">
        <v>14</v>
      </c>
      <c r="J708" s="4">
        <f>'Форма 2'!I2529</f>
        <v>858217.82</v>
      </c>
      <c r="K708" s="4">
        <v>0</v>
      </c>
      <c r="L708" s="4">
        <v>0</v>
      </c>
      <c r="M708" s="4">
        <v>0</v>
      </c>
      <c r="N708" s="4">
        <f>J708-K708-L708-M708-O708</f>
        <v>812775.37</v>
      </c>
      <c r="O708" s="4">
        <v>45442.45</v>
      </c>
      <c r="P708" s="4">
        <f t="shared" ref="P708:P728" si="96">J708/H708</f>
        <v>1994</v>
      </c>
      <c r="Q708" s="4">
        <f>'Форма 2'!K2529</f>
        <v>7640</v>
      </c>
      <c r="R708" s="26" t="s">
        <v>493</v>
      </c>
      <c r="S708" s="5">
        <v>1</v>
      </c>
    </row>
    <row r="709" spans="1:21" x14ac:dyDescent="0.35">
      <c r="A709" s="65">
        <f>A708+1</f>
        <v>2</v>
      </c>
      <c r="B709" s="65">
        <v>5398</v>
      </c>
      <c r="C709" s="48" t="s">
        <v>598</v>
      </c>
      <c r="D709" s="46">
        <v>1958</v>
      </c>
      <c r="E709" s="46" t="s">
        <v>74</v>
      </c>
      <c r="F709" s="46" t="s">
        <v>152</v>
      </c>
      <c r="G709" s="50">
        <v>482.6</v>
      </c>
      <c r="H709" s="4">
        <v>474.6</v>
      </c>
      <c r="I709" s="67">
        <v>15</v>
      </c>
      <c r="J709" s="4">
        <f>'Форма 2'!I2532</f>
        <v>84004.2</v>
      </c>
      <c r="K709" s="4">
        <v>0</v>
      </c>
      <c r="L709" s="4">
        <v>0</v>
      </c>
      <c r="M709" s="4">
        <v>0</v>
      </c>
      <c r="N709" s="4">
        <f>J709-K709-L709-M709-O709</f>
        <v>80295.199999999997</v>
      </c>
      <c r="O709" s="4">
        <v>3709</v>
      </c>
      <c r="P709" s="4">
        <f t="shared" si="96"/>
        <v>177</v>
      </c>
      <c r="Q709" s="4">
        <f>'Форма 2'!K2532</f>
        <v>259</v>
      </c>
      <c r="R709" s="26" t="s">
        <v>161</v>
      </c>
      <c r="S709" s="5">
        <v>1</v>
      </c>
    </row>
    <row r="710" spans="1:21" x14ac:dyDescent="0.35">
      <c r="A710" s="65">
        <f>A709+1</f>
        <v>3</v>
      </c>
      <c r="B710" s="65">
        <v>5399</v>
      </c>
      <c r="C710" s="48" t="s">
        <v>599</v>
      </c>
      <c r="D710" s="49">
        <v>1958</v>
      </c>
      <c r="E710" s="49" t="s">
        <v>74</v>
      </c>
      <c r="F710" s="49" t="s">
        <v>160</v>
      </c>
      <c r="G710" s="50">
        <v>447.2</v>
      </c>
      <c r="H710" s="4">
        <v>413</v>
      </c>
      <c r="I710" s="74">
        <v>13</v>
      </c>
      <c r="J710" s="4">
        <f>'Форма 2'!I2534</f>
        <v>845434.11</v>
      </c>
      <c r="K710" s="4">
        <v>0</v>
      </c>
      <c r="L710" s="4">
        <v>0</v>
      </c>
      <c r="M710" s="4">
        <v>0</v>
      </c>
      <c r="N710" s="4">
        <f>J710-K710-L710-M710-O710</f>
        <v>801828.78</v>
      </c>
      <c r="O710" s="4">
        <v>43605.33</v>
      </c>
      <c r="P710" s="4">
        <f t="shared" si="96"/>
        <v>2047.06</v>
      </c>
      <c r="Q710" s="4">
        <f>'Форма 2'!K2534</f>
        <v>7640</v>
      </c>
      <c r="R710" s="26" t="s">
        <v>493</v>
      </c>
      <c r="S710" s="5">
        <v>1</v>
      </c>
    </row>
    <row r="711" spans="1:21" x14ac:dyDescent="0.35">
      <c r="A711" s="65">
        <f t="shared" ref="A711:A728" si="97">A710+1</f>
        <v>4</v>
      </c>
      <c r="B711" s="107">
        <v>5400</v>
      </c>
      <c r="C711" s="108" t="s">
        <v>438</v>
      </c>
      <c r="D711" s="109">
        <v>1957</v>
      </c>
      <c r="E711" s="49" t="s">
        <v>230</v>
      </c>
      <c r="F711" s="49" t="s">
        <v>481</v>
      </c>
      <c r="G711" s="50">
        <v>464.7</v>
      </c>
      <c r="H711" s="4">
        <v>427.3</v>
      </c>
      <c r="I711" s="67">
        <v>14</v>
      </c>
      <c r="J711" s="4">
        <f>'Форма 2'!I2537</f>
        <v>1754365.61</v>
      </c>
      <c r="K711" s="4">
        <v>0</v>
      </c>
      <c r="L711" s="4">
        <v>0</v>
      </c>
      <c r="M711" s="4">
        <v>0</v>
      </c>
      <c r="N711" s="4">
        <f>J711-K711-L711-M711-O711</f>
        <v>1676905.96</v>
      </c>
      <c r="O711" s="4">
        <v>77459.649999999994</v>
      </c>
      <c r="P711" s="4">
        <f t="shared" si="96"/>
        <v>4105.7</v>
      </c>
      <c r="Q711" s="33">
        <f>'Форма 2'!K2537</f>
        <v>5813</v>
      </c>
      <c r="R711" s="26" t="s">
        <v>161</v>
      </c>
      <c r="S711" s="5">
        <v>1</v>
      </c>
    </row>
    <row r="712" spans="1:21" x14ac:dyDescent="0.35">
      <c r="A712" s="65">
        <f t="shared" si="97"/>
        <v>5</v>
      </c>
      <c r="B712" s="65">
        <v>5412</v>
      </c>
      <c r="C712" s="48" t="s">
        <v>600</v>
      </c>
      <c r="D712" s="110">
        <v>1958</v>
      </c>
      <c r="E712" s="46" t="s">
        <v>74</v>
      </c>
      <c r="F712" s="46" t="s">
        <v>152</v>
      </c>
      <c r="G712" s="50">
        <v>462.5</v>
      </c>
      <c r="H712" s="4">
        <v>442</v>
      </c>
      <c r="I712" s="74">
        <v>30</v>
      </c>
      <c r="J712" s="4">
        <f>'Форма 2'!I2540</f>
        <v>114478</v>
      </c>
      <c r="K712" s="4">
        <v>0</v>
      </c>
      <c r="L712" s="4">
        <v>0</v>
      </c>
      <c r="M712" s="4">
        <v>0</v>
      </c>
      <c r="N712" s="4">
        <f>J712-K712-L712-M712-O712</f>
        <v>111023.77</v>
      </c>
      <c r="O712" s="4">
        <v>3454.23</v>
      </c>
      <c r="P712" s="4">
        <f t="shared" si="96"/>
        <v>259</v>
      </c>
      <c r="Q712" s="4">
        <f>'Форма 2'!K2540</f>
        <v>259</v>
      </c>
      <c r="R712" s="26" t="s">
        <v>161</v>
      </c>
      <c r="S712" s="5">
        <v>1</v>
      </c>
    </row>
    <row r="713" spans="1:21" x14ac:dyDescent="0.35">
      <c r="A713" s="65">
        <f t="shared" si="97"/>
        <v>6</v>
      </c>
      <c r="B713" s="107">
        <v>5404</v>
      </c>
      <c r="C713" s="108" t="s">
        <v>439</v>
      </c>
      <c r="D713" s="46">
        <v>1957</v>
      </c>
      <c r="E713" s="49" t="s">
        <v>434</v>
      </c>
      <c r="F713" s="49" t="s">
        <v>155</v>
      </c>
      <c r="G713" s="50">
        <v>450.1</v>
      </c>
      <c r="H713" s="4">
        <v>418</v>
      </c>
      <c r="I713" s="74">
        <v>13</v>
      </c>
      <c r="J713" s="4">
        <f>'Форма 2'!I2542</f>
        <v>3967656</v>
      </c>
      <c r="K713" s="4">
        <v>0</v>
      </c>
      <c r="L713" s="4">
        <v>0</v>
      </c>
      <c r="M713" s="4">
        <v>0</v>
      </c>
      <c r="N713" s="4">
        <f t="shared" ref="N713:N728" si="98">J713-K713-L713-M713-O713</f>
        <v>3792474.01</v>
      </c>
      <c r="O713" s="4">
        <v>175181.99</v>
      </c>
      <c r="P713" s="4">
        <f t="shared" si="96"/>
        <v>9492</v>
      </c>
      <c r="Q713" s="33">
        <f>'Форма 2'!K2542</f>
        <v>9492</v>
      </c>
      <c r="R713" s="26" t="s">
        <v>161</v>
      </c>
      <c r="S713" s="5">
        <v>1</v>
      </c>
      <c r="U713" s="3"/>
    </row>
    <row r="714" spans="1:21" x14ac:dyDescent="0.35">
      <c r="A714" s="65">
        <f t="shared" si="97"/>
        <v>7</v>
      </c>
      <c r="B714" s="65">
        <v>5423</v>
      </c>
      <c r="C714" s="48" t="s">
        <v>601</v>
      </c>
      <c r="D714" s="49">
        <v>1974</v>
      </c>
      <c r="E714" s="49" t="s">
        <v>74</v>
      </c>
      <c r="F714" s="49" t="s">
        <v>152</v>
      </c>
      <c r="G714" s="50">
        <v>4287.87</v>
      </c>
      <c r="H714" s="4">
        <v>2954.3</v>
      </c>
      <c r="I714" s="75">
        <v>95</v>
      </c>
      <c r="J714" s="4">
        <f>'Форма 2'!I2547</f>
        <v>256734.64</v>
      </c>
      <c r="K714" s="4">
        <v>0</v>
      </c>
      <c r="L714" s="4">
        <v>0</v>
      </c>
      <c r="M714" s="4">
        <v>0</v>
      </c>
      <c r="N714" s="4">
        <f>J714-K714-L714-M714-O714</f>
        <v>234951.2</v>
      </c>
      <c r="O714" s="4">
        <v>21783.439999999999</v>
      </c>
      <c r="P714" s="4">
        <f>J714/H714</f>
        <v>86.9</v>
      </c>
      <c r="Q714" s="4">
        <f>'Форма 2'!K2547</f>
        <v>172</v>
      </c>
      <c r="R714" s="26" t="s">
        <v>161</v>
      </c>
      <c r="S714" s="5">
        <v>1</v>
      </c>
    </row>
    <row r="715" spans="1:21" x14ac:dyDescent="0.35">
      <c r="A715" s="65">
        <f t="shared" si="97"/>
        <v>8</v>
      </c>
      <c r="B715" s="65">
        <v>5611</v>
      </c>
      <c r="C715" s="48" t="s">
        <v>602</v>
      </c>
      <c r="D715" s="49">
        <v>1936</v>
      </c>
      <c r="E715" s="46" t="s">
        <v>230</v>
      </c>
      <c r="F715" s="46" t="s">
        <v>155</v>
      </c>
      <c r="G715" s="50">
        <v>497.2</v>
      </c>
      <c r="H715" s="4">
        <v>458.4</v>
      </c>
      <c r="I715" s="67">
        <v>27</v>
      </c>
      <c r="J715" s="4">
        <f>'Форма 2'!I2549</f>
        <v>1712632.04</v>
      </c>
      <c r="K715" s="4">
        <v>0</v>
      </c>
      <c r="L715" s="4">
        <v>0</v>
      </c>
      <c r="M715" s="4">
        <v>0</v>
      </c>
      <c r="N715" s="4">
        <f>J715-K715-L715-M715-O715</f>
        <v>1637015.03</v>
      </c>
      <c r="O715" s="4">
        <v>75617.009999999995</v>
      </c>
      <c r="P715" s="4">
        <f>J715/H715</f>
        <v>3736.11</v>
      </c>
      <c r="Q715" s="4">
        <f>'Форма 2'!K2549</f>
        <v>5813</v>
      </c>
      <c r="R715" s="26" t="s">
        <v>161</v>
      </c>
      <c r="S715" s="5">
        <v>1</v>
      </c>
    </row>
    <row r="716" spans="1:21" x14ac:dyDescent="0.35">
      <c r="A716" s="65">
        <f t="shared" si="97"/>
        <v>9</v>
      </c>
      <c r="B716" s="65">
        <v>5440</v>
      </c>
      <c r="C716" s="48" t="s">
        <v>444</v>
      </c>
      <c r="D716" s="49">
        <v>1961</v>
      </c>
      <c r="E716" s="46" t="s">
        <v>74</v>
      </c>
      <c r="F716" s="46" t="s">
        <v>481</v>
      </c>
      <c r="G716" s="50">
        <v>342.3</v>
      </c>
      <c r="H716" s="4">
        <v>331.9</v>
      </c>
      <c r="I716" s="74">
        <v>24</v>
      </c>
      <c r="J716" s="4">
        <f>'Форма 2'!I2552</f>
        <v>1315608.3799999999</v>
      </c>
      <c r="K716" s="4">
        <v>0</v>
      </c>
      <c r="L716" s="4">
        <v>0</v>
      </c>
      <c r="M716" s="4">
        <v>0</v>
      </c>
      <c r="N716" s="4">
        <f t="shared" si="98"/>
        <v>1237579.06</v>
      </c>
      <c r="O716" s="4">
        <v>78029.320000000007</v>
      </c>
      <c r="P716" s="4">
        <f t="shared" si="96"/>
        <v>3963.87</v>
      </c>
      <c r="Q716" s="4">
        <f>'Форма 2'!K2552</f>
        <v>7539</v>
      </c>
      <c r="R716" s="26" t="s">
        <v>161</v>
      </c>
      <c r="S716" s="5">
        <v>1</v>
      </c>
    </row>
    <row r="717" spans="1:21" x14ac:dyDescent="0.35">
      <c r="A717" s="65">
        <f t="shared" si="97"/>
        <v>10</v>
      </c>
      <c r="B717" s="65">
        <v>5436</v>
      </c>
      <c r="C717" s="48" t="s">
        <v>445</v>
      </c>
      <c r="D717" s="49">
        <v>1962</v>
      </c>
      <c r="E717" s="49" t="s">
        <v>434</v>
      </c>
      <c r="F717" s="49" t="s">
        <v>481</v>
      </c>
      <c r="G717" s="50">
        <v>338.7</v>
      </c>
      <c r="H717" s="4">
        <v>320.5</v>
      </c>
      <c r="I717" s="74">
        <v>10</v>
      </c>
      <c r="J717" s="4">
        <f>'Форма 2'!I2555</f>
        <v>2148664.0499999998</v>
      </c>
      <c r="K717" s="4">
        <v>0</v>
      </c>
      <c r="L717" s="4">
        <v>0</v>
      </c>
      <c r="M717" s="4">
        <v>0</v>
      </c>
      <c r="N717" s="4">
        <f t="shared" si="98"/>
        <v>2053795.13</v>
      </c>
      <c r="O717" s="4">
        <v>94868.92</v>
      </c>
      <c r="P717" s="4">
        <f t="shared" si="96"/>
        <v>6704.1</v>
      </c>
      <c r="Q717" s="4">
        <f>'Форма 2'!K2555</f>
        <v>9492</v>
      </c>
      <c r="R717" s="26" t="s">
        <v>161</v>
      </c>
      <c r="S717" s="5">
        <v>1</v>
      </c>
    </row>
    <row r="718" spans="1:21" x14ac:dyDescent="0.35">
      <c r="A718" s="65">
        <f t="shared" si="97"/>
        <v>11</v>
      </c>
      <c r="B718" s="107">
        <v>5452</v>
      </c>
      <c r="C718" s="108" t="s">
        <v>446</v>
      </c>
      <c r="D718" s="46">
        <v>1958</v>
      </c>
      <c r="E718" s="46" t="s">
        <v>434</v>
      </c>
      <c r="F718" s="46" t="s">
        <v>481</v>
      </c>
      <c r="G718" s="50">
        <v>380.8</v>
      </c>
      <c r="H718" s="4">
        <v>362</v>
      </c>
      <c r="I718" s="74">
        <v>12</v>
      </c>
      <c r="J718" s="4">
        <f>'Форма 2'!I2560</f>
        <v>2426884.2000000002</v>
      </c>
      <c r="K718" s="4">
        <v>0</v>
      </c>
      <c r="L718" s="4">
        <v>0</v>
      </c>
      <c r="M718" s="4">
        <v>0</v>
      </c>
      <c r="N718" s="4">
        <f t="shared" si="98"/>
        <v>2319731.16</v>
      </c>
      <c r="O718" s="4">
        <v>107153.04</v>
      </c>
      <c r="P718" s="4">
        <f t="shared" si="96"/>
        <v>6704.1</v>
      </c>
      <c r="Q718" s="4">
        <f>'Форма 2'!K2560</f>
        <v>9492</v>
      </c>
      <c r="R718" s="26" t="s">
        <v>161</v>
      </c>
      <c r="S718" s="5">
        <v>1</v>
      </c>
    </row>
    <row r="719" spans="1:21" x14ac:dyDescent="0.35">
      <c r="A719" s="65">
        <f t="shared" si="97"/>
        <v>12</v>
      </c>
      <c r="B719" s="65">
        <v>5464</v>
      </c>
      <c r="C719" s="48" t="s">
        <v>603</v>
      </c>
      <c r="D719" s="49">
        <v>1958</v>
      </c>
      <c r="E719" s="46" t="s">
        <v>504</v>
      </c>
      <c r="F719" s="49" t="s">
        <v>152</v>
      </c>
      <c r="G719" s="50">
        <v>441.6</v>
      </c>
      <c r="H719" s="4">
        <v>381.8</v>
      </c>
      <c r="I719" s="74">
        <v>13</v>
      </c>
      <c r="J719" s="4">
        <f>'Форма 2'!I2565</f>
        <v>124911.2</v>
      </c>
      <c r="K719" s="4">
        <v>0</v>
      </c>
      <c r="L719" s="4">
        <v>0</v>
      </c>
      <c r="M719" s="4">
        <v>0</v>
      </c>
      <c r="N719" s="4">
        <f t="shared" si="98"/>
        <v>119719.11</v>
      </c>
      <c r="O719" s="4">
        <v>5192.09</v>
      </c>
      <c r="P719" s="4">
        <f t="shared" si="96"/>
        <v>327.16000000000003</v>
      </c>
      <c r="Q719" s="4">
        <f>'Форма 2'!K2565</f>
        <v>420</v>
      </c>
      <c r="R719" s="26" t="s">
        <v>161</v>
      </c>
      <c r="S719" s="5">
        <v>1</v>
      </c>
    </row>
    <row r="720" spans="1:21" x14ac:dyDescent="0.35">
      <c r="A720" s="65">
        <f t="shared" si="97"/>
        <v>13</v>
      </c>
      <c r="B720" s="107">
        <v>5475</v>
      </c>
      <c r="C720" s="108" t="s">
        <v>604</v>
      </c>
      <c r="D720" s="49">
        <v>1974</v>
      </c>
      <c r="E720" s="46" t="s">
        <v>74</v>
      </c>
      <c r="F720" s="46" t="s">
        <v>481</v>
      </c>
      <c r="G720" s="50">
        <v>2363.5</v>
      </c>
      <c r="H720" s="4">
        <v>1750.1</v>
      </c>
      <c r="I720" s="74">
        <v>56</v>
      </c>
      <c r="J720" s="4">
        <f>'Форма 2'!I2568</f>
        <v>4133386.18</v>
      </c>
      <c r="K720" s="4">
        <v>0</v>
      </c>
      <c r="L720" s="4">
        <v>0</v>
      </c>
      <c r="M720" s="4">
        <v>0</v>
      </c>
      <c r="N720" s="4">
        <f t="shared" si="98"/>
        <v>3950886.79</v>
      </c>
      <c r="O720" s="4">
        <v>182499.39</v>
      </c>
      <c r="P720" s="4">
        <f t="shared" si="96"/>
        <v>2361.8000000000002</v>
      </c>
      <c r="Q720" s="4">
        <f>'Форма 2'!K2568</f>
        <v>3344</v>
      </c>
      <c r="R720" s="26" t="s">
        <v>161</v>
      </c>
      <c r="S720" s="5">
        <v>1</v>
      </c>
    </row>
    <row r="721" spans="1:19" x14ac:dyDescent="0.35">
      <c r="A721" s="65">
        <f t="shared" si="97"/>
        <v>14</v>
      </c>
      <c r="B721" s="65">
        <v>5488</v>
      </c>
      <c r="C721" s="48" t="s">
        <v>605</v>
      </c>
      <c r="D721" s="49">
        <v>1993</v>
      </c>
      <c r="E721" s="46" t="s">
        <v>230</v>
      </c>
      <c r="F721" s="46" t="s">
        <v>152</v>
      </c>
      <c r="G721" s="50">
        <v>2250.1999999999998</v>
      </c>
      <c r="H721" s="4">
        <v>1543.3</v>
      </c>
      <c r="I721" s="74">
        <v>50</v>
      </c>
      <c r="J721" s="4">
        <f>'Форма 2'!I2571</f>
        <v>807145.9</v>
      </c>
      <c r="K721" s="4">
        <v>0</v>
      </c>
      <c r="L721" s="4">
        <v>0</v>
      </c>
      <c r="M721" s="4">
        <v>0</v>
      </c>
      <c r="N721" s="4">
        <f t="shared" si="98"/>
        <v>804692.84</v>
      </c>
      <c r="O721" s="4">
        <v>2453.06</v>
      </c>
      <c r="P721" s="4">
        <f t="shared" si="96"/>
        <v>523</v>
      </c>
      <c r="Q721" s="4">
        <f>'Форма 2'!K2571</f>
        <v>523</v>
      </c>
      <c r="R721" s="26" t="s">
        <v>161</v>
      </c>
      <c r="S721" s="5">
        <v>1</v>
      </c>
    </row>
    <row r="722" spans="1:19" x14ac:dyDescent="0.35">
      <c r="A722" s="65">
        <f t="shared" si="97"/>
        <v>15</v>
      </c>
      <c r="B722" s="65">
        <v>5547</v>
      </c>
      <c r="C722" s="48" t="s">
        <v>449</v>
      </c>
      <c r="D722" s="49">
        <v>1957</v>
      </c>
      <c r="E722" s="46" t="s">
        <v>74</v>
      </c>
      <c r="F722" s="46" t="s">
        <v>481</v>
      </c>
      <c r="G722" s="50">
        <v>437.4</v>
      </c>
      <c r="H722" s="4">
        <v>394.4</v>
      </c>
      <c r="I722" s="74">
        <v>11</v>
      </c>
      <c r="J722" s="4">
        <f>'Форма 2'!I2573</f>
        <v>1708246.53</v>
      </c>
      <c r="K722" s="4">
        <v>0</v>
      </c>
      <c r="L722" s="4">
        <v>0</v>
      </c>
      <c r="M722" s="4">
        <v>0</v>
      </c>
      <c r="N722" s="4">
        <f>J722-K722-L722-M722-O722</f>
        <v>1615523.53</v>
      </c>
      <c r="O722" s="4">
        <v>92723</v>
      </c>
      <c r="P722" s="4">
        <f t="shared" si="96"/>
        <v>4331.25</v>
      </c>
      <c r="Q722" s="33">
        <f>'Форма 2'!K2573</f>
        <v>7539</v>
      </c>
      <c r="R722" s="26" t="s">
        <v>161</v>
      </c>
      <c r="S722" s="5">
        <v>1</v>
      </c>
    </row>
    <row r="723" spans="1:19" x14ac:dyDescent="0.35">
      <c r="A723" s="65">
        <f t="shared" si="97"/>
        <v>16</v>
      </c>
      <c r="B723" s="65">
        <v>5696</v>
      </c>
      <c r="C723" s="48" t="s">
        <v>450</v>
      </c>
      <c r="D723" s="49">
        <v>1962</v>
      </c>
      <c r="E723" s="46" t="s">
        <v>74</v>
      </c>
      <c r="F723" s="46" t="s">
        <v>481</v>
      </c>
      <c r="G723" s="50">
        <v>390.8</v>
      </c>
      <c r="H723" s="4">
        <v>339.5</v>
      </c>
      <c r="I723" s="74">
        <v>12</v>
      </c>
      <c r="J723" s="4">
        <f>'Форма 2'!I2576</f>
        <v>1807735.65</v>
      </c>
      <c r="K723" s="4">
        <v>0</v>
      </c>
      <c r="L723" s="4">
        <v>0</v>
      </c>
      <c r="M723" s="4">
        <v>0</v>
      </c>
      <c r="N723" s="4">
        <f t="shared" si="98"/>
        <v>1727919.57</v>
      </c>
      <c r="O723" s="4">
        <v>79816.08</v>
      </c>
      <c r="P723" s="4">
        <f t="shared" si="96"/>
        <v>5324.7</v>
      </c>
      <c r="Q723" s="33">
        <f>'Форма 2'!K2576</f>
        <v>7539</v>
      </c>
      <c r="R723" s="26" t="s">
        <v>161</v>
      </c>
      <c r="S723" s="5">
        <v>1</v>
      </c>
    </row>
    <row r="724" spans="1:19" x14ac:dyDescent="0.35">
      <c r="A724" s="65">
        <f t="shared" si="97"/>
        <v>17</v>
      </c>
      <c r="B724" s="65">
        <v>5819</v>
      </c>
      <c r="C724" s="48" t="s">
        <v>606</v>
      </c>
      <c r="D724" s="49">
        <v>1958</v>
      </c>
      <c r="E724" s="46" t="s">
        <v>74</v>
      </c>
      <c r="F724" s="46" t="s">
        <v>152</v>
      </c>
      <c r="G724" s="50">
        <v>437.7</v>
      </c>
      <c r="H724" s="4">
        <v>398.3</v>
      </c>
      <c r="I724" s="56">
        <v>7</v>
      </c>
      <c r="J724" s="4">
        <f>'Форма 2'!I2579</f>
        <v>103159.7</v>
      </c>
      <c r="K724" s="4">
        <v>0</v>
      </c>
      <c r="L724" s="4">
        <v>0</v>
      </c>
      <c r="M724" s="4">
        <v>0</v>
      </c>
      <c r="N724" s="4">
        <f t="shared" si="98"/>
        <v>100046.99</v>
      </c>
      <c r="O724" s="4">
        <v>3112.71</v>
      </c>
      <c r="P724" s="4">
        <f t="shared" si="96"/>
        <v>259</v>
      </c>
      <c r="Q724" s="4">
        <f>'Форма 2'!K2579</f>
        <v>259</v>
      </c>
      <c r="R724" s="26" t="s">
        <v>161</v>
      </c>
      <c r="S724" s="5">
        <v>1</v>
      </c>
    </row>
    <row r="725" spans="1:19" x14ac:dyDescent="0.35">
      <c r="A725" s="65">
        <f t="shared" si="97"/>
        <v>18</v>
      </c>
      <c r="B725" s="65">
        <v>5820</v>
      </c>
      <c r="C725" s="48" t="s">
        <v>607</v>
      </c>
      <c r="D725" s="49">
        <v>1958</v>
      </c>
      <c r="E725" s="46" t="s">
        <v>74</v>
      </c>
      <c r="F725" s="46" t="s">
        <v>152</v>
      </c>
      <c r="G725" s="50">
        <v>440.5</v>
      </c>
      <c r="H725" s="4">
        <v>409.2</v>
      </c>
      <c r="I725" s="56">
        <v>19</v>
      </c>
      <c r="J725" s="4">
        <f>'Форма 2'!I2581</f>
        <v>78859.59</v>
      </c>
      <c r="K725" s="4">
        <v>0</v>
      </c>
      <c r="L725" s="4">
        <v>0</v>
      </c>
      <c r="M725" s="4">
        <v>0</v>
      </c>
      <c r="N725" s="4">
        <f t="shared" si="98"/>
        <v>75661.69</v>
      </c>
      <c r="O725" s="4">
        <v>3197.9</v>
      </c>
      <c r="P725" s="4">
        <f t="shared" si="96"/>
        <v>192.72</v>
      </c>
      <c r="Q725" s="4">
        <f>'Форма 2'!K2581</f>
        <v>259</v>
      </c>
      <c r="R725" s="26" t="s">
        <v>161</v>
      </c>
      <c r="S725" s="5">
        <v>1</v>
      </c>
    </row>
    <row r="726" spans="1:19" x14ac:dyDescent="0.35">
      <c r="A726" s="65">
        <f t="shared" si="97"/>
        <v>19</v>
      </c>
      <c r="B726" s="65">
        <v>5778</v>
      </c>
      <c r="C726" s="48" t="s">
        <v>608</v>
      </c>
      <c r="D726" s="49">
        <v>1982</v>
      </c>
      <c r="E726" s="46" t="s">
        <v>74</v>
      </c>
      <c r="F726" s="46" t="s">
        <v>152</v>
      </c>
      <c r="G726" s="50">
        <v>1643.4</v>
      </c>
      <c r="H726" s="4">
        <v>1497.8</v>
      </c>
      <c r="I726" s="74">
        <v>50</v>
      </c>
      <c r="J726" s="4">
        <f>'Форма 2'!I2583</f>
        <v>252264.02</v>
      </c>
      <c r="K726" s="4">
        <v>0</v>
      </c>
      <c r="L726" s="4">
        <v>0</v>
      </c>
      <c r="M726" s="4">
        <v>0</v>
      </c>
      <c r="N726" s="4">
        <f t="shared" si="98"/>
        <v>242825.98</v>
      </c>
      <c r="O726" s="4">
        <v>9438.0400000000009</v>
      </c>
      <c r="P726" s="4">
        <f t="shared" si="96"/>
        <v>168.42</v>
      </c>
      <c r="Q726" s="4">
        <f>'Форма 2'!K2583</f>
        <v>242</v>
      </c>
      <c r="R726" s="26" t="s">
        <v>161</v>
      </c>
      <c r="S726" s="5">
        <v>1</v>
      </c>
    </row>
    <row r="727" spans="1:19" x14ac:dyDescent="0.35">
      <c r="A727" s="65">
        <f t="shared" si="97"/>
        <v>20</v>
      </c>
      <c r="B727" s="65">
        <v>5796</v>
      </c>
      <c r="C727" s="48" t="s">
        <v>453</v>
      </c>
      <c r="D727" s="49">
        <v>1963</v>
      </c>
      <c r="E727" s="46" t="s">
        <v>74</v>
      </c>
      <c r="F727" s="46" t="s">
        <v>481</v>
      </c>
      <c r="G727" s="50">
        <v>397</v>
      </c>
      <c r="H727" s="4">
        <v>354.2</v>
      </c>
      <c r="I727" s="56">
        <v>11</v>
      </c>
      <c r="J727" s="4">
        <f>'Форма 2'!I2585</f>
        <v>1661156.66</v>
      </c>
      <c r="K727" s="4">
        <v>0</v>
      </c>
      <c r="L727" s="4">
        <v>0</v>
      </c>
      <c r="M727" s="4">
        <v>0</v>
      </c>
      <c r="N727" s="4">
        <f t="shared" si="98"/>
        <v>1577884.62</v>
      </c>
      <c r="O727" s="4">
        <v>83272.039999999994</v>
      </c>
      <c r="P727" s="4">
        <f t="shared" si="96"/>
        <v>4689.88</v>
      </c>
      <c r="Q727" s="33">
        <f>'Форма 2'!K2585</f>
        <v>7539</v>
      </c>
      <c r="R727" s="26" t="s">
        <v>161</v>
      </c>
      <c r="S727" s="5">
        <v>1</v>
      </c>
    </row>
    <row r="728" spans="1:19" x14ac:dyDescent="0.35">
      <c r="A728" s="65">
        <f t="shared" si="97"/>
        <v>21</v>
      </c>
      <c r="B728" s="65">
        <v>5800</v>
      </c>
      <c r="C728" s="48" t="s">
        <v>455</v>
      </c>
      <c r="D728" s="49">
        <v>1963</v>
      </c>
      <c r="E728" s="46" t="s">
        <v>74</v>
      </c>
      <c r="F728" s="46" t="s">
        <v>481</v>
      </c>
      <c r="G728" s="50">
        <v>397</v>
      </c>
      <c r="H728" s="4">
        <v>347.9</v>
      </c>
      <c r="I728" s="56">
        <v>11</v>
      </c>
      <c r="J728" s="4">
        <f>'Форма 2'!I2588</f>
        <v>1623283.67</v>
      </c>
      <c r="K728" s="4">
        <v>0</v>
      </c>
      <c r="L728" s="4">
        <v>0</v>
      </c>
      <c r="M728" s="4">
        <v>0</v>
      </c>
      <c r="N728" s="4">
        <f t="shared" si="98"/>
        <v>1541492.76</v>
      </c>
      <c r="O728" s="4">
        <v>81790.91</v>
      </c>
      <c r="P728" s="4">
        <f t="shared" si="96"/>
        <v>4665.95</v>
      </c>
      <c r="Q728" s="33">
        <f>'Форма 2'!K2588</f>
        <v>7539</v>
      </c>
      <c r="R728" s="26" t="s">
        <v>161</v>
      </c>
      <c r="S728" s="5">
        <v>1</v>
      </c>
    </row>
    <row r="729" spans="1:19" x14ac:dyDescent="0.35">
      <c r="A729" s="232" t="s">
        <v>41</v>
      </c>
      <c r="B729" s="232"/>
      <c r="C729" s="232"/>
      <c r="D729" s="18" t="s">
        <v>13</v>
      </c>
      <c r="E729" s="4" t="s">
        <v>13</v>
      </c>
      <c r="F729" s="4" t="s">
        <v>13</v>
      </c>
      <c r="G729" s="4">
        <f>G730</f>
        <v>531.4</v>
      </c>
      <c r="H729" s="4">
        <f t="shared" ref="H729:O729" si="99">H730</f>
        <v>482.1</v>
      </c>
      <c r="I729" s="19">
        <f t="shared" si="99"/>
        <v>20</v>
      </c>
      <c r="J729" s="4">
        <f t="shared" si="99"/>
        <v>3616356.79</v>
      </c>
      <c r="K729" s="4">
        <f t="shared" si="99"/>
        <v>0</v>
      </c>
      <c r="L729" s="4">
        <f t="shared" si="99"/>
        <v>0</v>
      </c>
      <c r="M729" s="4">
        <f t="shared" si="99"/>
        <v>0</v>
      </c>
      <c r="N729" s="4">
        <f t="shared" si="99"/>
        <v>3516092.89</v>
      </c>
      <c r="O729" s="4">
        <f t="shared" si="99"/>
        <v>100263.9</v>
      </c>
      <c r="P729" s="4" t="s">
        <v>13</v>
      </c>
      <c r="Q729" s="4" t="s">
        <v>13</v>
      </c>
      <c r="R729" s="4" t="s">
        <v>13</v>
      </c>
      <c r="S729" s="19" t="s">
        <v>13</v>
      </c>
    </row>
    <row r="730" spans="1:19" x14ac:dyDescent="0.35">
      <c r="A730" s="71">
        <v>1</v>
      </c>
      <c r="B730" s="71">
        <v>4886</v>
      </c>
      <c r="C730" s="70" t="s">
        <v>456</v>
      </c>
      <c r="D730" s="71">
        <v>1980</v>
      </c>
      <c r="E730" s="71" t="s">
        <v>74</v>
      </c>
      <c r="F730" s="71" t="s">
        <v>155</v>
      </c>
      <c r="G730" s="50">
        <v>531.4</v>
      </c>
      <c r="H730" s="50">
        <v>482.1</v>
      </c>
      <c r="I730" s="56">
        <v>20</v>
      </c>
      <c r="J730" s="50">
        <f>'Форма 2'!I2592</f>
        <v>3616356.79</v>
      </c>
      <c r="K730" s="50">
        <f>K731</f>
        <v>0</v>
      </c>
      <c r="L730" s="50">
        <f>L731</f>
        <v>0</v>
      </c>
      <c r="M730" s="50">
        <f>M731</f>
        <v>0</v>
      </c>
      <c r="N730" s="50">
        <f>J730-O730</f>
        <v>3516092.89</v>
      </c>
      <c r="O730" s="50">
        <v>100263.9</v>
      </c>
      <c r="P730" s="50">
        <f>J730/H730</f>
        <v>7501.26</v>
      </c>
      <c r="Q730" s="50">
        <f>'Форма 2'!K2592</f>
        <v>7539</v>
      </c>
      <c r="R730" s="76" t="s">
        <v>161</v>
      </c>
      <c r="S730" s="5">
        <v>1</v>
      </c>
    </row>
    <row r="731" spans="1:19" x14ac:dyDescent="0.35">
      <c r="A731" s="232" t="s">
        <v>53</v>
      </c>
      <c r="B731" s="232"/>
      <c r="C731" s="232"/>
      <c r="D731" s="18" t="s">
        <v>13</v>
      </c>
      <c r="E731" s="4" t="s">
        <v>13</v>
      </c>
      <c r="F731" s="4" t="s">
        <v>13</v>
      </c>
      <c r="G731" s="4">
        <f>SUM(G732:G734)</f>
        <v>1323</v>
      </c>
      <c r="H731" s="4">
        <f t="shared" ref="H731:O731" si="100">SUM(H732:H734)</f>
        <v>1211.3</v>
      </c>
      <c r="I731" s="19">
        <f t="shared" si="100"/>
        <v>44</v>
      </c>
      <c r="J731" s="4">
        <f t="shared" si="100"/>
        <v>2592383.77</v>
      </c>
      <c r="K731" s="4">
        <f t="shared" si="100"/>
        <v>0</v>
      </c>
      <c r="L731" s="4">
        <f t="shared" si="100"/>
        <v>0</v>
      </c>
      <c r="M731" s="4">
        <f t="shared" si="100"/>
        <v>0</v>
      </c>
      <c r="N731" s="4">
        <f t="shared" si="100"/>
        <v>2492355.84</v>
      </c>
      <c r="O731" s="4">
        <f t="shared" si="100"/>
        <v>100027.93</v>
      </c>
      <c r="P731" s="4" t="s">
        <v>13</v>
      </c>
      <c r="Q731" s="4" t="s">
        <v>13</v>
      </c>
      <c r="R731" s="4" t="s">
        <v>13</v>
      </c>
      <c r="S731" s="19" t="s">
        <v>13</v>
      </c>
    </row>
    <row r="732" spans="1:19" x14ac:dyDescent="0.35">
      <c r="A732" s="71">
        <v>1</v>
      </c>
      <c r="B732" s="77">
        <v>6812</v>
      </c>
      <c r="C732" s="78" t="s">
        <v>609</v>
      </c>
      <c r="D732" s="71">
        <v>1955</v>
      </c>
      <c r="E732" s="71" t="s">
        <v>74</v>
      </c>
      <c r="F732" s="71" t="s">
        <v>152</v>
      </c>
      <c r="G732" s="72">
        <v>441</v>
      </c>
      <c r="H732" s="16">
        <v>411.9</v>
      </c>
      <c r="I732" s="73">
        <v>15</v>
      </c>
      <c r="J732" s="37">
        <f>'Форма 2'!I2596</f>
        <v>70800</v>
      </c>
      <c r="K732" s="16">
        <f>K733</f>
        <v>0</v>
      </c>
      <c r="L732" s="16">
        <f>L733</f>
        <v>0</v>
      </c>
      <c r="M732" s="16">
        <f>M733</f>
        <v>0</v>
      </c>
      <c r="N732" s="16">
        <f>J732-L732-M732-O732</f>
        <v>68556.800000000003</v>
      </c>
      <c r="O732" s="16">
        <v>2243.1999999999998</v>
      </c>
      <c r="P732" s="37">
        <f>J732/H732</f>
        <v>171.89</v>
      </c>
      <c r="Q732" s="37">
        <f>'Форма 2'!K2596</f>
        <v>259</v>
      </c>
      <c r="R732" s="26" t="s">
        <v>161</v>
      </c>
      <c r="S732" s="5">
        <v>1</v>
      </c>
    </row>
    <row r="733" spans="1:19" x14ac:dyDescent="0.35">
      <c r="A733" s="71">
        <f>A732+1</f>
        <v>2</v>
      </c>
      <c r="B733" s="77">
        <v>6813</v>
      </c>
      <c r="C733" s="78" t="s">
        <v>458</v>
      </c>
      <c r="D733" s="71">
        <v>1955</v>
      </c>
      <c r="E733" s="71" t="s">
        <v>74</v>
      </c>
      <c r="F733" s="71" t="s">
        <v>155</v>
      </c>
      <c r="G733" s="72">
        <v>441</v>
      </c>
      <c r="H733" s="4">
        <v>400</v>
      </c>
      <c r="I733" s="73">
        <v>14</v>
      </c>
      <c r="J733" s="37">
        <f>'Форма 2'!I2598</f>
        <v>2418139.17</v>
      </c>
      <c r="K733" s="16">
        <f>K737</f>
        <v>0</v>
      </c>
      <c r="L733" s="16">
        <f>L737</f>
        <v>0</v>
      </c>
      <c r="M733" s="16">
        <f>M737</f>
        <v>0</v>
      </c>
      <c r="N733" s="16">
        <f>J733-L733-M733-O733</f>
        <v>2322594.27</v>
      </c>
      <c r="O733" s="16">
        <v>95544.9</v>
      </c>
      <c r="P733" s="37">
        <f>J733/H733</f>
        <v>6045.35</v>
      </c>
      <c r="Q733" s="37">
        <f>'Форма 2'!K2598</f>
        <v>7539</v>
      </c>
      <c r="R733" s="26" t="s">
        <v>161</v>
      </c>
      <c r="S733" s="5">
        <v>1</v>
      </c>
    </row>
    <row r="734" spans="1:19" x14ac:dyDescent="0.35">
      <c r="A734" s="71">
        <f>A733+1</f>
        <v>3</v>
      </c>
      <c r="B734" s="77">
        <v>6815</v>
      </c>
      <c r="C734" s="78" t="s">
        <v>610</v>
      </c>
      <c r="D734" s="71">
        <v>1955</v>
      </c>
      <c r="E734" s="71" t="s">
        <v>74</v>
      </c>
      <c r="F734" s="71" t="s">
        <v>152</v>
      </c>
      <c r="G734" s="72">
        <v>441</v>
      </c>
      <c r="H734" s="4">
        <v>399.4</v>
      </c>
      <c r="I734" s="73">
        <v>15</v>
      </c>
      <c r="J734" s="37">
        <f>'Форма 2'!I2601</f>
        <v>103444.6</v>
      </c>
      <c r="K734" s="16">
        <f>K741</f>
        <v>0</v>
      </c>
      <c r="L734" s="16">
        <f>L741</f>
        <v>0</v>
      </c>
      <c r="M734" s="16">
        <f>M741</f>
        <v>0</v>
      </c>
      <c r="N734" s="16">
        <f>J734-L734-M734-O734</f>
        <v>101204.77</v>
      </c>
      <c r="O734" s="16">
        <v>2239.83</v>
      </c>
      <c r="P734" s="37">
        <f>J734/H734</f>
        <v>259</v>
      </c>
      <c r="Q734" s="37">
        <f>'Форма 2'!K2601</f>
        <v>259</v>
      </c>
      <c r="R734" s="26" t="s">
        <v>161</v>
      </c>
      <c r="S734" s="5">
        <v>1</v>
      </c>
    </row>
    <row r="735" spans="1:19" x14ac:dyDescent="0.35">
      <c r="A735" s="232" t="s">
        <v>43</v>
      </c>
      <c r="B735" s="232"/>
      <c r="C735" s="232"/>
      <c r="D735" s="18" t="s">
        <v>13</v>
      </c>
      <c r="E735" s="4" t="s">
        <v>13</v>
      </c>
      <c r="F735" s="4" t="s">
        <v>13</v>
      </c>
      <c r="G735" s="50">
        <f>G736+G737</f>
        <v>1069.0999999999999</v>
      </c>
      <c r="H735" s="50">
        <f t="shared" ref="H735:O735" si="101">H736+H737</f>
        <v>788.4</v>
      </c>
      <c r="I735" s="56">
        <f t="shared" si="101"/>
        <v>36</v>
      </c>
      <c r="J735" s="50">
        <f t="shared" si="101"/>
        <v>2370952.36</v>
      </c>
      <c r="K735" s="50">
        <f t="shared" si="101"/>
        <v>0</v>
      </c>
      <c r="L735" s="50">
        <f t="shared" si="101"/>
        <v>0</v>
      </c>
      <c r="M735" s="50">
        <f t="shared" si="101"/>
        <v>0</v>
      </c>
      <c r="N735" s="50">
        <f t="shared" si="101"/>
        <v>2243689.59</v>
      </c>
      <c r="O735" s="50">
        <f t="shared" si="101"/>
        <v>127262.77</v>
      </c>
      <c r="P735" s="4" t="s">
        <v>13</v>
      </c>
      <c r="Q735" s="4" t="s">
        <v>13</v>
      </c>
      <c r="R735" s="4" t="s">
        <v>13</v>
      </c>
      <c r="S735" s="19" t="s">
        <v>13</v>
      </c>
    </row>
    <row r="736" spans="1:19" x14ac:dyDescent="0.35">
      <c r="A736" s="65">
        <v>1</v>
      </c>
      <c r="B736" s="79">
        <v>4967</v>
      </c>
      <c r="C736" s="48" t="s">
        <v>460</v>
      </c>
      <c r="D736" s="49">
        <v>1968</v>
      </c>
      <c r="E736" s="49" t="s">
        <v>74</v>
      </c>
      <c r="F736" s="49" t="s">
        <v>155</v>
      </c>
      <c r="G736" s="50">
        <v>383.6</v>
      </c>
      <c r="H736" s="50">
        <v>351.8</v>
      </c>
      <c r="I736" s="56">
        <v>26</v>
      </c>
      <c r="J736" s="4">
        <f>'Форма 2'!I2604</f>
        <v>2230367.16</v>
      </c>
      <c r="K736" s="4">
        <v>0</v>
      </c>
      <c r="L736" s="4">
        <v>0</v>
      </c>
      <c r="M736" s="4">
        <v>0</v>
      </c>
      <c r="N736" s="50">
        <f>J736-K736-L736-M736-O736</f>
        <v>2108902.9500000002</v>
      </c>
      <c r="O736" s="4">
        <v>121464.21</v>
      </c>
      <c r="P736" s="4">
        <f>J736/H736</f>
        <v>6339.87</v>
      </c>
      <c r="Q736" s="4">
        <f>'Форма 2'!K2604</f>
        <v>7539</v>
      </c>
      <c r="R736" s="26" t="s">
        <v>161</v>
      </c>
      <c r="S736" s="5">
        <v>1</v>
      </c>
    </row>
    <row r="737" spans="1:21" x14ac:dyDescent="0.35">
      <c r="A737" s="68">
        <f>A736+1</f>
        <v>2</v>
      </c>
      <c r="B737" s="79">
        <v>4971</v>
      </c>
      <c r="C737" s="80" t="s">
        <v>611</v>
      </c>
      <c r="D737" s="49">
        <v>1967</v>
      </c>
      <c r="E737" s="49" t="s">
        <v>434</v>
      </c>
      <c r="F737" s="49" t="s">
        <v>152</v>
      </c>
      <c r="G737" s="50">
        <v>685.5</v>
      </c>
      <c r="H737" s="50">
        <v>436.6</v>
      </c>
      <c r="I737" s="56">
        <v>10</v>
      </c>
      <c r="J737" s="4">
        <f>'Форма 2'!I2607</f>
        <v>140585.20000000001</v>
      </c>
      <c r="K737" s="50">
        <v>0</v>
      </c>
      <c r="L737" s="50">
        <v>0</v>
      </c>
      <c r="M737" s="50">
        <v>0</v>
      </c>
      <c r="N737" s="50">
        <f>J737-K737-L737-M737-O737</f>
        <v>134786.64000000001</v>
      </c>
      <c r="O737" s="50">
        <v>5798.56</v>
      </c>
      <c r="P737" s="4">
        <f>J737/H737</f>
        <v>322</v>
      </c>
      <c r="Q737" s="4">
        <f>'Форма 2'!K2607</f>
        <v>322</v>
      </c>
      <c r="R737" s="82" t="s">
        <v>161</v>
      </c>
      <c r="S737" s="5">
        <v>1</v>
      </c>
    </row>
    <row r="738" spans="1:21" x14ac:dyDescent="0.35">
      <c r="A738" s="232" t="s">
        <v>54</v>
      </c>
      <c r="B738" s="232"/>
      <c r="C738" s="232"/>
      <c r="D738" s="18" t="s">
        <v>13</v>
      </c>
      <c r="E738" s="4" t="s">
        <v>13</v>
      </c>
      <c r="F738" s="4" t="s">
        <v>13</v>
      </c>
      <c r="G738" s="4">
        <f>SUM(G739:G753)</f>
        <v>37343.589999999997</v>
      </c>
      <c r="H738" s="4">
        <f t="shared" ref="H738:O738" si="102">SUM(H739:H753)</f>
        <v>29656.06</v>
      </c>
      <c r="I738" s="19">
        <f t="shared" si="102"/>
        <v>1471</v>
      </c>
      <c r="J738" s="4">
        <f t="shared" si="102"/>
        <v>39172047.030000001</v>
      </c>
      <c r="K738" s="4">
        <f t="shared" si="102"/>
        <v>0</v>
      </c>
      <c r="L738" s="4">
        <f t="shared" si="102"/>
        <v>0</v>
      </c>
      <c r="M738" s="4">
        <f t="shared" si="102"/>
        <v>0</v>
      </c>
      <c r="N738" s="4">
        <f t="shared" si="102"/>
        <v>37820948.439999998</v>
      </c>
      <c r="O738" s="4">
        <f t="shared" si="102"/>
        <v>1351098.59</v>
      </c>
      <c r="P738" s="4" t="s">
        <v>13</v>
      </c>
      <c r="Q738" s="4" t="s">
        <v>13</v>
      </c>
      <c r="R738" s="4" t="s">
        <v>13</v>
      </c>
      <c r="S738" s="19" t="s">
        <v>13</v>
      </c>
    </row>
    <row r="739" spans="1:21" x14ac:dyDescent="0.35">
      <c r="A739" s="65">
        <v>1</v>
      </c>
      <c r="B739" s="81">
        <v>6890</v>
      </c>
      <c r="C739" s="83" t="s">
        <v>762</v>
      </c>
      <c r="D739" s="49">
        <v>1985</v>
      </c>
      <c r="E739" s="49" t="s">
        <v>434</v>
      </c>
      <c r="F739" s="49" t="s">
        <v>152</v>
      </c>
      <c r="G739" s="50">
        <v>2952.38</v>
      </c>
      <c r="H739" s="4">
        <v>2688.38</v>
      </c>
      <c r="I739" s="56">
        <v>96</v>
      </c>
      <c r="J739" s="4">
        <f>'Форма 2'!I2611</f>
        <v>479324.19</v>
      </c>
      <c r="K739" s="52">
        <v>0</v>
      </c>
      <c r="L739" s="4">
        <v>0</v>
      </c>
      <c r="M739" s="4">
        <v>0</v>
      </c>
      <c r="N739" s="4">
        <f>J739-K739-L739-M739-O739</f>
        <v>460691.59</v>
      </c>
      <c r="O739" s="4">
        <v>18632.599999999999</v>
      </c>
      <c r="P739" s="4">
        <f t="shared" ref="P739:P753" si="103">J739/H739</f>
        <v>178.29</v>
      </c>
      <c r="Q739" s="4">
        <f>'Форма 2'!K2611</f>
        <v>259</v>
      </c>
      <c r="R739" s="82" t="s">
        <v>161</v>
      </c>
      <c r="S739" s="5">
        <v>1</v>
      </c>
    </row>
    <row r="740" spans="1:21" x14ac:dyDescent="0.35">
      <c r="A740" s="65">
        <f t="shared" ref="A740:A749" si="104">A739+1</f>
        <v>2</v>
      </c>
      <c r="B740" s="111">
        <v>6870</v>
      </c>
      <c r="C740" s="69" t="s">
        <v>612</v>
      </c>
      <c r="D740" s="49">
        <v>1983</v>
      </c>
      <c r="E740" s="89" t="s">
        <v>74</v>
      </c>
      <c r="F740" s="49" t="s">
        <v>152</v>
      </c>
      <c r="G740" s="50">
        <v>2678.9</v>
      </c>
      <c r="H740" s="4">
        <v>2436</v>
      </c>
      <c r="I740" s="56">
        <v>139</v>
      </c>
      <c r="J740" s="4">
        <f>'Форма 2'!I2614</f>
        <v>229121.02</v>
      </c>
      <c r="K740" s="52">
        <v>0</v>
      </c>
      <c r="L740" s="52">
        <v>0</v>
      </c>
      <c r="M740" s="52">
        <v>0</v>
      </c>
      <c r="N740" s="52">
        <f>J740-K740-L740-M740-O740</f>
        <v>216121.59</v>
      </c>
      <c r="O740" s="4">
        <v>12999.43</v>
      </c>
      <c r="P740" s="4">
        <f t="shared" si="103"/>
        <v>94.06</v>
      </c>
      <c r="Q740" s="4">
        <f>'Форма 2'!K2614</f>
        <v>169</v>
      </c>
      <c r="R740" s="82" t="s">
        <v>161</v>
      </c>
      <c r="S740" s="5">
        <v>1</v>
      </c>
    </row>
    <row r="741" spans="1:21" x14ac:dyDescent="0.35">
      <c r="A741" s="65">
        <f t="shared" si="104"/>
        <v>3</v>
      </c>
      <c r="B741" s="65">
        <v>7002</v>
      </c>
      <c r="C741" s="69" t="s">
        <v>466</v>
      </c>
      <c r="D741" s="49">
        <v>1974</v>
      </c>
      <c r="E741" s="89" t="s">
        <v>74</v>
      </c>
      <c r="F741" s="49" t="s">
        <v>481</v>
      </c>
      <c r="G741" s="50">
        <v>3571.3</v>
      </c>
      <c r="H741" s="4">
        <v>2657.4</v>
      </c>
      <c r="I741" s="56">
        <v>151</v>
      </c>
      <c r="J741" s="4">
        <f>'Форма 2'!I2616</f>
        <v>5312421.63</v>
      </c>
      <c r="K741" s="52">
        <v>0</v>
      </c>
      <c r="L741" s="52">
        <v>0</v>
      </c>
      <c r="M741" s="52">
        <v>0</v>
      </c>
      <c r="N741" s="52">
        <f t="shared" ref="N741:N753" si="105">J741-K741-L741-M741-O741</f>
        <v>5139535.67</v>
      </c>
      <c r="O741" s="4">
        <v>172885.96</v>
      </c>
      <c r="P741" s="4">
        <f t="shared" si="103"/>
        <v>1999.11</v>
      </c>
      <c r="Q741" s="4">
        <f>'Форма 2'!K2616</f>
        <v>3242</v>
      </c>
      <c r="R741" s="4" t="s">
        <v>161</v>
      </c>
      <c r="S741" s="5">
        <v>1</v>
      </c>
    </row>
    <row r="742" spans="1:21" x14ac:dyDescent="0.35">
      <c r="A742" s="65">
        <f t="shared" si="104"/>
        <v>4</v>
      </c>
      <c r="B742" s="65">
        <v>7003</v>
      </c>
      <c r="C742" s="48" t="s">
        <v>467</v>
      </c>
      <c r="D742" s="49">
        <v>1976</v>
      </c>
      <c r="E742" s="89" t="s">
        <v>74</v>
      </c>
      <c r="F742" s="49" t="s">
        <v>481</v>
      </c>
      <c r="G742" s="50">
        <v>3571.3</v>
      </c>
      <c r="H742" s="4">
        <v>2665.8</v>
      </c>
      <c r="I742" s="56">
        <v>115</v>
      </c>
      <c r="J742" s="4">
        <f>'Форма 2'!I2619</f>
        <v>5328720.99</v>
      </c>
      <c r="K742" s="4">
        <v>0</v>
      </c>
      <c r="L742" s="4">
        <v>0</v>
      </c>
      <c r="M742" s="4">
        <v>0</v>
      </c>
      <c r="N742" s="4">
        <f t="shared" si="105"/>
        <v>5155288.54</v>
      </c>
      <c r="O742" s="4">
        <v>173432.45</v>
      </c>
      <c r="P742" s="4">
        <f t="shared" si="103"/>
        <v>1998.92</v>
      </c>
      <c r="Q742" s="4">
        <f>'Форма 2'!K2619</f>
        <v>3242</v>
      </c>
      <c r="R742" s="4" t="s">
        <v>161</v>
      </c>
      <c r="S742" s="5">
        <v>1</v>
      </c>
    </row>
    <row r="743" spans="1:21" x14ac:dyDescent="0.35">
      <c r="A743" s="65">
        <f t="shared" si="104"/>
        <v>5</v>
      </c>
      <c r="B743" s="65">
        <v>6933</v>
      </c>
      <c r="C743" s="83" t="s">
        <v>613</v>
      </c>
      <c r="D743" s="49">
        <v>1970</v>
      </c>
      <c r="E743" s="89" t="s">
        <v>74</v>
      </c>
      <c r="F743" s="49" t="s">
        <v>152</v>
      </c>
      <c r="G743" s="50">
        <v>4579.8999999999996</v>
      </c>
      <c r="H743" s="4">
        <v>3583.3</v>
      </c>
      <c r="I743" s="56">
        <v>203</v>
      </c>
      <c r="J743" s="4">
        <f>'Форма 2'!I2622</f>
        <v>605577.69999999995</v>
      </c>
      <c r="K743" s="4">
        <v>0</v>
      </c>
      <c r="L743" s="4">
        <v>0</v>
      </c>
      <c r="M743" s="4">
        <v>0</v>
      </c>
      <c r="N743" s="4">
        <f>J743-K743-L743-M743-O743</f>
        <v>586455.84</v>
      </c>
      <c r="O743" s="4">
        <v>19121.86</v>
      </c>
      <c r="P743" s="4">
        <f t="shared" si="103"/>
        <v>169</v>
      </c>
      <c r="Q743" s="4">
        <f>'Форма 2'!K2622</f>
        <v>169</v>
      </c>
      <c r="R743" s="4" t="s">
        <v>161</v>
      </c>
      <c r="S743" s="5">
        <v>1</v>
      </c>
    </row>
    <row r="744" spans="1:21" x14ac:dyDescent="0.35">
      <c r="A744" s="65">
        <f t="shared" si="104"/>
        <v>6</v>
      </c>
      <c r="B744" s="65">
        <v>6933</v>
      </c>
      <c r="C744" s="83" t="s">
        <v>468</v>
      </c>
      <c r="D744" s="49">
        <v>1974</v>
      </c>
      <c r="E744" s="112" t="s">
        <v>74</v>
      </c>
      <c r="F744" s="49" t="s">
        <v>481</v>
      </c>
      <c r="G744" s="50">
        <v>4629</v>
      </c>
      <c r="H744" s="4">
        <v>3603</v>
      </c>
      <c r="I744" s="56">
        <v>203</v>
      </c>
      <c r="J744" s="4">
        <f>'Форма 2'!I2624</f>
        <v>6778463.3399999999</v>
      </c>
      <c r="K744" s="4">
        <v>0</v>
      </c>
      <c r="L744" s="4">
        <v>0</v>
      </c>
      <c r="M744" s="4">
        <v>0</v>
      </c>
      <c r="N744" s="4">
        <f t="shared" si="105"/>
        <v>6544058.2300000004</v>
      </c>
      <c r="O744" s="4">
        <v>234405.11</v>
      </c>
      <c r="P744" s="4">
        <f t="shared" si="103"/>
        <v>1881.34</v>
      </c>
      <c r="Q744" s="4">
        <f>'Форма 2'!K2624</f>
        <v>3242</v>
      </c>
      <c r="R744" s="4" t="s">
        <v>161</v>
      </c>
      <c r="S744" s="5">
        <v>1</v>
      </c>
    </row>
    <row r="745" spans="1:21" x14ac:dyDescent="0.35">
      <c r="A745" s="65">
        <f t="shared" si="104"/>
        <v>7</v>
      </c>
      <c r="B745" s="14">
        <v>6934</v>
      </c>
      <c r="C745" s="83" t="s">
        <v>614</v>
      </c>
      <c r="D745" s="49">
        <v>1979</v>
      </c>
      <c r="E745" s="89" t="s">
        <v>74</v>
      </c>
      <c r="F745" s="49" t="s">
        <v>152</v>
      </c>
      <c r="G745" s="50">
        <v>994.47</v>
      </c>
      <c r="H745" s="4">
        <v>909.83</v>
      </c>
      <c r="I745" s="56">
        <v>36</v>
      </c>
      <c r="J745" s="4">
        <f>'Форма 2'!I2627</f>
        <v>153761.26999999999</v>
      </c>
      <c r="K745" s="52">
        <v>0</v>
      </c>
      <c r="L745" s="4">
        <v>0</v>
      </c>
      <c r="M745" s="4">
        <v>0</v>
      </c>
      <c r="N745" s="4">
        <f t="shared" si="105"/>
        <v>148906.07</v>
      </c>
      <c r="O745" s="4">
        <v>4855.2</v>
      </c>
      <c r="P745" s="4">
        <f t="shared" si="103"/>
        <v>169</v>
      </c>
      <c r="Q745" s="4">
        <f>'Форма 2'!K2627</f>
        <v>169</v>
      </c>
      <c r="R745" s="82" t="s">
        <v>161</v>
      </c>
      <c r="S745" s="5">
        <v>1</v>
      </c>
    </row>
    <row r="746" spans="1:21" x14ac:dyDescent="0.35">
      <c r="A746" s="65">
        <f t="shared" si="104"/>
        <v>8</v>
      </c>
      <c r="B746" s="14">
        <v>6939</v>
      </c>
      <c r="C746" s="83" t="s">
        <v>615</v>
      </c>
      <c r="D746" s="49">
        <v>1969</v>
      </c>
      <c r="E746" s="89" t="s">
        <v>74</v>
      </c>
      <c r="F746" s="49" t="s">
        <v>152</v>
      </c>
      <c r="G746" s="50">
        <v>790.8</v>
      </c>
      <c r="H746" s="4">
        <v>721</v>
      </c>
      <c r="I746" s="56">
        <v>29</v>
      </c>
      <c r="J746" s="4">
        <f>'Форма 2'!I2629</f>
        <v>158039.70000000001</v>
      </c>
      <c r="K746" s="52">
        <v>0</v>
      </c>
      <c r="L746" s="4">
        <v>0</v>
      </c>
      <c r="M746" s="4">
        <v>0</v>
      </c>
      <c r="N746" s="4">
        <f t="shared" si="105"/>
        <v>154192.17000000001</v>
      </c>
      <c r="O746" s="4">
        <v>3847.53</v>
      </c>
      <c r="P746" s="4">
        <f t="shared" si="103"/>
        <v>219.2</v>
      </c>
      <c r="Q746" s="4">
        <f>'Форма 2'!K2629</f>
        <v>247</v>
      </c>
      <c r="R746" s="82" t="s">
        <v>161</v>
      </c>
      <c r="S746" s="5">
        <v>1</v>
      </c>
    </row>
    <row r="747" spans="1:21" x14ac:dyDescent="0.35">
      <c r="A747" s="65">
        <f t="shared" si="104"/>
        <v>9</v>
      </c>
      <c r="B747" s="65">
        <v>6942</v>
      </c>
      <c r="C747" s="83" t="s">
        <v>469</v>
      </c>
      <c r="D747" s="49">
        <v>1974</v>
      </c>
      <c r="E747" s="89" t="s">
        <v>74</v>
      </c>
      <c r="F747" s="49" t="s">
        <v>481</v>
      </c>
      <c r="G747" s="50">
        <v>1027</v>
      </c>
      <c r="H747" s="4">
        <v>751.3</v>
      </c>
      <c r="I747" s="56">
        <v>27</v>
      </c>
      <c r="J747" s="4">
        <f>'Форма 2'!I2631</f>
        <v>2351120.5699999998</v>
      </c>
      <c r="K747" s="4">
        <v>0</v>
      </c>
      <c r="L747" s="4">
        <v>0</v>
      </c>
      <c r="M747" s="4">
        <v>0</v>
      </c>
      <c r="N747" s="4">
        <f t="shared" si="105"/>
        <v>2269486.41</v>
      </c>
      <c r="O747" s="4">
        <v>81634.16</v>
      </c>
      <c r="P747" s="4">
        <f t="shared" si="103"/>
        <v>3129.4</v>
      </c>
      <c r="Q747" s="4">
        <f>'Форма 2'!K2631</f>
        <v>4728</v>
      </c>
      <c r="R747" s="4" t="s">
        <v>161</v>
      </c>
      <c r="S747" s="5">
        <v>1</v>
      </c>
    </row>
    <row r="748" spans="1:21" x14ac:dyDescent="0.35">
      <c r="A748" s="65">
        <f t="shared" si="104"/>
        <v>10</v>
      </c>
      <c r="B748" s="81">
        <v>6834</v>
      </c>
      <c r="C748" s="83" t="s">
        <v>616</v>
      </c>
      <c r="D748" s="49">
        <v>1985</v>
      </c>
      <c r="E748" s="89" t="s">
        <v>74</v>
      </c>
      <c r="F748" s="49" t="s">
        <v>152</v>
      </c>
      <c r="G748" s="50">
        <v>382.7</v>
      </c>
      <c r="H748" s="4">
        <v>341.7</v>
      </c>
      <c r="I748" s="56">
        <v>28</v>
      </c>
      <c r="J748" s="4">
        <f>'Форма 2'!I2634</f>
        <v>84399.9</v>
      </c>
      <c r="K748" s="52">
        <v>0</v>
      </c>
      <c r="L748" s="4">
        <v>0</v>
      </c>
      <c r="M748" s="4">
        <v>0</v>
      </c>
      <c r="N748" s="4">
        <f t="shared" si="105"/>
        <v>82576.460000000006</v>
      </c>
      <c r="O748" s="4">
        <v>1823.44</v>
      </c>
      <c r="P748" s="4">
        <f t="shared" si="103"/>
        <v>247</v>
      </c>
      <c r="Q748" s="4">
        <f>'Форма 2'!K2634</f>
        <v>247</v>
      </c>
      <c r="R748" s="82" t="s">
        <v>161</v>
      </c>
      <c r="S748" s="5">
        <v>1</v>
      </c>
    </row>
    <row r="749" spans="1:21" x14ac:dyDescent="0.35">
      <c r="A749" s="65">
        <f t="shared" si="104"/>
        <v>11</v>
      </c>
      <c r="B749" s="81">
        <v>6835</v>
      </c>
      <c r="C749" s="83" t="s">
        <v>617</v>
      </c>
      <c r="D749" s="49">
        <v>1992</v>
      </c>
      <c r="E749" s="89" t="s">
        <v>74</v>
      </c>
      <c r="F749" s="49" t="s">
        <v>152</v>
      </c>
      <c r="G749" s="50">
        <v>396.8</v>
      </c>
      <c r="H749" s="4">
        <v>356.8</v>
      </c>
      <c r="I749" s="56">
        <v>26</v>
      </c>
      <c r="J749" s="4">
        <f>'Форма 2'!I2636</f>
        <v>88129.59</v>
      </c>
      <c r="K749" s="52">
        <v>0</v>
      </c>
      <c r="L749" s="4">
        <v>0</v>
      </c>
      <c r="M749" s="4">
        <v>0</v>
      </c>
      <c r="N749" s="4">
        <f t="shared" si="105"/>
        <v>86225.57</v>
      </c>
      <c r="O749" s="4">
        <v>1904.02</v>
      </c>
      <c r="P749" s="4">
        <f t="shared" si="103"/>
        <v>247</v>
      </c>
      <c r="Q749" s="4">
        <f>'Форма 2'!K2636</f>
        <v>247</v>
      </c>
      <c r="R749" s="82" t="s">
        <v>161</v>
      </c>
      <c r="S749" s="5">
        <v>1</v>
      </c>
    </row>
    <row r="750" spans="1:21" x14ac:dyDescent="0.35">
      <c r="A750" s="65">
        <f>A749+1</f>
        <v>12</v>
      </c>
      <c r="B750" s="65">
        <v>6831</v>
      </c>
      <c r="C750" s="83" t="s">
        <v>470</v>
      </c>
      <c r="D750" s="49">
        <v>1979</v>
      </c>
      <c r="E750" s="112" t="s">
        <v>74</v>
      </c>
      <c r="F750" s="49" t="s">
        <v>481</v>
      </c>
      <c r="G750" s="50">
        <v>5440.7</v>
      </c>
      <c r="H750" s="4">
        <v>3997.52</v>
      </c>
      <c r="I750" s="56">
        <v>201</v>
      </c>
      <c r="J750" s="4">
        <f>'Форма 2'!I2638</f>
        <v>7992641.2800000003</v>
      </c>
      <c r="K750" s="4">
        <v>0</v>
      </c>
      <c r="L750" s="4">
        <v>0</v>
      </c>
      <c r="M750" s="4">
        <v>0</v>
      </c>
      <c r="N750" s="4">
        <f t="shared" si="105"/>
        <v>7732569.3700000001</v>
      </c>
      <c r="O750" s="4">
        <v>260071.91</v>
      </c>
      <c r="P750" s="4">
        <f t="shared" si="103"/>
        <v>1999.4</v>
      </c>
      <c r="Q750" s="4">
        <f>'Форма 2'!K2638</f>
        <v>3242</v>
      </c>
      <c r="R750" s="26" t="s">
        <v>161</v>
      </c>
      <c r="S750" s="5">
        <v>1</v>
      </c>
    </row>
    <row r="751" spans="1:21" s="3" customFormat="1" x14ac:dyDescent="0.35">
      <c r="A751" s="65">
        <f>A750+1</f>
        <v>13</v>
      </c>
      <c r="B751" s="65">
        <v>6832</v>
      </c>
      <c r="C751" s="83" t="s">
        <v>471</v>
      </c>
      <c r="D751" s="49">
        <v>1989</v>
      </c>
      <c r="E751" s="89" t="s">
        <v>74</v>
      </c>
      <c r="F751" s="49" t="s">
        <v>481</v>
      </c>
      <c r="G751" s="50">
        <v>3993.11</v>
      </c>
      <c r="H751" s="4">
        <v>2867.33</v>
      </c>
      <c r="I751" s="56">
        <v>109</v>
      </c>
      <c r="J751" s="4">
        <f>'Форма 2'!I2641</f>
        <v>5303820.03</v>
      </c>
      <c r="K751" s="4">
        <v>0</v>
      </c>
      <c r="L751" s="4">
        <v>0</v>
      </c>
      <c r="M751" s="4">
        <v>0</v>
      </c>
      <c r="N751" s="52">
        <f t="shared" si="105"/>
        <v>5117276.37</v>
      </c>
      <c r="O751" s="4">
        <v>186543.66</v>
      </c>
      <c r="P751" s="4">
        <f t="shared" si="103"/>
        <v>1849.74</v>
      </c>
      <c r="Q751" s="4">
        <f>'Форма 2'!K2641</f>
        <v>3242</v>
      </c>
      <c r="R751" s="26" t="s">
        <v>161</v>
      </c>
      <c r="S751" s="5">
        <v>1</v>
      </c>
      <c r="T751" s="1"/>
      <c r="U751" s="1"/>
    </row>
    <row r="752" spans="1:21" ht="31" x14ac:dyDescent="0.35">
      <c r="A752" s="68">
        <f>A751+1</f>
        <v>14</v>
      </c>
      <c r="B752" s="68">
        <v>7021</v>
      </c>
      <c r="C752" s="84" t="s">
        <v>472</v>
      </c>
      <c r="D752" s="46">
        <v>1972</v>
      </c>
      <c r="E752" s="46" t="s">
        <v>767</v>
      </c>
      <c r="F752" s="46" t="s">
        <v>155</v>
      </c>
      <c r="G752" s="85">
        <v>953.7</v>
      </c>
      <c r="H752" s="35">
        <v>871.7</v>
      </c>
      <c r="I752" s="67">
        <v>40</v>
      </c>
      <c r="J752" s="35">
        <f>'Форма 2'!I2644</f>
        <v>4108885.82</v>
      </c>
      <c r="K752" s="35">
        <v>0</v>
      </c>
      <c r="L752" s="35">
        <v>0</v>
      </c>
      <c r="M752" s="35">
        <v>0</v>
      </c>
      <c r="N752" s="86">
        <f t="shared" si="105"/>
        <v>3936374.9</v>
      </c>
      <c r="O752" s="35">
        <v>172510.92</v>
      </c>
      <c r="P752" s="35">
        <f t="shared" si="103"/>
        <v>4713.6499999999996</v>
      </c>
      <c r="Q752" s="35">
        <f>'Форма 2'!K2644</f>
        <v>6082</v>
      </c>
      <c r="R752" s="35" t="s">
        <v>161</v>
      </c>
      <c r="S752" s="63">
        <v>1</v>
      </c>
    </row>
    <row r="753" spans="1:21" x14ac:dyDescent="0.35">
      <c r="A753" s="65">
        <f>A752+1</f>
        <v>15</v>
      </c>
      <c r="B753" s="81">
        <v>7095</v>
      </c>
      <c r="C753" s="83" t="s">
        <v>618</v>
      </c>
      <c r="D753" s="49">
        <v>1989</v>
      </c>
      <c r="E753" s="89" t="s">
        <v>74</v>
      </c>
      <c r="F753" s="49" t="s">
        <v>152</v>
      </c>
      <c r="G753" s="50">
        <v>1381.53</v>
      </c>
      <c r="H753" s="4">
        <v>1205</v>
      </c>
      <c r="I753" s="56">
        <v>68</v>
      </c>
      <c r="J753" s="4">
        <f>'Форма 2'!I2653</f>
        <v>197620</v>
      </c>
      <c r="K753" s="52">
        <v>0</v>
      </c>
      <c r="L753" s="4">
        <v>0</v>
      </c>
      <c r="M753" s="4">
        <v>0</v>
      </c>
      <c r="N753" s="4">
        <f t="shared" si="105"/>
        <v>191189.66</v>
      </c>
      <c r="O753" s="4">
        <v>6430.34</v>
      </c>
      <c r="P753" s="4">
        <f t="shared" si="103"/>
        <v>164</v>
      </c>
      <c r="Q753" s="4">
        <f>'Форма 2'!K2653</f>
        <v>169</v>
      </c>
      <c r="R753" s="82" t="s">
        <v>161</v>
      </c>
      <c r="S753" s="5">
        <v>1</v>
      </c>
    </row>
    <row r="754" spans="1:21" x14ac:dyDescent="0.35">
      <c r="A754" s="237" t="s">
        <v>49</v>
      </c>
      <c r="B754" s="237"/>
      <c r="C754" s="237"/>
      <c r="D754" s="18" t="s">
        <v>13</v>
      </c>
      <c r="E754" s="4" t="s">
        <v>13</v>
      </c>
      <c r="F754" s="4" t="s">
        <v>13</v>
      </c>
      <c r="G754" s="4">
        <f>G755</f>
        <v>1039.6300000000001</v>
      </c>
      <c r="H754" s="4">
        <f t="shared" ref="H754:O754" si="106">H755</f>
        <v>909.3</v>
      </c>
      <c r="I754" s="19">
        <f t="shared" si="106"/>
        <v>42</v>
      </c>
      <c r="J754" s="4">
        <f t="shared" si="106"/>
        <v>181591.1</v>
      </c>
      <c r="K754" s="4">
        <f t="shared" si="106"/>
        <v>0</v>
      </c>
      <c r="L754" s="4">
        <f t="shared" si="106"/>
        <v>0</v>
      </c>
      <c r="M754" s="4">
        <f t="shared" si="106"/>
        <v>0</v>
      </c>
      <c r="N754" s="4">
        <f t="shared" si="106"/>
        <v>107305.78</v>
      </c>
      <c r="O754" s="4">
        <f t="shared" si="106"/>
        <v>74285.320000000007</v>
      </c>
      <c r="P754" s="4" t="s">
        <v>13</v>
      </c>
      <c r="Q754" s="4" t="s">
        <v>13</v>
      </c>
      <c r="R754" s="4" t="s">
        <v>13</v>
      </c>
      <c r="S754" s="19" t="s">
        <v>13</v>
      </c>
    </row>
    <row r="755" spans="1:21" x14ac:dyDescent="0.35">
      <c r="A755" s="65">
        <v>1</v>
      </c>
      <c r="B755" s="21">
        <v>4999</v>
      </c>
      <c r="C755" s="48" t="s">
        <v>619</v>
      </c>
      <c r="D755" s="71">
        <v>1978</v>
      </c>
      <c r="E755" s="71" t="s">
        <v>74</v>
      </c>
      <c r="F755" s="71" t="s">
        <v>152</v>
      </c>
      <c r="G755" s="72">
        <v>1039.6300000000001</v>
      </c>
      <c r="H755" s="35">
        <v>909.3</v>
      </c>
      <c r="I755" s="73">
        <v>42</v>
      </c>
      <c r="J755" s="16">
        <f>'Форма 2'!I2656</f>
        <v>181591.1</v>
      </c>
      <c r="K755" s="4">
        <v>0</v>
      </c>
      <c r="L755" s="4">
        <v>0</v>
      </c>
      <c r="M755" s="4">
        <v>0</v>
      </c>
      <c r="N755" s="4">
        <f>J755-K755-L755-M755-O755</f>
        <v>107305.78</v>
      </c>
      <c r="O755" s="4">
        <v>74285.320000000007</v>
      </c>
      <c r="P755" s="4">
        <f>J755/H755</f>
        <v>199.7</v>
      </c>
      <c r="Q755" s="16">
        <f>'Форма 2'!K2656</f>
        <v>250</v>
      </c>
      <c r="R755" s="26" t="s">
        <v>161</v>
      </c>
      <c r="S755" s="5">
        <v>1</v>
      </c>
    </row>
    <row r="756" spans="1:21" x14ac:dyDescent="0.35">
      <c r="A756" s="228" t="s">
        <v>55</v>
      </c>
      <c r="B756" s="228"/>
      <c r="C756" s="228"/>
      <c r="D756" s="18" t="s">
        <v>13</v>
      </c>
      <c r="E756" s="4" t="s">
        <v>13</v>
      </c>
      <c r="F756" s="4" t="s">
        <v>13</v>
      </c>
      <c r="G756" s="50">
        <f>G757+G758</f>
        <v>1126</v>
      </c>
      <c r="H756" s="50">
        <f t="shared" ref="H756:O756" si="107">H757+H758</f>
        <v>1009.9</v>
      </c>
      <c r="I756" s="50">
        <f t="shared" si="107"/>
        <v>44</v>
      </c>
      <c r="J756" s="50">
        <f t="shared" si="107"/>
        <v>2988470.89</v>
      </c>
      <c r="K756" s="50">
        <f t="shared" si="107"/>
        <v>0</v>
      </c>
      <c r="L756" s="50">
        <f t="shared" si="107"/>
        <v>0</v>
      </c>
      <c r="M756" s="50">
        <f t="shared" si="107"/>
        <v>0</v>
      </c>
      <c r="N756" s="50">
        <f t="shared" si="107"/>
        <v>2814133</v>
      </c>
      <c r="O756" s="50">
        <f t="shared" si="107"/>
        <v>174337.89</v>
      </c>
      <c r="P756" s="4" t="s">
        <v>13</v>
      </c>
      <c r="Q756" s="4" t="s">
        <v>13</v>
      </c>
      <c r="R756" s="4" t="s">
        <v>13</v>
      </c>
      <c r="S756" s="19" t="s">
        <v>13</v>
      </c>
    </row>
    <row r="757" spans="1:21" x14ac:dyDescent="0.35">
      <c r="A757" s="65">
        <v>1</v>
      </c>
      <c r="B757" s="65">
        <v>7187</v>
      </c>
      <c r="C757" s="48" t="s">
        <v>621</v>
      </c>
      <c r="D757" s="49">
        <v>1963</v>
      </c>
      <c r="E757" s="46" t="s">
        <v>74</v>
      </c>
      <c r="F757" s="46" t="s">
        <v>183</v>
      </c>
      <c r="G757" s="50">
        <v>431.6</v>
      </c>
      <c r="H757" s="4">
        <v>389.2</v>
      </c>
      <c r="I757" s="56">
        <v>17</v>
      </c>
      <c r="J757" s="4">
        <f>'Форма 2'!I2659</f>
        <v>2845925.77</v>
      </c>
      <c r="K757" s="4">
        <v>0</v>
      </c>
      <c r="L757" s="4">
        <v>0</v>
      </c>
      <c r="M757" s="4">
        <v>0</v>
      </c>
      <c r="N757" s="4">
        <f>J757-K757-L757-M757-O757</f>
        <v>2677674.4500000002</v>
      </c>
      <c r="O757" s="4">
        <v>168251.32</v>
      </c>
      <c r="P757" s="4">
        <f>J757/H757</f>
        <v>7312.25</v>
      </c>
      <c r="Q757" s="4">
        <f>'Форма 2'!K2659</f>
        <v>7313</v>
      </c>
      <c r="R757" s="26" t="s">
        <v>161</v>
      </c>
      <c r="S757" s="5">
        <v>1</v>
      </c>
    </row>
    <row r="758" spans="1:21" x14ac:dyDescent="0.35">
      <c r="A758" s="65">
        <f>A757+1</f>
        <v>2</v>
      </c>
      <c r="B758" s="21">
        <v>7203</v>
      </c>
      <c r="C758" s="113" t="s">
        <v>622</v>
      </c>
      <c r="D758" s="49">
        <v>1965</v>
      </c>
      <c r="E758" s="46" t="s">
        <v>74</v>
      </c>
      <c r="F758" s="46" t="s">
        <v>152</v>
      </c>
      <c r="G758" s="50">
        <v>694.4</v>
      </c>
      <c r="H758" s="4">
        <v>620.70000000000005</v>
      </c>
      <c r="I758" s="56">
        <v>27</v>
      </c>
      <c r="J758" s="4">
        <f>'Форма 2'!I2663</f>
        <v>142545.12</v>
      </c>
      <c r="K758" s="4">
        <v>0</v>
      </c>
      <c r="L758" s="4">
        <v>0</v>
      </c>
      <c r="M758" s="4">
        <v>0</v>
      </c>
      <c r="N758" s="50">
        <f>J758-O758</f>
        <v>136458.54999999999</v>
      </c>
      <c r="O758" s="50">
        <v>6086.57</v>
      </c>
      <c r="P758" s="4">
        <f>J758/H758</f>
        <v>229.65</v>
      </c>
      <c r="Q758" s="4">
        <f>'Форма 2'!K2663</f>
        <v>247</v>
      </c>
      <c r="R758" s="26" t="s">
        <v>161</v>
      </c>
      <c r="S758" s="5">
        <v>1</v>
      </c>
    </row>
    <row r="759" spans="1:21" x14ac:dyDescent="0.35">
      <c r="A759" s="15" t="s">
        <v>30</v>
      </c>
      <c r="B759" s="15"/>
      <c r="C759" s="16"/>
      <c r="D759" s="15"/>
      <c r="E759" s="16"/>
      <c r="F759" s="16"/>
      <c r="G759" s="16"/>
      <c r="H759" s="16"/>
      <c r="I759" s="17"/>
      <c r="J759" s="16"/>
      <c r="K759" s="16"/>
      <c r="L759" s="16"/>
      <c r="M759" s="16"/>
      <c r="N759" s="16"/>
      <c r="O759" s="16"/>
      <c r="P759" s="16"/>
      <c r="Q759" s="16"/>
      <c r="R759" s="16"/>
      <c r="S759" s="17"/>
      <c r="U759" s="3"/>
    </row>
    <row r="760" spans="1:21" x14ac:dyDescent="0.35">
      <c r="A760" s="229" t="s">
        <v>51</v>
      </c>
      <c r="B760" s="229"/>
      <c r="C760" s="229"/>
      <c r="D760" s="18" t="s">
        <v>13</v>
      </c>
      <c r="E760" s="4" t="s">
        <v>13</v>
      </c>
      <c r="F760" s="4" t="s">
        <v>13</v>
      </c>
      <c r="G760" s="4">
        <f t="shared" ref="G760:O760" si="108">G761+G764+G769+G771+G776+G807+G820+G896+G898+G901+G903+G914+G916+G920+G922+G928+G773+G911</f>
        <v>435096.28</v>
      </c>
      <c r="H760" s="4">
        <f t="shared" si="108"/>
        <v>354962.45</v>
      </c>
      <c r="I760" s="19">
        <f t="shared" si="108"/>
        <v>15024</v>
      </c>
      <c r="J760" s="4">
        <f t="shared" si="108"/>
        <v>922476582.52999997</v>
      </c>
      <c r="K760" s="4">
        <f t="shared" si="108"/>
        <v>0</v>
      </c>
      <c r="L760" s="4">
        <f t="shared" si="108"/>
        <v>0</v>
      </c>
      <c r="M760" s="4">
        <f t="shared" si="108"/>
        <v>0</v>
      </c>
      <c r="N760" s="4">
        <f t="shared" si="108"/>
        <v>922476582.52999997</v>
      </c>
      <c r="O760" s="4">
        <f t="shared" si="108"/>
        <v>0</v>
      </c>
      <c r="P760" s="4" t="s">
        <v>13</v>
      </c>
      <c r="Q760" s="4" t="s">
        <v>13</v>
      </c>
      <c r="R760" s="4" t="s">
        <v>13</v>
      </c>
      <c r="S760" s="19" t="s">
        <v>13</v>
      </c>
    </row>
    <row r="761" spans="1:21" x14ac:dyDescent="0.35">
      <c r="A761" s="229" t="s">
        <v>16</v>
      </c>
      <c r="B761" s="229"/>
      <c r="C761" s="229"/>
      <c r="D761" s="18" t="s">
        <v>13</v>
      </c>
      <c r="E761" s="4" t="s">
        <v>13</v>
      </c>
      <c r="F761" s="4" t="s">
        <v>13</v>
      </c>
      <c r="G761" s="4">
        <f>SUM(G762:G763)</f>
        <v>802</v>
      </c>
      <c r="H761" s="4">
        <f t="shared" ref="H761:O761" si="109">SUM(H762:H763)</f>
        <v>735.2</v>
      </c>
      <c r="I761" s="19">
        <f t="shared" si="109"/>
        <v>42</v>
      </c>
      <c r="J761" s="4">
        <f t="shared" si="109"/>
        <v>5133265.5999999996</v>
      </c>
      <c r="K761" s="4">
        <f t="shared" si="109"/>
        <v>0</v>
      </c>
      <c r="L761" s="4">
        <f t="shared" si="109"/>
        <v>0</v>
      </c>
      <c r="M761" s="4">
        <f t="shared" si="109"/>
        <v>0</v>
      </c>
      <c r="N761" s="4">
        <f t="shared" si="109"/>
        <v>5133265.5999999996</v>
      </c>
      <c r="O761" s="4">
        <f t="shared" si="109"/>
        <v>0</v>
      </c>
      <c r="P761" s="4" t="s">
        <v>13</v>
      </c>
      <c r="Q761" s="4" t="s">
        <v>13</v>
      </c>
      <c r="R761" s="4" t="s">
        <v>13</v>
      </c>
      <c r="S761" s="19" t="s">
        <v>13</v>
      </c>
    </row>
    <row r="762" spans="1:21" x14ac:dyDescent="0.35">
      <c r="A762" s="20">
        <v>1</v>
      </c>
      <c r="B762" s="21">
        <v>4692</v>
      </c>
      <c r="C762" s="22" t="s">
        <v>476</v>
      </c>
      <c r="D762" s="23">
        <v>1968</v>
      </c>
      <c r="E762" s="23" t="s">
        <v>230</v>
      </c>
      <c r="F762" s="60" t="s">
        <v>155</v>
      </c>
      <c r="G762" s="4">
        <v>261.60000000000002</v>
      </c>
      <c r="H762" s="4">
        <v>237.2</v>
      </c>
      <c r="I762" s="19">
        <v>12</v>
      </c>
      <c r="J762" s="4">
        <f>'Форма 2'!I2667</f>
        <v>1378843.6</v>
      </c>
      <c r="K762" s="4">
        <v>0</v>
      </c>
      <c r="L762" s="4">
        <v>0</v>
      </c>
      <c r="M762" s="4">
        <v>0</v>
      </c>
      <c r="N762" s="4">
        <f>J762-K762-L762-M762-O762</f>
        <v>1378843.6</v>
      </c>
      <c r="O762" s="4">
        <v>0</v>
      </c>
      <c r="P762" s="4">
        <f>J762/H762</f>
        <v>5813</v>
      </c>
      <c r="Q762" s="4">
        <f>'Форма 2'!K2667</f>
        <v>5813</v>
      </c>
      <c r="R762" s="26" t="s">
        <v>493</v>
      </c>
      <c r="S762" s="5">
        <v>1</v>
      </c>
    </row>
    <row r="763" spans="1:21" x14ac:dyDescent="0.35">
      <c r="A763" s="20">
        <f>A762+1</f>
        <v>2</v>
      </c>
      <c r="B763" s="21">
        <v>4743</v>
      </c>
      <c r="C763" s="22" t="s">
        <v>151</v>
      </c>
      <c r="D763" s="23">
        <v>1973</v>
      </c>
      <c r="E763" s="24" t="s">
        <v>74</v>
      </c>
      <c r="F763" s="25" t="s">
        <v>155</v>
      </c>
      <c r="G763" s="4">
        <v>540.4</v>
      </c>
      <c r="H763" s="4">
        <v>498</v>
      </c>
      <c r="I763" s="19">
        <v>30</v>
      </c>
      <c r="J763" s="4">
        <f>'Форма 2'!I2670</f>
        <v>3754422</v>
      </c>
      <c r="K763" s="4">
        <v>0</v>
      </c>
      <c r="L763" s="4">
        <v>0</v>
      </c>
      <c r="M763" s="4">
        <v>0</v>
      </c>
      <c r="N763" s="4">
        <f>J763-K763-L763-M763-O763</f>
        <v>3754422</v>
      </c>
      <c r="O763" s="4">
        <v>0</v>
      </c>
      <c r="P763" s="4">
        <f>J763/H763</f>
        <v>7539</v>
      </c>
      <c r="Q763" s="4">
        <f>'Форма 2'!K2670</f>
        <v>7539</v>
      </c>
      <c r="R763" s="26" t="s">
        <v>493</v>
      </c>
      <c r="S763" s="5">
        <v>1</v>
      </c>
    </row>
    <row r="764" spans="1:21" x14ac:dyDescent="0.35">
      <c r="A764" s="230" t="s">
        <v>33</v>
      </c>
      <c r="B764" s="230"/>
      <c r="C764" s="230"/>
      <c r="D764" s="18" t="s">
        <v>13</v>
      </c>
      <c r="E764" s="4" t="s">
        <v>13</v>
      </c>
      <c r="F764" s="4" t="s">
        <v>13</v>
      </c>
      <c r="G764" s="4">
        <f>SUM(G765:G768)</f>
        <v>3834.35</v>
      </c>
      <c r="H764" s="4">
        <f t="shared" ref="H764:O764" si="110">SUM(H765:H768)</f>
        <v>3126.95</v>
      </c>
      <c r="I764" s="19">
        <f t="shared" si="110"/>
        <v>111</v>
      </c>
      <c r="J764" s="4">
        <f t="shared" si="110"/>
        <v>20514064.370000001</v>
      </c>
      <c r="K764" s="4">
        <f t="shared" si="110"/>
        <v>0</v>
      </c>
      <c r="L764" s="4">
        <f t="shared" si="110"/>
        <v>0</v>
      </c>
      <c r="M764" s="4">
        <f t="shared" si="110"/>
        <v>0</v>
      </c>
      <c r="N764" s="4">
        <f t="shared" si="110"/>
        <v>20514064.370000001</v>
      </c>
      <c r="O764" s="4">
        <f t="shared" si="110"/>
        <v>0</v>
      </c>
      <c r="P764" s="4" t="s">
        <v>13</v>
      </c>
      <c r="Q764" s="4" t="s">
        <v>13</v>
      </c>
      <c r="R764" s="4" t="s">
        <v>13</v>
      </c>
      <c r="S764" s="19" t="s">
        <v>13</v>
      </c>
    </row>
    <row r="765" spans="1:21" x14ac:dyDescent="0.35">
      <c r="A765" s="27">
        <v>1</v>
      </c>
      <c r="B765" s="28">
        <v>4395</v>
      </c>
      <c r="C765" s="29" t="s">
        <v>156</v>
      </c>
      <c r="D765" s="30">
        <v>1984</v>
      </c>
      <c r="E765" s="23" t="s">
        <v>74</v>
      </c>
      <c r="F765" s="23" t="s">
        <v>155</v>
      </c>
      <c r="G765" s="31">
        <v>1353.3</v>
      </c>
      <c r="H765" s="31">
        <v>846</v>
      </c>
      <c r="I765" s="32">
        <v>19</v>
      </c>
      <c r="J765" s="33">
        <f>'Форма 2'!I2674</f>
        <v>4396871.67</v>
      </c>
      <c r="K765" s="4">
        <v>0</v>
      </c>
      <c r="L765" s="4">
        <v>0</v>
      </c>
      <c r="M765" s="4">
        <v>0</v>
      </c>
      <c r="N765" s="4">
        <f>J765-K765-L765-M765-O765</f>
        <v>4396871.67</v>
      </c>
      <c r="O765" s="4">
        <v>0</v>
      </c>
      <c r="P765" s="33">
        <f>J765/H765</f>
        <v>5197.25</v>
      </c>
      <c r="Q765" s="4">
        <f>'Форма 2'!K2674</f>
        <v>7066</v>
      </c>
      <c r="R765" s="26" t="s">
        <v>493</v>
      </c>
      <c r="S765" s="5">
        <v>1</v>
      </c>
    </row>
    <row r="766" spans="1:21" x14ac:dyDescent="0.35">
      <c r="A766" s="27">
        <f>A765+1</f>
        <v>2</v>
      </c>
      <c r="B766" s="28">
        <v>4444</v>
      </c>
      <c r="C766" s="34" t="s">
        <v>485</v>
      </c>
      <c r="D766" s="27">
        <v>1970</v>
      </c>
      <c r="E766" s="24" t="s">
        <v>74</v>
      </c>
      <c r="F766" s="24" t="s">
        <v>155</v>
      </c>
      <c r="G766" s="35">
        <v>783.9</v>
      </c>
      <c r="H766" s="35">
        <v>725.1</v>
      </c>
      <c r="I766" s="36">
        <v>27</v>
      </c>
      <c r="J766" s="4">
        <f>'Форма 2'!I2677</f>
        <v>5123556.5999999996</v>
      </c>
      <c r="K766" s="4">
        <v>0</v>
      </c>
      <c r="L766" s="4">
        <v>0</v>
      </c>
      <c r="M766" s="4">
        <v>0</v>
      </c>
      <c r="N766" s="4">
        <f>J766-K766-L766-M766-O766</f>
        <v>5123556.5999999996</v>
      </c>
      <c r="O766" s="4">
        <v>0</v>
      </c>
      <c r="P766" s="4">
        <f>J766/H766</f>
        <v>7066</v>
      </c>
      <c r="Q766" s="4">
        <f>'Форма 2'!K2677</f>
        <v>7066</v>
      </c>
      <c r="R766" s="26" t="s">
        <v>493</v>
      </c>
      <c r="S766" s="5">
        <v>1</v>
      </c>
    </row>
    <row r="767" spans="1:21" x14ac:dyDescent="0.35">
      <c r="A767" s="27">
        <f>A766+1</f>
        <v>3</v>
      </c>
      <c r="B767" s="28">
        <v>4516</v>
      </c>
      <c r="C767" s="29" t="s">
        <v>479</v>
      </c>
      <c r="D767" s="30">
        <v>1971</v>
      </c>
      <c r="E767" s="24" t="s">
        <v>74</v>
      </c>
      <c r="F767" s="24" t="s">
        <v>155</v>
      </c>
      <c r="G767" s="31">
        <v>762.9</v>
      </c>
      <c r="H767" s="31">
        <v>704.7</v>
      </c>
      <c r="I767" s="32">
        <v>31</v>
      </c>
      <c r="J767" s="4">
        <f>'Форма 2'!I2680</f>
        <v>4979410.2</v>
      </c>
      <c r="K767" s="4">
        <v>0</v>
      </c>
      <c r="L767" s="4">
        <v>0</v>
      </c>
      <c r="M767" s="4">
        <v>0</v>
      </c>
      <c r="N767" s="4">
        <f>J767-K767-L767-M767-O767</f>
        <v>4979410.2</v>
      </c>
      <c r="O767" s="4">
        <v>0</v>
      </c>
      <c r="P767" s="4">
        <f>J767/H767</f>
        <v>7066</v>
      </c>
      <c r="Q767" s="4">
        <f>'Форма 2'!K2680</f>
        <v>7066</v>
      </c>
      <c r="R767" s="26" t="s">
        <v>493</v>
      </c>
      <c r="S767" s="5">
        <v>1</v>
      </c>
    </row>
    <row r="768" spans="1:21" x14ac:dyDescent="0.35">
      <c r="A768" s="27">
        <f>A767+1</f>
        <v>4</v>
      </c>
      <c r="B768" s="47">
        <v>4536</v>
      </c>
      <c r="C768" s="34" t="s">
        <v>486</v>
      </c>
      <c r="D768" s="27">
        <v>1971</v>
      </c>
      <c r="E768" s="24" t="s">
        <v>74</v>
      </c>
      <c r="F768" s="24" t="s">
        <v>155</v>
      </c>
      <c r="G768" s="35">
        <v>934.25</v>
      </c>
      <c r="H768" s="35">
        <v>851.15</v>
      </c>
      <c r="I768" s="36">
        <v>34</v>
      </c>
      <c r="J768" s="4">
        <f>'Форма 2'!I2683</f>
        <v>6014225.9000000004</v>
      </c>
      <c r="K768" s="4">
        <v>0</v>
      </c>
      <c r="L768" s="4">
        <v>0</v>
      </c>
      <c r="M768" s="4">
        <v>0</v>
      </c>
      <c r="N768" s="4">
        <f>J768-K768-L768-M768-O768</f>
        <v>6014225.9000000004</v>
      </c>
      <c r="O768" s="4">
        <v>0</v>
      </c>
      <c r="P768" s="4">
        <f>J768/H768</f>
        <v>7066</v>
      </c>
      <c r="Q768" s="4">
        <f>'Форма 2'!K2683</f>
        <v>7066</v>
      </c>
      <c r="R768" s="26" t="s">
        <v>493</v>
      </c>
      <c r="S768" s="5">
        <v>1</v>
      </c>
    </row>
    <row r="769" spans="1:19" x14ac:dyDescent="0.35">
      <c r="A769" s="231" t="s">
        <v>34</v>
      </c>
      <c r="B769" s="231"/>
      <c r="C769" s="231"/>
      <c r="D769" s="18" t="s">
        <v>13</v>
      </c>
      <c r="E769" s="4" t="s">
        <v>13</v>
      </c>
      <c r="F769" s="4" t="s">
        <v>13</v>
      </c>
      <c r="G769" s="37">
        <f>G770</f>
        <v>780.7</v>
      </c>
      <c r="H769" s="37">
        <f t="shared" ref="H769:O769" si="111">H770</f>
        <v>724.3</v>
      </c>
      <c r="I769" s="38">
        <f t="shared" si="111"/>
        <v>37</v>
      </c>
      <c r="J769" s="37">
        <f t="shared" si="111"/>
        <v>4481987.4000000004</v>
      </c>
      <c r="K769" s="37">
        <f t="shared" si="111"/>
        <v>0</v>
      </c>
      <c r="L769" s="37">
        <f t="shared" si="111"/>
        <v>0</v>
      </c>
      <c r="M769" s="37">
        <f t="shared" si="111"/>
        <v>0</v>
      </c>
      <c r="N769" s="37">
        <f t="shared" si="111"/>
        <v>4481987.4000000004</v>
      </c>
      <c r="O769" s="37">
        <f t="shared" si="111"/>
        <v>0</v>
      </c>
      <c r="P769" s="4" t="s">
        <v>13</v>
      </c>
      <c r="Q769" s="4" t="s">
        <v>13</v>
      </c>
      <c r="R769" s="4" t="s">
        <v>13</v>
      </c>
      <c r="S769" s="19" t="s">
        <v>13</v>
      </c>
    </row>
    <row r="770" spans="1:19" x14ac:dyDescent="0.35">
      <c r="A770" s="27">
        <v>1</v>
      </c>
      <c r="B770" s="27">
        <v>4804</v>
      </c>
      <c r="C770" s="34" t="s">
        <v>623</v>
      </c>
      <c r="D770" s="27">
        <v>1972</v>
      </c>
      <c r="E770" s="23" t="s">
        <v>74</v>
      </c>
      <c r="F770" s="23" t="s">
        <v>155</v>
      </c>
      <c r="G770" s="35">
        <v>780.7</v>
      </c>
      <c r="H770" s="35">
        <v>724.3</v>
      </c>
      <c r="I770" s="19">
        <v>37</v>
      </c>
      <c r="J770" s="4">
        <f>'Форма 2'!I2687</f>
        <v>4481987.4000000004</v>
      </c>
      <c r="K770" s="4">
        <v>0</v>
      </c>
      <c r="L770" s="4">
        <v>0</v>
      </c>
      <c r="M770" s="4">
        <v>0</v>
      </c>
      <c r="N770" s="4">
        <f>J770-O770</f>
        <v>4481987.4000000004</v>
      </c>
      <c r="O770" s="4">
        <v>0</v>
      </c>
      <c r="P770" s="4">
        <f>J770/H770</f>
        <v>6188.03</v>
      </c>
      <c r="Q770" s="4">
        <f>'Форма 2'!K2687</f>
        <v>7539</v>
      </c>
      <c r="R770" s="26" t="s">
        <v>493</v>
      </c>
      <c r="S770" s="5">
        <v>1</v>
      </c>
    </row>
    <row r="771" spans="1:19" x14ac:dyDescent="0.35">
      <c r="A771" s="230" t="s">
        <v>35</v>
      </c>
      <c r="B771" s="230"/>
      <c r="C771" s="230"/>
      <c r="D771" s="18" t="s">
        <v>13</v>
      </c>
      <c r="E771" s="4" t="s">
        <v>13</v>
      </c>
      <c r="F771" s="4" t="s">
        <v>13</v>
      </c>
      <c r="G771" s="4">
        <f>G772</f>
        <v>356.6</v>
      </c>
      <c r="H771" s="4">
        <f t="shared" ref="H771:O771" si="112">H772</f>
        <v>329.6</v>
      </c>
      <c r="I771" s="19">
        <f t="shared" si="112"/>
        <v>44</v>
      </c>
      <c r="J771" s="4">
        <f t="shared" si="112"/>
        <v>2179914.34</v>
      </c>
      <c r="K771" s="4">
        <f t="shared" si="112"/>
        <v>0</v>
      </c>
      <c r="L771" s="4">
        <f t="shared" si="112"/>
        <v>0</v>
      </c>
      <c r="M771" s="4">
        <f t="shared" si="112"/>
        <v>0</v>
      </c>
      <c r="N771" s="4">
        <f t="shared" si="112"/>
        <v>2179914.34</v>
      </c>
      <c r="O771" s="4">
        <f t="shared" si="112"/>
        <v>0</v>
      </c>
      <c r="P771" s="4" t="s">
        <v>13</v>
      </c>
      <c r="Q771" s="4" t="s">
        <v>13</v>
      </c>
      <c r="R771" s="4" t="s">
        <v>13</v>
      </c>
      <c r="S771" s="19" t="s">
        <v>13</v>
      </c>
    </row>
    <row r="772" spans="1:19" x14ac:dyDescent="0.35">
      <c r="A772" s="20">
        <v>1</v>
      </c>
      <c r="B772" s="20">
        <v>6692</v>
      </c>
      <c r="C772" s="22" t="s">
        <v>172</v>
      </c>
      <c r="D772" s="23">
        <v>1967</v>
      </c>
      <c r="E772" s="24" t="s">
        <v>74</v>
      </c>
      <c r="F772" s="25" t="s">
        <v>155</v>
      </c>
      <c r="G772" s="4">
        <v>356.6</v>
      </c>
      <c r="H772" s="4">
        <v>329.6</v>
      </c>
      <c r="I772" s="19">
        <v>44</v>
      </c>
      <c r="J772" s="4">
        <f>'Форма 2'!I2691</f>
        <v>2179914.34</v>
      </c>
      <c r="K772" s="4">
        <v>0</v>
      </c>
      <c r="L772" s="4">
        <v>0</v>
      </c>
      <c r="M772" s="4">
        <v>0</v>
      </c>
      <c r="N772" s="4">
        <f>J772-K772-L772-M772-O772</f>
        <v>2179914.34</v>
      </c>
      <c r="O772" s="4">
        <v>0</v>
      </c>
      <c r="P772" s="4">
        <f>J772/H772</f>
        <v>6613.82</v>
      </c>
      <c r="Q772" s="4">
        <f>'Форма 2'!K2691</f>
        <v>7539</v>
      </c>
      <c r="R772" s="26" t="s">
        <v>493</v>
      </c>
      <c r="S772" s="5">
        <v>1</v>
      </c>
    </row>
    <row r="773" spans="1:19" x14ac:dyDescent="0.35">
      <c r="A773" s="230" t="s">
        <v>38</v>
      </c>
      <c r="B773" s="230"/>
      <c r="C773" s="230"/>
      <c r="D773" s="18" t="s">
        <v>13</v>
      </c>
      <c r="E773" s="4" t="s">
        <v>13</v>
      </c>
      <c r="F773" s="4" t="s">
        <v>13</v>
      </c>
      <c r="G773" s="4">
        <f>G774+G775</f>
        <v>13834</v>
      </c>
      <c r="H773" s="4">
        <f t="shared" ref="H773:O773" si="113">H774+H775</f>
        <v>12520.4</v>
      </c>
      <c r="I773" s="19">
        <f t="shared" si="113"/>
        <v>336</v>
      </c>
      <c r="J773" s="4">
        <f t="shared" si="113"/>
        <v>11610378.4</v>
      </c>
      <c r="K773" s="4">
        <f t="shared" si="113"/>
        <v>0</v>
      </c>
      <c r="L773" s="4">
        <f t="shared" si="113"/>
        <v>0</v>
      </c>
      <c r="M773" s="4">
        <f t="shared" si="113"/>
        <v>0</v>
      </c>
      <c r="N773" s="4">
        <f t="shared" si="113"/>
        <v>11610378.4</v>
      </c>
      <c r="O773" s="4">
        <f t="shared" si="113"/>
        <v>0</v>
      </c>
      <c r="P773" s="4" t="s">
        <v>13</v>
      </c>
      <c r="Q773" s="4" t="s">
        <v>13</v>
      </c>
      <c r="R773" s="4" t="s">
        <v>13</v>
      </c>
      <c r="S773" s="19" t="s">
        <v>13</v>
      </c>
    </row>
    <row r="774" spans="1:19" x14ac:dyDescent="0.35">
      <c r="A774" s="20">
        <v>1</v>
      </c>
      <c r="B774" s="20">
        <v>5054</v>
      </c>
      <c r="C774" s="22" t="s">
        <v>488</v>
      </c>
      <c r="D774" s="23">
        <v>1986</v>
      </c>
      <c r="E774" s="24" t="s">
        <v>74</v>
      </c>
      <c r="F774" s="24" t="s">
        <v>698</v>
      </c>
      <c r="G774" s="4">
        <v>5858.42</v>
      </c>
      <c r="H774" s="4">
        <v>5280.8</v>
      </c>
      <c r="I774" s="19">
        <v>219</v>
      </c>
      <c r="J774" s="4">
        <f>'Форма 2'!I2695</f>
        <v>10365167.199999999</v>
      </c>
      <c r="K774" s="4">
        <v>0</v>
      </c>
      <c r="L774" s="4">
        <v>0</v>
      </c>
      <c r="M774" s="4">
        <v>0</v>
      </c>
      <c r="N774" s="4">
        <f>J774-K774-L774-M774-O774</f>
        <v>10365167.199999999</v>
      </c>
      <c r="O774" s="4">
        <v>0</v>
      </c>
      <c r="P774" s="4">
        <f>J774/H774</f>
        <v>1962.8</v>
      </c>
      <c r="Q774" s="4">
        <f>'Форма 2'!K2695</f>
        <v>3067</v>
      </c>
      <c r="R774" s="26" t="s">
        <v>493</v>
      </c>
      <c r="S774" s="5">
        <v>1</v>
      </c>
    </row>
    <row r="775" spans="1:19" x14ac:dyDescent="0.35">
      <c r="A775" s="20">
        <f>A774+1</f>
        <v>2</v>
      </c>
      <c r="B775" s="20">
        <v>5055</v>
      </c>
      <c r="C775" s="22" t="s">
        <v>775</v>
      </c>
      <c r="D775" s="23">
        <v>1987</v>
      </c>
      <c r="E775" s="24" t="s">
        <v>74</v>
      </c>
      <c r="F775" s="24" t="s">
        <v>152</v>
      </c>
      <c r="G775" s="4">
        <v>7975.58</v>
      </c>
      <c r="H775" s="4">
        <v>7239.6</v>
      </c>
      <c r="I775" s="19">
        <v>117</v>
      </c>
      <c r="J775" s="4">
        <f>'Форма 2'!I2698</f>
        <v>1245211.2</v>
      </c>
      <c r="K775" s="4">
        <v>0</v>
      </c>
      <c r="L775" s="4">
        <v>0</v>
      </c>
      <c r="M775" s="4">
        <v>0</v>
      </c>
      <c r="N775" s="4">
        <f>J775-K775-L775-M775-O775</f>
        <v>1245211.2</v>
      </c>
      <c r="O775" s="4">
        <v>0</v>
      </c>
      <c r="P775" s="4">
        <f>J775/H775</f>
        <v>172</v>
      </c>
      <c r="Q775" s="4">
        <f>'Форма 2'!K2698</f>
        <v>172</v>
      </c>
      <c r="R775" s="26" t="s">
        <v>493</v>
      </c>
      <c r="S775" s="5">
        <v>1</v>
      </c>
    </row>
    <row r="776" spans="1:19" x14ac:dyDescent="0.35">
      <c r="A776" s="227" t="s">
        <v>52</v>
      </c>
      <c r="B776" s="227"/>
      <c r="C776" s="227"/>
      <c r="D776" s="18" t="s">
        <v>13</v>
      </c>
      <c r="E776" s="4" t="s">
        <v>13</v>
      </c>
      <c r="F776" s="4" t="s">
        <v>13</v>
      </c>
      <c r="G776" s="16">
        <f>SUM(G777:G806)</f>
        <v>148554.22</v>
      </c>
      <c r="H776" s="16">
        <f t="shared" ref="H776:O776" si="114">SUM(H777:H806)</f>
        <v>106215.66</v>
      </c>
      <c r="I776" s="17">
        <f t="shared" si="114"/>
        <v>4791</v>
      </c>
      <c r="J776" s="16">
        <f t="shared" si="114"/>
        <v>163158088.06999999</v>
      </c>
      <c r="K776" s="16">
        <f t="shared" si="114"/>
        <v>0</v>
      </c>
      <c r="L776" s="16">
        <f t="shared" si="114"/>
        <v>0</v>
      </c>
      <c r="M776" s="16">
        <f t="shared" si="114"/>
        <v>0</v>
      </c>
      <c r="N776" s="16">
        <f t="shared" si="114"/>
        <v>163158088.06999999</v>
      </c>
      <c r="O776" s="16">
        <f t="shared" si="114"/>
        <v>0</v>
      </c>
      <c r="P776" s="4" t="s">
        <v>13</v>
      </c>
      <c r="Q776" s="4" t="s">
        <v>13</v>
      </c>
      <c r="R776" s="4" t="s">
        <v>13</v>
      </c>
      <c r="S776" s="19" t="s">
        <v>13</v>
      </c>
    </row>
    <row r="777" spans="1:19" x14ac:dyDescent="0.35">
      <c r="A777" s="68">
        <v>1</v>
      </c>
      <c r="B777" s="68">
        <v>5993</v>
      </c>
      <c r="C777" s="69" t="s">
        <v>818</v>
      </c>
      <c r="D777" s="20">
        <v>1968</v>
      </c>
      <c r="E777" s="41" t="s">
        <v>182</v>
      </c>
      <c r="F777" s="27" t="s">
        <v>183</v>
      </c>
      <c r="G777" s="16">
        <v>2982</v>
      </c>
      <c r="H777" s="16">
        <v>2420</v>
      </c>
      <c r="I777" s="17">
        <v>91</v>
      </c>
      <c r="J777" s="16">
        <f>'Форма 2'!I2701</f>
        <v>1741104</v>
      </c>
      <c r="K777" s="16">
        <v>0</v>
      </c>
      <c r="L777" s="16">
        <v>0</v>
      </c>
      <c r="M777" s="16">
        <v>0</v>
      </c>
      <c r="N777" s="16">
        <f>J777-K777-L777-M777-O777</f>
        <v>1741104</v>
      </c>
      <c r="O777" s="16">
        <v>0</v>
      </c>
      <c r="P777" s="114">
        <f t="shared" ref="P777" si="115">J777/H777</f>
        <v>719.46</v>
      </c>
      <c r="Q777" s="16">
        <f>'Форма 2'!K2701</f>
        <v>734.58</v>
      </c>
      <c r="R777" s="20" t="s">
        <v>493</v>
      </c>
      <c r="S777" s="5">
        <v>1</v>
      </c>
    </row>
    <row r="778" spans="1:19" x14ac:dyDescent="0.35">
      <c r="A778" s="20">
        <f t="shared" ref="A778:A806" si="116">A777+1</f>
        <v>2</v>
      </c>
      <c r="B778" s="21">
        <v>5861</v>
      </c>
      <c r="C778" s="34" t="s">
        <v>492</v>
      </c>
      <c r="D778" s="27">
        <v>1958</v>
      </c>
      <c r="E778" s="16" t="s">
        <v>74</v>
      </c>
      <c r="F778" s="20" t="s">
        <v>481</v>
      </c>
      <c r="G778" s="4">
        <v>4187</v>
      </c>
      <c r="H778" s="4">
        <v>2357.8000000000002</v>
      </c>
      <c r="I778" s="19">
        <v>89</v>
      </c>
      <c r="J778" s="16">
        <f>'Форма 2'!I2705</f>
        <v>7639979.3399999999</v>
      </c>
      <c r="K778" s="4">
        <v>0</v>
      </c>
      <c r="L778" s="4">
        <v>0</v>
      </c>
      <c r="M778" s="4">
        <v>0</v>
      </c>
      <c r="N778" s="4">
        <f>J778-K778-L778-M778-O778</f>
        <v>7639979.3399999999</v>
      </c>
      <c r="O778" s="4">
        <v>0</v>
      </c>
      <c r="P778" s="4">
        <f t="shared" ref="P778:P804" si="117">J778/H778</f>
        <v>3240.3</v>
      </c>
      <c r="Q778" s="16">
        <f>'Форма 2'!K2705</f>
        <v>4728</v>
      </c>
      <c r="R778" s="26" t="s">
        <v>493</v>
      </c>
      <c r="S778" s="5">
        <v>1</v>
      </c>
    </row>
    <row r="779" spans="1:19" x14ac:dyDescent="0.35">
      <c r="A779" s="20">
        <f t="shared" si="116"/>
        <v>3</v>
      </c>
      <c r="B779" s="21">
        <v>5865</v>
      </c>
      <c r="C779" s="34" t="s">
        <v>494</v>
      </c>
      <c r="D779" s="27">
        <v>1958</v>
      </c>
      <c r="E779" s="41" t="s">
        <v>74</v>
      </c>
      <c r="F779" s="27" t="s">
        <v>481</v>
      </c>
      <c r="G779" s="4">
        <v>3776</v>
      </c>
      <c r="H779" s="4">
        <v>2034.2</v>
      </c>
      <c r="I779" s="19">
        <v>78</v>
      </c>
      <c r="J779" s="16">
        <f>'Форма 2'!I2708</f>
        <v>6591418.2599999998</v>
      </c>
      <c r="K779" s="4">
        <v>0</v>
      </c>
      <c r="L779" s="4">
        <v>0</v>
      </c>
      <c r="M779" s="4">
        <v>0</v>
      </c>
      <c r="N779" s="4">
        <f t="shared" ref="N779:N804" si="118">J779-K779-L779-M779-O779</f>
        <v>6591418.2599999998</v>
      </c>
      <c r="O779" s="4">
        <v>0</v>
      </c>
      <c r="P779" s="4">
        <f t="shared" si="117"/>
        <v>3240.3</v>
      </c>
      <c r="Q779" s="16">
        <f>'Форма 2'!K2708</f>
        <v>4728</v>
      </c>
      <c r="R779" s="26" t="s">
        <v>493</v>
      </c>
      <c r="S779" s="5">
        <v>1</v>
      </c>
    </row>
    <row r="780" spans="1:19" x14ac:dyDescent="0.35">
      <c r="A780" s="20">
        <f t="shared" si="116"/>
        <v>4</v>
      </c>
      <c r="B780" s="21">
        <v>5866</v>
      </c>
      <c r="C780" s="34" t="s">
        <v>495</v>
      </c>
      <c r="D780" s="27">
        <v>1958</v>
      </c>
      <c r="E780" s="16" t="s">
        <v>74</v>
      </c>
      <c r="F780" s="20" t="s">
        <v>155</v>
      </c>
      <c r="G780" s="4">
        <v>3795</v>
      </c>
      <c r="H780" s="4">
        <v>2046.3</v>
      </c>
      <c r="I780" s="19">
        <v>89</v>
      </c>
      <c r="J780" s="16">
        <f>'Форма 2'!I2711</f>
        <v>9472322.6999999993</v>
      </c>
      <c r="K780" s="4">
        <v>0</v>
      </c>
      <c r="L780" s="4">
        <v>0</v>
      </c>
      <c r="M780" s="4">
        <v>0</v>
      </c>
      <c r="N780" s="4">
        <f t="shared" si="118"/>
        <v>9472322.6999999993</v>
      </c>
      <c r="O780" s="4">
        <v>0</v>
      </c>
      <c r="P780" s="4">
        <f t="shared" si="117"/>
        <v>4629</v>
      </c>
      <c r="Q780" s="16">
        <f>'Форма 2'!K2711</f>
        <v>4728</v>
      </c>
      <c r="R780" s="26" t="s">
        <v>493</v>
      </c>
      <c r="S780" s="5">
        <v>1</v>
      </c>
    </row>
    <row r="781" spans="1:19" x14ac:dyDescent="0.35">
      <c r="A781" s="20">
        <f t="shared" si="116"/>
        <v>5</v>
      </c>
      <c r="B781" s="21">
        <v>5870</v>
      </c>
      <c r="C781" s="34" t="s">
        <v>820</v>
      </c>
      <c r="D781" s="27">
        <v>1957</v>
      </c>
      <c r="E781" s="41" t="s">
        <v>197</v>
      </c>
      <c r="F781" s="27" t="s">
        <v>481</v>
      </c>
      <c r="G781" s="16">
        <v>3421</v>
      </c>
      <c r="H781" s="16">
        <v>2339.1999999999998</v>
      </c>
      <c r="I781" s="17">
        <v>96</v>
      </c>
      <c r="J781" s="16">
        <f>'Форма 2'!I2714</f>
        <v>1427847.68</v>
      </c>
      <c r="K781" s="16">
        <v>0</v>
      </c>
      <c r="L781" s="16">
        <v>0</v>
      </c>
      <c r="M781" s="16">
        <v>0</v>
      </c>
      <c r="N781" s="16">
        <f t="shared" si="118"/>
        <v>1427847.68</v>
      </c>
      <c r="O781" s="16">
        <v>0</v>
      </c>
      <c r="P781" s="16">
        <f t="shared" si="117"/>
        <v>610.4</v>
      </c>
      <c r="Q781" s="16">
        <f>'Форма 2'!K2714</f>
        <v>891</v>
      </c>
      <c r="R781" s="42" t="s">
        <v>493</v>
      </c>
      <c r="S781" s="5">
        <v>1</v>
      </c>
    </row>
    <row r="782" spans="1:19" x14ac:dyDescent="0.35">
      <c r="A782" s="20">
        <f t="shared" si="116"/>
        <v>6</v>
      </c>
      <c r="B782" s="21">
        <v>5873</v>
      </c>
      <c r="C782" s="34" t="s">
        <v>497</v>
      </c>
      <c r="D782" s="27">
        <v>1958</v>
      </c>
      <c r="E782" s="41" t="s">
        <v>74</v>
      </c>
      <c r="F782" s="27" t="s">
        <v>481</v>
      </c>
      <c r="G782" s="4">
        <v>5158</v>
      </c>
      <c r="H782" s="4">
        <v>2929.4</v>
      </c>
      <c r="I782" s="19">
        <v>114</v>
      </c>
      <c r="J782" s="16">
        <f>'Форма 2'!I2719</f>
        <v>9492134.8200000003</v>
      </c>
      <c r="K782" s="4">
        <v>0</v>
      </c>
      <c r="L782" s="4">
        <v>0</v>
      </c>
      <c r="M782" s="4">
        <v>0</v>
      </c>
      <c r="N782" s="4">
        <f t="shared" si="118"/>
        <v>9492134.8200000003</v>
      </c>
      <c r="O782" s="4">
        <v>0</v>
      </c>
      <c r="P782" s="4">
        <f t="shared" si="117"/>
        <v>3240.3</v>
      </c>
      <c r="Q782" s="16">
        <f>'Форма 2'!K2719</f>
        <v>4728</v>
      </c>
      <c r="R782" s="26" t="s">
        <v>493</v>
      </c>
      <c r="S782" s="5">
        <v>1</v>
      </c>
    </row>
    <row r="783" spans="1:19" x14ac:dyDescent="0.35">
      <c r="A783" s="20">
        <f t="shared" si="116"/>
        <v>7</v>
      </c>
      <c r="B783" s="58">
        <v>5914</v>
      </c>
      <c r="C783" s="34" t="s">
        <v>828</v>
      </c>
      <c r="D783" s="27">
        <v>1991</v>
      </c>
      <c r="E783" s="41" t="s">
        <v>182</v>
      </c>
      <c r="F783" s="27" t="s">
        <v>183</v>
      </c>
      <c r="G783" s="4">
        <v>17865</v>
      </c>
      <c r="H783" s="4">
        <v>14256.9</v>
      </c>
      <c r="I783" s="19">
        <v>754</v>
      </c>
      <c r="J783" s="16">
        <f>'Форма 2'!I2722</f>
        <v>6964416</v>
      </c>
      <c r="K783" s="4">
        <v>0</v>
      </c>
      <c r="L783" s="4">
        <v>0</v>
      </c>
      <c r="M783" s="4">
        <v>0</v>
      </c>
      <c r="N783" s="4">
        <f t="shared" si="118"/>
        <v>6964416</v>
      </c>
      <c r="O783" s="4">
        <v>0</v>
      </c>
      <c r="P783" s="4">
        <f t="shared" si="117"/>
        <v>488.49</v>
      </c>
      <c r="Q783" s="16">
        <f>'Форма 2'!K2722</f>
        <v>498.76</v>
      </c>
      <c r="R783" s="26" t="s">
        <v>493</v>
      </c>
      <c r="S783" s="5">
        <v>1</v>
      </c>
    </row>
    <row r="784" spans="1:19" ht="31" x14ac:dyDescent="0.35">
      <c r="A784" s="20">
        <f t="shared" si="116"/>
        <v>8</v>
      </c>
      <c r="B784" s="21">
        <v>5923</v>
      </c>
      <c r="C784" s="34" t="s">
        <v>624</v>
      </c>
      <c r="D784" s="27" t="s">
        <v>625</v>
      </c>
      <c r="E784" s="16" t="s">
        <v>182</v>
      </c>
      <c r="F784" s="20" t="s">
        <v>183</v>
      </c>
      <c r="G784" s="4">
        <v>16559.099999999999</v>
      </c>
      <c r="H784" s="4">
        <v>10217.4</v>
      </c>
      <c r="I784" s="19">
        <v>753</v>
      </c>
      <c r="J784" s="16">
        <f>'Форма 2'!I2735</f>
        <v>5223312</v>
      </c>
      <c r="K784" s="4">
        <v>0</v>
      </c>
      <c r="L784" s="4">
        <v>0</v>
      </c>
      <c r="M784" s="4">
        <v>0</v>
      </c>
      <c r="N784" s="4">
        <f t="shared" si="118"/>
        <v>5223312</v>
      </c>
      <c r="O784" s="4">
        <v>0</v>
      </c>
      <c r="P784" s="4">
        <f t="shared" si="117"/>
        <v>511.22</v>
      </c>
      <c r="Q784" s="16">
        <f>'Форма 2'!K2735</f>
        <v>521.94000000000005</v>
      </c>
      <c r="R784" s="26" t="s">
        <v>493</v>
      </c>
      <c r="S784" s="5">
        <v>1</v>
      </c>
    </row>
    <row r="785" spans="1:23" x14ac:dyDescent="0.35">
      <c r="A785" s="20">
        <f t="shared" si="116"/>
        <v>9</v>
      </c>
      <c r="B785" s="21">
        <v>6143</v>
      </c>
      <c r="C785" s="34" t="s">
        <v>626</v>
      </c>
      <c r="D785" s="27">
        <v>1954</v>
      </c>
      <c r="E785" s="41" t="s">
        <v>504</v>
      </c>
      <c r="F785" s="27" t="s">
        <v>152</v>
      </c>
      <c r="G785" s="4">
        <v>2169.6999999999998</v>
      </c>
      <c r="H785" s="4">
        <v>1897.7</v>
      </c>
      <c r="I785" s="19">
        <v>76</v>
      </c>
      <c r="J785" s="16">
        <f>'Форма 2'!I2745</f>
        <v>742000.7</v>
      </c>
      <c r="K785" s="4">
        <v>0</v>
      </c>
      <c r="L785" s="4">
        <v>0</v>
      </c>
      <c r="M785" s="4">
        <v>0</v>
      </c>
      <c r="N785" s="4">
        <f t="shared" si="118"/>
        <v>742000.7</v>
      </c>
      <c r="O785" s="4">
        <v>0</v>
      </c>
      <c r="P785" s="4">
        <f t="shared" si="117"/>
        <v>391</v>
      </c>
      <c r="Q785" s="16">
        <f>'Форма 2'!K2745</f>
        <v>391</v>
      </c>
      <c r="R785" s="26" t="s">
        <v>493</v>
      </c>
      <c r="S785" s="5">
        <v>1</v>
      </c>
    </row>
    <row r="786" spans="1:23" x14ac:dyDescent="0.35">
      <c r="A786" s="20">
        <f t="shared" si="116"/>
        <v>10</v>
      </c>
      <c r="B786" s="58">
        <v>6191</v>
      </c>
      <c r="C786" s="34" t="s">
        <v>829</v>
      </c>
      <c r="D786" s="27">
        <v>1992</v>
      </c>
      <c r="E786" s="41" t="s">
        <v>182</v>
      </c>
      <c r="F786" s="27" t="s">
        <v>183</v>
      </c>
      <c r="G786" s="4">
        <v>2783</v>
      </c>
      <c r="H786" s="4">
        <v>2428.1999999999998</v>
      </c>
      <c r="I786" s="19">
        <v>92</v>
      </c>
      <c r="J786" s="16">
        <f>'Форма 2'!I2748</f>
        <v>1741104</v>
      </c>
      <c r="K786" s="4">
        <v>0</v>
      </c>
      <c r="L786" s="4">
        <v>0</v>
      </c>
      <c r="M786" s="4">
        <v>0</v>
      </c>
      <c r="N786" s="4">
        <f t="shared" si="118"/>
        <v>1741104</v>
      </c>
      <c r="O786" s="4">
        <v>0</v>
      </c>
      <c r="P786" s="4">
        <f t="shared" si="117"/>
        <v>717.03</v>
      </c>
      <c r="Q786" s="16">
        <f>'Форма 2'!K2748</f>
        <v>732.09</v>
      </c>
      <c r="R786" s="26" t="s">
        <v>493</v>
      </c>
      <c r="S786" s="5">
        <v>1</v>
      </c>
    </row>
    <row r="787" spans="1:23" x14ac:dyDescent="0.35">
      <c r="A787" s="20">
        <f t="shared" si="116"/>
        <v>11</v>
      </c>
      <c r="B787" s="58">
        <v>6193</v>
      </c>
      <c r="C787" s="34" t="s">
        <v>824</v>
      </c>
      <c r="D787" s="27">
        <v>1990</v>
      </c>
      <c r="E787" s="41" t="s">
        <v>182</v>
      </c>
      <c r="F787" s="27" t="s">
        <v>183</v>
      </c>
      <c r="G787" s="4">
        <v>12387.7</v>
      </c>
      <c r="H787" s="4">
        <v>11067.6</v>
      </c>
      <c r="I787" s="19">
        <v>418</v>
      </c>
      <c r="J787" s="16">
        <f>'Форма 2'!I2752</f>
        <v>3482208</v>
      </c>
      <c r="K787" s="4">
        <v>0</v>
      </c>
      <c r="L787" s="4">
        <v>0</v>
      </c>
      <c r="M787" s="4">
        <v>0</v>
      </c>
      <c r="N787" s="4">
        <f t="shared" si="118"/>
        <v>3482208</v>
      </c>
      <c r="O787" s="4">
        <v>0</v>
      </c>
      <c r="P787" s="4">
        <f t="shared" si="117"/>
        <v>314.63</v>
      </c>
      <c r="Q787" s="16">
        <f>'Форма 2'!K2752</f>
        <v>321.24</v>
      </c>
      <c r="R787" s="26" t="s">
        <v>493</v>
      </c>
      <c r="S787" s="5">
        <v>1</v>
      </c>
    </row>
    <row r="788" spans="1:23" x14ac:dyDescent="0.35">
      <c r="A788" s="20">
        <f t="shared" si="116"/>
        <v>12</v>
      </c>
      <c r="B788" s="21">
        <v>6248</v>
      </c>
      <c r="C788" s="34" t="s">
        <v>505</v>
      </c>
      <c r="D788" s="27">
        <v>1951</v>
      </c>
      <c r="E788" s="41" t="s">
        <v>74</v>
      </c>
      <c r="F788" s="27" t="s">
        <v>155</v>
      </c>
      <c r="G788" s="4">
        <v>955.7</v>
      </c>
      <c r="H788" s="4">
        <v>526.4</v>
      </c>
      <c r="I788" s="19">
        <v>23</v>
      </c>
      <c r="J788" s="16">
        <f>'Форма 2'!I2759</f>
        <v>3641635.2</v>
      </c>
      <c r="K788" s="4">
        <v>0</v>
      </c>
      <c r="L788" s="4">
        <v>0</v>
      </c>
      <c r="M788" s="4">
        <v>0</v>
      </c>
      <c r="N788" s="4">
        <f t="shared" si="118"/>
        <v>3641635.2</v>
      </c>
      <c r="O788" s="4">
        <v>0</v>
      </c>
      <c r="P788" s="4">
        <f t="shared" si="117"/>
        <v>6918</v>
      </c>
      <c r="Q788" s="16">
        <f>'Форма 2'!K2759</f>
        <v>7066</v>
      </c>
      <c r="R788" s="26" t="s">
        <v>493</v>
      </c>
      <c r="S788" s="5">
        <v>1</v>
      </c>
    </row>
    <row r="789" spans="1:23" x14ac:dyDescent="0.35">
      <c r="A789" s="20">
        <f t="shared" si="116"/>
        <v>13</v>
      </c>
      <c r="B789" s="21">
        <v>6250</v>
      </c>
      <c r="C789" s="34" t="s">
        <v>506</v>
      </c>
      <c r="D789" s="27">
        <v>1951</v>
      </c>
      <c r="E789" s="41" t="s">
        <v>74</v>
      </c>
      <c r="F789" s="27" t="s">
        <v>155</v>
      </c>
      <c r="G789" s="4">
        <v>950.8</v>
      </c>
      <c r="H789" s="4">
        <v>520.9</v>
      </c>
      <c r="I789" s="19">
        <v>21</v>
      </c>
      <c r="J789" s="16">
        <f>'Форма 2'!I2762</f>
        <v>3603586.2</v>
      </c>
      <c r="K789" s="4">
        <v>0</v>
      </c>
      <c r="L789" s="4">
        <v>0</v>
      </c>
      <c r="M789" s="4">
        <v>0</v>
      </c>
      <c r="N789" s="4">
        <f t="shared" si="118"/>
        <v>3603586.2</v>
      </c>
      <c r="O789" s="4">
        <v>0</v>
      </c>
      <c r="P789" s="4">
        <f t="shared" si="117"/>
        <v>6918</v>
      </c>
      <c r="Q789" s="16">
        <f>'Форма 2'!K2762</f>
        <v>7066</v>
      </c>
      <c r="R789" s="26" t="s">
        <v>493</v>
      </c>
      <c r="S789" s="5">
        <v>1</v>
      </c>
    </row>
    <row r="790" spans="1:23" x14ac:dyDescent="0.35">
      <c r="A790" s="20">
        <f t="shared" si="116"/>
        <v>14</v>
      </c>
      <c r="B790" s="21">
        <v>6271</v>
      </c>
      <c r="C790" s="34" t="s">
        <v>507</v>
      </c>
      <c r="D790" s="27">
        <v>1953</v>
      </c>
      <c r="E790" s="16" t="s">
        <v>74</v>
      </c>
      <c r="F790" s="20" t="s">
        <v>155</v>
      </c>
      <c r="G790" s="4">
        <v>1600.5</v>
      </c>
      <c r="H790" s="4">
        <v>1461</v>
      </c>
      <c r="I790" s="19">
        <v>65</v>
      </c>
      <c r="J790" s="16">
        <f>'Форма 2'!I2765</f>
        <v>6762969</v>
      </c>
      <c r="K790" s="4">
        <v>0</v>
      </c>
      <c r="L790" s="4">
        <v>0</v>
      </c>
      <c r="M790" s="4">
        <v>0</v>
      </c>
      <c r="N790" s="4">
        <f t="shared" si="118"/>
        <v>6762969</v>
      </c>
      <c r="O790" s="4">
        <v>0</v>
      </c>
      <c r="P790" s="4">
        <f t="shared" si="117"/>
        <v>4629</v>
      </c>
      <c r="Q790" s="16">
        <f>'Форма 2'!K2765</f>
        <v>4728</v>
      </c>
      <c r="R790" s="26" t="s">
        <v>493</v>
      </c>
      <c r="S790" s="5">
        <v>1</v>
      </c>
    </row>
    <row r="791" spans="1:23" s="2" customFormat="1" x14ac:dyDescent="0.35">
      <c r="A791" s="20">
        <f t="shared" si="116"/>
        <v>15</v>
      </c>
      <c r="B791" s="20">
        <v>6273</v>
      </c>
      <c r="C791" s="34" t="s">
        <v>627</v>
      </c>
      <c r="D791" s="20">
        <v>1953</v>
      </c>
      <c r="E791" s="27" t="s">
        <v>74</v>
      </c>
      <c r="F791" s="27" t="s">
        <v>152</v>
      </c>
      <c r="G791" s="4">
        <v>1891.2</v>
      </c>
      <c r="H791" s="4">
        <v>1500.8</v>
      </c>
      <c r="I791" s="19">
        <v>76</v>
      </c>
      <c r="J791" s="16">
        <f>'Форма 2'!I2768</f>
        <v>378201.59999999998</v>
      </c>
      <c r="K791" s="4">
        <v>0</v>
      </c>
      <c r="L791" s="4">
        <v>0</v>
      </c>
      <c r="M791" s="4">
        <v>0</v>
      </c>
      <c r="N791" s="4">
        <f>J791-K791-L791-M791-O791</f>
        <v>378201.59999999998</v>
      </c>
      <c r="O791" s="4">
        <v>0</v>
      </c>
      <c r="P791" s="4">
        <f>J791/H791</f>
        <v>252</v>
      </c>
      <c r="Q791" s="16">
        <f>'Форма 2'!K2768</f>
        <v>252</v>
      </c>
      <c r="R791" s="26" t="s">
        <v>493</v>
      </c>
      <c r="S791" s="5">
        <v>1</v>
      </c>
      <c r="T791" s="1"/>
      <c r="U791" s="1"/>
      <c r="V791" s="1"/>
      <c r="W791" s="1"/>
    </row>
    <row r="792" spans="1:23" s="2" customFormat="1" x14ac:dyDescent="0.35">
      <c r="A792" s="20">
        <f t="shared" si="116"/>
        <v>16</v>
      </c>
      <c r="B792" s="21">
        <v>6282</v>
      </c>
      <c r="C792" s="34" t="s">
        <v>508</v>
      </c>
      <c r="D792" s="27">
        <v>1951</v>
      </c>
      <c r="E792" s="41" t="s">
        <v>74</v>
      </c>
      <c r="F792" s="27" t="s">
        <v>155</v>
      </c>
      <c r="G792" s="4">
        <v>960.4</v>
      </c>
      <c r="H792" s="4">
        <v>532.9</v>
      </c>
      <c r="I792" s="19">
        <v>21</v>
      </c>
      <c r="J792" s="16">
        <f>'Форма 2'!I2770</f>
        <v>3686602.2</v>
      </c>
      <c r="K792" s="4">
        <v>0</v>
      </c>
      <c r="L792" s="4">
        <v>0</v>
      </c>
      <c r="M792" s="4">
        <v>0</v>
      </c>
      <c r="N792" s="4">
        <f t="shared" si="118"/>
        <v>3686602.2</v>
      </c>
      <c r="O792" s="4">
        <v>0</v>
      </c>
      <c r="P792" s="4">
        <f t="shared" si="117"/>
        <v>6918</v>
      </c>
      <c r="Q792" s="16">
        <f>'Форма 2'!K2770</f>
        <v>7066</v>
      </c>
      <c r="R792" s="26" t="s">
        <v>493</v>
      </c>
      <c r="S792" s="5">
        <v>1</v>
      </c>
      <c r="T792" s="1"/>
      <c r="U792" s="1"/>
      <c r="V792" s="1"/>
      <c r="W792" s="1"/>
    </row>
    <row r="793" spans="1:23" x14ac:dyDescent="0.35">
      <c r="A793" s="20">
        <f t="shared" si="116"/>
        <v>17</v>
      </c>
      <c r="B793" s="21">
        <v>6341</v>
      </c>
      <c r="C793" s="34" t="s">
        <v>509</v>
      </c>
      <c r="D793" s="27">
        <v>1951</v>
      </c>
      <c r="E793" s="41" t="s">
        <v>74</v>
      </c>
      <c r="F793" s="27" t="s">
        <v>155</v>
      </c>
      <c r="G793" s="4">
        <v>1619.6</v>
      </c>
      <c r="H793" s="4">
        <v>884.5</v>
      </c>
      <c r="I793" s="19">
        <v>46</v>
      </c>
      <c r="J793" s="4">
        <f>'Форма 2'!I2773</f>
        <v>6118971</v>
      </c>
      <c r="K793" s="4">
        <v>0</v>
      </c>
      <c r="L793" s="4">
        <v>0</v>
      </c>
      <c r="M793" s="4">
        <v>0</v>
      </c>
      <c r="N793" s="4">
        <f t="shared" si="118"/>
        <v>6118971</v>
      </c>
      <c r="O793" s="4">
        <v>0</v>
      </c>
      <c r="P793" s="4">
        <f t="shared" si="117"/>
        <v>6918</v>
      </c>
      <c r="Q793" s="4">
        <f>'Форма 2'!K2773</f>
        <v>7066</v>
      </c>
      <c r="R793" s="26" t="s">
        <v>493</v>
      </c>
      <c r="S793" s="5">
        <v>1</v>
      </c>
    </row>
    <row r="794" spans="1:23" x14ac:dyDescent="0.35">
      <c r="A794" s="20">
        <f t="shared" si="116"/>
        <v>18</v>
      </c>
      <c r="B794" s="21">
        <v>6345</v>
      </c>
      <c r="C794" s="34" t="s">
        <v>510</v>
      </c>
      <c r="D794" s="27">
        <v>1951</v>
      </c>
      <c r="E794" s="41" t="s">
        <v>74</v>
      </c>
      <c r="F794" s="27" t="s">
        <v>155</v>
      </c>
      <c r="G794" s="4">
        <v>977.4</v>
      </c>
      <c r="H794" s="4">
        <v>889.8</v>
      </c>
      <c r="I794" s="19">
        <v>37</v>
      </c>
      <c r="J794" s="4">
        <f>'Форма 2'!I2776</f>
        <v>6155636.4000000004</v>
      </c>
      <c r="K794" s="4">
        <v>0</v>
      </c>
      <c r="L794" s="4">
        <v>0</v>
      </c>
      <c r="M794" s="4">
        <v>0</v>
      </c>
      <c r="N794" s="4">
        <f t="shared" si="118"/>
        <v>6155636.4000000004</v>
      </c>
      <c r="O794" s="4">
        <v>0</v>
      </c>
      <c r="P794" s="4">
        <f t="shared" si="117"/>
        <v>6918</v>
      </c>
      <c r="Q794" s="4">
        <f>'Форма 2'!K2776</f>
        <v>7066</v>
      </c>
      <c r="R794" s="26" t="s">
        <v>493</v>
      </c>
      <c r="S794" s="5">
        <v>1</v>
      </c>
    </row>
    <row r="795" spans="1:23" s="3" customFormat="1" x14ac:dyDescent="0.35">
      <c r="A795" s="20">
        <f t="shared" si="116"/>
        <v>19</v>
      </c>
      <c r="B795" s="21">
        <v>6389</v>
      </c>
      <c r="C795" s="34" t="s">
        <v>512</v>
      </c>
      <c r="D795" s="27">
        <v>1958</v>
      </c>
      <c r="E795" s="41" t="s">
        <v>74</v>
      </c>
      <c r="F795" s="27" t="s">
        <v>481</v>
      </c>
      <c r="G795" s="4">
        <v>4156</v>
      </c>
      <c r="H795" s="4">
        <v>2320</v>
      </c>
      <c r="I795" s="19">
        <v>98</v>
      </c>
      <c r="J795" s="16">
        <f>'Форма 2'!I2779</f>
        <v>7517496</v>
      </c>
      <c r="K795" s="4">
        <v>0</v>
      </c>
      <c r="L795" s="4">
        <v>0</v>
      </c>
      <c r="M795" s="4">
        <v>0</v>
      </c>
      <c r="N795" s="4">
        <f t="shared" si="118"/>
        <v>7517496</v>
      </c>
      <c r="O795" s="4">
        <v>0</v>
      </c>
      <c r="P795" s="4">
        <f t="shared" si="117"/>
        <v>3240.3</v>
      </c>
      <c r="Q795" s="16">
        <f>'Форма 2'!K2779</f>
        <v>4728</v>
      </c>
      <c r="R795" s="26" t="s">
        <v>493</v>
      </c>
      <c r="S795" s="5">
        <v>1</v>
      </c>
      <c r="T795" s="1"/>
      <c r="U795" s="1"/>
      <c r="V795" s="1"/>
      <c r="W795" s="1"/>
    </row>
    <row r="796" spans="1:23" x14ac:dyDescent="0.35">
      <c r="A796" s="27">
        <f t="shared" si="116"/>
        <v>20</v>
      </c>
      <c r="B796" s="71">
        <v>6392</v>
      </c>
      <c r="C796" s="34" t="s">
        <v>513</v>
      </c>
      <c r="D796" s="27">
        <v>1958</v>
      </c>
      <c r="E796" s="153" t="s">
        <v>178</v>
      </c>
      <c r="F796" s="27" t="s">
        <v>481</v>
      </c>
      <c r="G796" s="35">
        <v>5405</v>
      </c>
      <c r="H796" s="35">
        <v>2953.7</v>
      </c>
      <c r="I796" s="36">
        <v>91</v>
      </c>
      <c r="J796" s="41">
        <f>'Форма 2'!I2782</f>
        <v>7366823.1699999999</v>
      </c>
      <c r="K796" s="35">
        <v>0</v>
      </c>
      <c r="L796" s="35">
        <v>0</v>
      </c>
      <c r="M796" s="35">
        <v>0</v>
      </c>
      <c r="N796" s="35">
        <f t="shared" si="118"/>
        <v>7366823.1699999999</v>
      </c>
      <c r="O796" s="35">
        <v>0</v>
      </c>
      <c r="P796" s="35">
        <f t="shared" si="117"/>
        <v>2494.1</v>
      </c>
      <c r="Q796" s="41">
        <f>'Форма 2'!K2782</f>
        <v>3640</v>
      </c>
      <c r="R796" s="95" t="s">
        <v>493</v>
      </c>
      <c r="S796" s="63">
        <v>1</v>
      </c>
    </row>
    <row r="797" spans="1:23" x14ac:dyDescent="0.35">
      <c r="A797" s="20">
        <f t="shared" si="116"/>
        <v>21</v>
      </c>
      <c r="B797" s="21">
        <v>6394</v>
      </c>
      <c r="C797" s="34" t="s">
        <v>514</v>
      </c>
      <c r="D797" s="27">
        <v>1958</v>
      </c>
      <c r="E797" s="16" t="s">
        <v>74</v>
      </c>
      <c r="F797" s="20" t="s">
        <v>481</v>
      </c>
      <c r="G797" s="4">
        <v>3388</v>
      </c>
      <c r="H797" s="4">
        <v>2015.8</v>
      </c>
      <c r="I797" s="19">
        <v>90</v>
      </c>
      <c r="J797" s="16">
        <f>'Форма 2'!I2789</f>
        <v>6531796.7400000002</v>
      </c>
      <c r="K797" s="4">
        <v>0</v>
      </c>
      <c r="L797" s="4">
        <v>0</v>
      </c>
      <c r="M797" s="4">
        <v>0</v>
      </c>
      <c r="N797" s="4">
        <f t="shared" si="118"/>
        <v>6531796.7400000002</v>
      </c>
      <c r="O797" s="4">
        <v>0</v>
      </c>
      <c r="P797" s="4">
        <f t="shared" si="117"/>
        <v>3240.3</v>
      </c>
      <c r="Q797" s="16">
        <f>'Форма 2'!K2789</f>
        <v>4728</v>
      </c>
      <c r="R797" s="26" t="s">
        <v>493</v>
      </c>
      <c r="S797" s="5">
        <v>1</v>
      </c>
    </row>
    <row r="798" spans="1:23" x14ac:dyDescent="0.35">
      <c r="A798" s="20">
        <f t="shared" si="116"/>
        <v>22</v>
      </c>
      <c r="B798" s="21">
        <v>6407</v>
      </c>
      <c r="C798" s="34" t="s">
        <v>705</v>
      </c>
      <c r="D798" s="27">
        <v>1978</v>
      </c>
      <c r="E798" s="41" t="s">
        <v>74</v>
      </c>
      <c r="F798" s="27" t="s">
        <v>152</v>
      </c>
      <c r="G798" s="98">
        <v>3604.6</v>
      </c>
      <c r="H798" s="4">
        <v>2722</v>
      </c>
      <c r="I798" s="19">
        <v>103</v>
      </c>
      <c r="J798" s="16">
        <f>'Форма 2'!I2792</f>
        <v>460018</v>
      </c>
      <c r="K798" s="4">
        <v>0</v>
      </c>
      <c r="L798" s="4">
        <v>0</v>
      </c>
      <c r="M798" s="4">
        <v>0</v>
      </c>
      <c r="N798" s="4">
        <f t="shared" si="118"/>
        <v>460018</v>
      </c>
      <c r="O798" s="4">
        <v>0</v>
      </c>
      <c r="P798" s="4">
        <f>J798/H798</f>
        <v>169</v>
      </c>
      <c r="Q798" s="16">
        <f>'Форма 2'!K2792</f>
        <v>169</v>
      </c>
      <c r="R798" s="26" t="s">
        <v>493</v>
      </c>
      <c r="S798" s="5">
        <v>1</v>
      </c>
    </row>
    <row r="799" spans="1:23" x14ac:dyDescent="0.35">
      <c r="A799" s="20">
        <f t="shared" si="116"/>
        <v>23</v>
      </c>
      <c r="B799" s="58">
        <v>6412</v>
      </c>
      <c r="C799" s="34" t="s">
        <v>830</v>
      </c>
      <c r="D799" s="27">
        <v>1991</v>
      </c>
      <c r="E799" s="41" t="s">
        <v>182</v>
      </c>
      <c r="F799" s="27" t="s">
        <v>183</v>
      </c>
      <c r="G799" s="98">
        <v>13308.3</v>
      </c>
      <c r="H799" s="4">
        <v>11904.4</v>
      </c>
      <c r="I799" s="19">
        <v>450</v>
      </c>
      <c r="J799" s="16">
        <f>'Форма 2'!I2794</f>
        <v>10446624</v>
      </c>
      <c r="K799" s="4">
        <v>0</v>
      </c>
      <c r="L799" s="4">
        <v>0</v>
      </c>
      <c r="M799" s="4">
        <v>0</v>
      </c>
      <c r="N799" s="4">
        <f t="shared" si="118"/>
        <v>10446624</v>
      </c>
      <c r="O799" s="4">
        <v>0</v>
      </c>
      <c r="P799" s="4">
        <f>J799/H799</f>
        <v>877.54</v>
      </c>
      <c r="Q799" s="16">
        <f>'Форма 2'!K2794</f>
        <v>895.98</v>
      </c>
      <c r="R799" s="26" t="s">
        <v>493</v>
      </c>
      <c r="S799" s="5">
        <v>1</v>
      </c>
    </row>
    <row r="800" spans="1:23" x14ac:dyDescent="0.35">
      <c r="A800" s="20">
        <f t="shared" si="116"/>
        <v>24</v>
      </c>
      <c r="B800" s="21">
        <v>6413</v>
      </c>
      <c r="C800" s="34" t="s">
        <v>706</v>
      </c>
      <c r="D800" s="27">
        <v>1980</v>
      </c>
      <c r="E800" s="41" t="s">
        <v>74</v>
      </c>
      <c r="F800" s="27" t="s">
        <v>152</v>
      </c>
      <c r="G800" s="98">
        <v>11003.22</v>
      </c>
      <c r="H800" s="4">
        <v>8338.86</v>
      </c>
      <c r="I800" s="19">
        <v>315</v>
      </c>
      <c r="J800" s="16">
        <f>'Форма 2'!I2813</f>
        <v>1409267.34</v>
      </c>
      <c r="K800" s="4">
        <v>0</v>
      </c>
      <c r="L800" s="4">
        <v>0</v>
      </c>
      <c r="M800" s="4">
        <v>0</v>
      </c>
      <c r="N800" s="4">
        <f t="shared" si="118"/>
        <v>1409267.34</v>
      </c>
      <c r="O800" s="4">
        <v>0</v>
      </c>
      <c r="P800" s="4">
        <f>J800/H800</f>
        <v>169</v>
      </c>
      <c r="Q800" s="16">
        <f>'Форма 2'!K2813</f>
        <v>169</v>
      </c>
      <c r="R800" s="26" t="s">
        <v>493</v>
      </c>
      <c r="S800" s="5">
        <v>1</v>
      </c>
      <c r="U800" s="2"/>
    </row>
    <row r="801" spans="1:23" x14ac:dyDescent="0.35">
      <c r="A801" s="20">
        <f t="shared" si="116"/>
        <v>25</v>
      </c>
      <c r="B801" s="58">
        <v>6414</v>
      </c>
      <c r="C801" s="34" t="s">
        <v>831</v>
      </c>
      <c r="D801" s="27">
        <v>1992</v>
      </c>
      <c r="E801" s="41" t="s">
        <v>182</v>
      </c>
      <c r="F801" s="27" t="s">
        <v>183</v>
      </c>
      <c r="G801" s="98">
        <v>4576.8999999999996</v>
      </c>
      <c r="H801" s="4">
        <v>3909.1</v>
      </c>
      <c r="I801" s="19">
        <v>148</v>
      </c>
      <c r="J801" s="16">
        <f>'Форма 2'!I2815</f>
        <v>5304678</v>
      </c>
      <c r="K801" s="4">
        <v>0</v>
      </c>
      <c r="L801" s="4">
        <v>0</v>
      </c>
      <c r="M801" s="4">
        <v>0</v>
      </c>
      <c r="N801" s="4">
        <f t="shared" si="118"/>
        <v>5304678</v>
      </c>
      <c r="O801" s="4">
        <v>0</v>
      </c>
      <c r="P801" s="4">
        <f t="shared" ref="P801" si="119">J801/H801</f>
        <v>1357.01</v>
      </c>
      <c r="Q801" s="16">
        <f>'Форма 2'!K2815</f>
        <v>1385.69</v>
      </c>
      <c r="R801" s="26" t="s">
        <v>493</v>
      </c>
      <c r="S801" s="5">
        <v>1</v>
      </c>
      <c r="U801" s="2"/>
    </row>
    <row r="802" spans="1:23" x14ac:dyDescent="0.35">
      <c r="A802" s="20">
        <f t="shared" si="116"/>
        <v>26</v>
      </c>
      <c r="B802" s="21">
        <v>6447</v>
      </c>
      <c r="C802" s="34" t="s">
        <v>518</v>
      </c>
      <c r="D802" s="27">
        <v>1958</v>
      </c>
      <c r="E802" s="16" t="s">
        <v>74</v>
      </c>
      <c r="F802" s="20" t="s">
        <v>155</v>
      </c>
      <c r="G802" s="4">
        <v>7156</v>
      </c>
      <c r="H802" s="4">
        <v>4297.8</v>
      </c>
      <c r="I802" s="19">
        <v>193</v>
      </c>
      <c r="J802" s="16">
        <f>'Форма 2'!I2822</f>
        <v>19894516.199999999</v>
      </c>
      <c r="K802" s="4">
        <v>0</v>
      </c>
      <c r="L802" s="4">
        <v>0</v>
      </c>
      <c r="M802" s="4">
        <v>0</v>
      </c>
      <c r="N802" s="4">
        <f t="shared" si="118"/>
        <v>19894516.199999999</v>
      </c>
      <c r="O802" s="4">
        <v>0</v>
      </c>
      <c r="P802" s="4">
        <f t="shared" si="117"/>
        <v>4629</v>
      </c>
      <c r="Q802" s="16">
        <f>'Форма 2'!K2822</f>
        <v>4728</v>
      </c>
      <c r="R802" s="26" t="s">
        <v>493</v>
      </c>
      <c r="S802" s="5">
        <v>1</v>
      </c>
      <c r="U802" s="2"/>
    </row>
    <row r="803" spans="1:23" x14ac:dyDescent="0.35">
      <c r="A803" s="20">
        <f t="shared" si="116"/>
        <v>27</v>
      </c>
      <c r="B803" s="21">
        <v>6453</v>
      </c>
      <c r="C803" s="34" t="s">
        <v>520</v>
      </c>
      <c r="D803" s="27">
        <v>1958</v>
      </c>
      <c r="E803" s="16" t="s">
        <v>74</v>
      </c>
      <c r="F803" s="20" t="s">
        <v>155</v>
      </c>
      <c r="G803" s="4">
        <v>5255</v>
      </c>
      <c r="H803" s="4">
        <v>2955.7</v>
      </c>
      <c r="I803" s="19">
        <v>109</v>
      </c>
      <c r="J803" s="16">
        <f>'Форма 2'!I2825</f>
        <v>13681935.300000001</v>
      </c>
      <c r="K803" s="4">
        <v>0</v>
      </c>
      <c r="L803" s="4">
        <v>0</v>
      </c>
      <c r="M803" s="4">
        <v>0</v>
      </c>
      <c r="N803" s="4">
        <f t="shared" si="118"/>
        <v>13681935.300000001</v>
      </c>
      <c r="O803" s="4">
        <v>0</v>
      </c>
      <c r="P803" s="4">
        <f t="shared" si="117"/>
        <v>4629</v>
      </c>
      <c r="Q803" s="16">
        <f>'Форма 2'!K2825</f>
        <v>4728</v>
      </c>
      <c r="R803" s="26" t="s">
        <v>493</v>
      </c>
      <c r="S803" s="5">
        <v>1</v>
      </c>
    </row>
    <row r="804" spans="1:23" x14ac:dyDescent="0.35">
      <c r="A804" s="20">
        <f t="shared" si="116"/>
        <v>28</v>
      </c>
      <c r="B804" s="21">
        <v>6461</v>
      </c>
      <c r="C804" s="34" t="s">
        <v>521</v>
      </c>
      <c r="D804" s="27">
        <v>1955</v>
      </c>
      <c r="E804" s="16" t="s">
        <v>74</v>
      </c>
      <c r="F804" s="20" t="s">
        <v>155</v>
      </c>
      <c r="G804" s="4">
        <v>975</v>
      </c>
      <c r="H804" s="4">
        <v>483.4</v>
      </c>
      <c r="I804" s="19">
        <v>38</v>
      </c>
      <c r="J804" s="16">
        <f>'Форма 2'!I2828</f>
        <v>3344161.2</v>
      </c>
      <c r="K804" s="4">
        <v>0</v>
      </c>
      <c r="L804" s="4">
        <v>0</v>
      </c>
      <c r="M804" s="4">
        <v>0</v>
      </c>
      <c r="N804" s="4">
        <f t="shared" si="118"/>
        <v>3344161.2</v>
      </c>
      <c r="O804" s="4">
        <v>0</v>
      </c>
      <c r="P804" s="4">
        <f t="shared" si="117"/>
        <v>6918</v>
      </c>
      <c r="Q804" s="16">
        <f>'Форма 2'!K2828</f>
        <v>7066</v>
      </c>
      <c r="R804" s="26" t="s">
        <v>493</v>
      </c>
      <c r="S804" s="5">
        <v>1</v>
      </c>
    </row>
    <row r="805" spans="1:23" x14ac:dyDescent="0.35">
      <c r="A805" s="20">
        <f t="shared" si="116"/>
        <v>29</v>
      </c>
      <c r="B805" s="21">
        <v>6490</v>
      </c>
      <c r="C805" s="34" t="s">
        <v>628</v>
      </c>
      <c r="D805" s="27">
        <v>1966</v>
      </c>
      <c r="E805" s="41" t="s">
        <v>74</v>
      </c>
      <c r="F805" s="27" t="s">
        <v>152</v>
      </c>
      <c r="G805" s="98">
        <v>5155.5</v>
      </c>
      <c r="H805" s="4">
        <v>3518.3</v>
      </c>
      <c r="I805" s="19">
        <v>190</v>
      </c>
      <c r="J805" s="16">
        <f>'Форма 2'!I2831</f>
        <v>594592.69999999995</v>
      </c>
      <c r="K805" s="4">
        <v>0</v>
      </c>
      <c r="L805" s="4">
        <v>0</v>
      </c>
      <c r="M805" s="4">
        <v>0</v>
      </c>
      <c r="N805" s="4">
        <f>J805-K805-L805-M805-O805</f>
        <v>594592.69999999995</v>
      </c>
      <c r="O805" s="4">
        <v>0</v>
      </c>
      <c r="P805" s="4">
        <f>J805/H805</f>
        <v>169</v>
      </c>
      <c r="Q805" s="16">
        <f>'Форма 2'!K2831</f>
        <v>169</v>
      </c>
      <c r="R805" s="26" t="s">
        <v>493</v>
      </c>
      <c r="S805" s="5">
        <v>1</v>
      </c>
    </row>
    <row r="806" spans="1:23" x14ac:dyDescent="0.35">
      <c r="A806" s="20">
        <f t="shared" si="116"/>
        <v>30</v>
      </c>
      <c r="B806" s="20">
        <v>6550</v>
      </c>
      <c r="C806" s="34" t="s">
        <v>229</v>
      </c>
      <c r="D806" s="20">
        <v>1957</v>
      </c>
      <c r="E806" s="20" t="s">
        <v>230</v>
      </c>
      <c r="F806" s="20" t="s">
        <v>481</v>
      </c>
      <c r="G806" s="4">
        <v>531.6</v>
      </c>
      <c r="H806" s="4">
        <v>485.6</v>
      </c>
      <c r="I806" s="19">
        <v>27</v>
      </c>
      <c r="J806" s="16">
        <f>'Форма 2'!I2833</f>
        <v>1740730.32</v>
      </c>
      <c r="K806" s="4">
        <v>0</v>
      </c>
      <c r="L806" s="4">
        <v>0</v>
      </c>
      <c r="M806" s="4">
        <v>0</v>
      </c>
      <c r="N806" s="4">
        <f>J806-K806-L806-M806-O806</f>
        <v>1740730.32</v>
      </c>
      <c r="O806" s="4">
        <v>0</v>
      </c>
      <c r="P806" s="4">
        <f>J806/H806</f>
        <v>3584.7</v>
      </c>
      <c r="Q806" s="16">
        <f>'Форма 2'!K2833</f>
        <v>5231</v>
      </c>
      <c r="R806" s="26" t="s">
        <v>493</v>
      </c>
      <c r="S806" s="5">
        <v>1</v>
      </c>
    </row>
    <row r="807" spans="1:23" s="3" customFormat="1" x14ac:dyDescent="0.35">
      <c r="A807" s="229" t="s">
        <v>46</v>
      </c>
      <c r="B807" s="229"/>
      <c r="C807" s="229"/>
      <c r="D807" s="18" t="s">
        <v>13</v>
      </c>
      <c r="E807" s="4" t="s">
        <v>13</v>
      </c>
      <c r="F807" s="4" t="s">
        <v>13</v>
      </c>
      <c r="G807" s="4">
        <f>SUM(G808:G819)</f>
        <v>44305.1</v>
      </c>
      <c r="H807" s="4">
        <f t="shared" ref="H807:O807" si="120">SUM(H808:H819)</f>
        <v>36727.660000000003</v>
      </c>
      <c r="I807" s="19">
        <f t="shared" si="120"/>
        <v>1803</v>
      </c>
      <c r="J807" s="4">
        <f t="shared" si="120"/>
        <v>51630796.640000001</v>
      </c>
      <c r="K807" s="4">
        <f t="shared" si="120"/>
        <v>0</v>
      </c>
      <c r="L807" s="4">
        <f t="shared" si="120"/>
        <v>0</v>
      </c>
      <c r="M807" s="4">
        <f t="shared" si="120"/>
        <v>0</v>
      </c>
      <c r="N807" s="4">
        <f t="shared" si="120"/>
        <v>51630796.640000001</v>
      </c>
      <c r="O807" s="4">
        <f t="shared" si="120"/>
        <v>0</v>
      </c>
      <c r="P807" s="4" t="s">
        <v>13</v>
      </c>
      <c r="Q807" s="4" t="s">
        <v>13</v>
      </c>
      <c r="R807" s="4" t="s">
        <v>13</v>
      </c>
      <c r="S807" s="19" t="s">
        <v>13</v>
      </c>
      <c r="T807" s="1"/>
      <c r="U807" s="1"/>
    </row>
    <row r="808" spans="1:23" s="3" customFormat="1" ht="31" x14ac:dyDescent="0.35">
      <c r="A808" s="68">
        <v>1</v>
      </c>
      <c r="B808" s="47">
        <v>5086</v>
      </c>
      <c r="C808" s="69" t="s">
        <v>814</v>
      </c>
      <c r="D808" s="27">
        <v>1981</v>
      </c>
      <c r="E808" s="27" t="s">
        <v>366</v>
      </c>
      <c r="F808" s="27" t="s">
        <v>152</v>
      </c>
      <c r="G808" s="85">
        <v>3753.6</v>
      </c>
      <c r="H808" s="35">
        <v>3129.5</v>
      </c>
      <c r="I808" s="99">
        <v>118</v>
      </c>
      <c r="J808" s="35">
        <f>'Форма 2'!I2837</f>
        <v>553921.5</v>
      </c>
      <c r="K808" s="86">
        <v>0</v>
      </c>
      <c r="L808" s="86">
        <v>0</v>
      </c>
      <c r="M808" s="86">
        <v>0</v>
      </c>
      <c r="N808" s="35">
        <f>J808-K808-L808-M808-O808</f>
        <v>553921.5</v>
      </c>
      <c r="O808" s="35">
        <v>0</v>
      </c>
      <c r="P808" s="35">
        <f t="shared" ref="P808:P819" si="121">J808/H808</f>
        <v>177</v>
      </c>
      <c r="Q808" s="41">
        <f>'Форма 2'!K2837</f>
        <v>177</v>
      </c>
      <c r="R808" s="27" t="s">
        <v>493</v>
      </c>
      <c r="S808" s="27">
        <v>1</v>
      </c>
      <c r="T808" s="1"/>
      <c r="U808" s="1"/>
    </row>
    <row r="809" spans="1:23" s="3" customFormat="1" ht="31" x14ac:dyDescent="0.35">
      <c r="A809" s="68">
        <f t="shared" ref="A809:A816" si="122">A808+1</f>
        <v>2</v>
      </c>
      <c r="B809" s="47">
        <v>5087</v>
      </c>
      <c r="C809" s="69" t="s">
        <v>815</v>
      </c>
      <c r="D809" s="27">
        <v>1978</v>
      </c>
      <c r="E809" s="27" t="s">
        <v>366</v>
      </c>
      <c r="F809" s="27" t="s">
        <v>152</v>
      </c>
      <c r="G809" s="85">
        <v>3043.3</v>
      </c>
      <c r="H809" s="35">
        <v>2620.1999999999998</v>
      </c>
      <c r="I809" s="99">
        <v>179</v>
      </c>
      <c r="J809" s="35">
        <f>'Форма 2'!I2842</f>
        <v>565963.19999999995</v>
      </c>
      <c r="K809" s="86">
        <v>0</v>
      </c>
      <c r="L809" s="86">
        <v>0</v>
      </c>
      <c r="M809" s="86">
        <v>0</v>
      </c>
      <c r="N809" s="35">
        <f t="shared" ref="N809:N819" si="123">J809-K809-L809-M809-O809</f>
        <v>565963.19999999995</v>
      </c>
      <c r="O809" s="35">
        <v>0</v>
      </c>
      <c r="P809" s="35">
        <f t="shared" si="121"/>
        <v>216</v>
      </c>
      <c r="Q809" s="41">
        <f>'Форма 2'!K2842</f>
        <v>216</v>
      </c>
      <c r="R809" s="27" t="s">
        <v>493</v>
      </c>
      <c r="S809" s="27">
        <v>1</v>
      </c>
      <c r="T809" s="1"/>
      <c r="U809" s="1"/>
    </row>
    <row r="810" spans="1:23" s="3" customFormat="1" ht="31" x14ac:dyDescent="0.35">
      <c r="A810" s="68">
        <f t="shared" si="122"/>
        <v>3</v>
      </c>
      <c r="B810" s="28">
        <v>5098</v>
      </c>
      <c r="C810" s="48" t="s">
        <v>795</v>
      </c>
      <c r="D810" s="46">
        <v>1972</v>
      </c>
      <c r="E810" s="46" t="s">
        <v>771</v>
      </c>
      <c r="F810" s="46" t="s">
        <v>155</v>
      </c>
      <c r="G810" s="85">
        <v>396.5</v>
      </c>
      <c r="H810" s="35">
        <v>374.5</v>
      </c>
      <c r="I810" s="99">
        <v>23</v>
      </c>
      <c r="J810" s="35">
        <f>'Форма 2'!I2847</f>
        <v>2319662.9300000002</v>
      </c>
      <c r="K810" s="86">
        <v>0</v>
      </c>
      <c r="L810" s="86">
        <v>0</v>
      </c>
      <c r="M810" s="86">
        <v>0</v>
      </c>
      <c r="N810" s="35">
        <f t="shared" si="123"/>
        <v>2319662.9300000002</v>
      </c>
      <c r="O810" s="35">
        <v>0</v>
      </c>
      <c r="P810" s="35">
        <f t="shared" si="121"/>
        <v>6194.03</v>
      </c>
      <c r="Q810" s="35">
        <f>'Форма 2'!K2847</f>
        <v>8007</v>
      </c>
      <c r="R810" s="95" t="s">
        <v>493</v>
      </c>
      <c r="S810" s="27">
        <v>1</v>
      </c>
      <c r="T810" s="1"/>
      <c r="U810" s="1"/>
    </row>
    <row r="811" spans="1:23" ht="31" x14ac:dyDescent="0.35">
      <c r="A811" s="68">
        <f t="shared" si="122"/>
        <v>4</v>
      </c>
      <c r="B811" s="28">
        <v>5099</v>
      </c>
      <c r="C811" s="48" t="s">
        <v>796</v>
      </c>
      <c r="D811" s="46">
        <v>1972</v>
      </c>
      <c r="E811" s="46" t="s">
        <v>771</v>
      </c>
      <c r="F811" s="46" t="s">
        <v>155</v>
      </c>
      <c r="G811" s="85">
        <v>393.3</v>
      </c>
      <c r="H811" s="35">
        <v>368.8</v>
      </c>
      <c r="I811" s="99">
        <v>18</v>
      </c>
      <c r="J811" s="35">
        <f>'Форма 2'!I2858</f>
        <v>2294320.73</v>
      </c>
      <c r="K811" s="86">
        <v>0</v>
      </c>
      <c r="L811" s="86">
        <v>0</v>
      </c>
      <c r="M811" s="86">
        <v>0</v>
      </c>
      <c r="N811" s="35">
        <f t="shared" si="123"/>
        <v>2294320.73</v>
      </c>
      <c r="O811" s="35">
        <v>0</v>
      </c>
      <c r="P811" s="35">
        <f t="shared" si="121"/>
        <v>6221.04</v>
      </c>
      <c r="Q811" s="35">
        <f>'Форма 2'!K2858</f>
        <v>8007</v>
      </c>
      <c r="R811" s="95" t="s">
        <v>493</v>
      </c>
      <c r="S811" s="27">
        <v>1</v>
      </c>
      <c r="V811" s="3"/>
      <c r="W811" s="3"/>
    </row>
    <row r="812" spans="1:23" s="3" customFormat="1" x14ac:dyDescent="0.35">
      <c r="A812" s="68">
        <f t="shared" si="122"/>
        <v>5</v>
      </c>
      <c r="B812" s="47">
        <v>5100</v>
      </c>
      <c r="C812" s="48" t="s">
        <v>797</v>
      </c>
      <c r="D812" s="49">
        <v>1974</v>
      </c>
      <c r="E812" s="49" t="s">
        <v>74</v>
      </c>
      <c r="F812" s="46" t="s">
        <v>481</v>
      </c>
      <c r="G812" s="50">
        <v>3099.7</v>
      </c>
      <c r="H812" s="4">
        <v>2705.3</v>
      </c>
      <c r="I812" s="51">
        <v>139</v>
      </c>
      <c r="J812" s="4">
        <f>'Форма 2'!I2869</f>
        <v>5859950.3300000001</v>
      </c>
      <c r="K812" s="52">
        <v>0</v>
      </c>
      <c r="L812" s="52">
        <v>0</v>
      </c>
      <c r="M812" s="52">
        <v>0</v>
      </c>
      <c r="N812" s="4">
        <f t="shared" si="123"/>
        <v>5859950.3300000001</v>
      </c>
      <c r="O812" s="4">
        <v>0</v>
      </c>
      <c r="P812" s="4">
        <f t="shared" si="121"/>
        <v>2166.1</v>
      </c>
      <c r="Q812" s="4">
        <f>'Форма 2'!K2869</f>
        <v>3067</v>
      </c>
      <c r="R812" s="26" t="s">
        <v>493</v>
      </c>
      <c r="S812" s="20">
        <v>1</v>
      </c>
      <c r="T812" s="1"/>
      <c r="U812" s="1"/>
    </row>
    <row r="813" spans="1:23" ht="31" x14ac:dyDescent="0.35">
      <c r="A813" s="68">
        <f t="shared" si="122"/>
        <v>6</v>
      </c>
      <c r="B813" s="47">
        <v>5102</v>
      </c>
      <c r="C813" s="48" t="s">
        <v>798</v>
      </c>
      <c r="D813" s="46">
        <v>1973</v>
      </c>
      <c r="E813" s="27" t="s">
        <v>366</v>
      </c>
      <c r="F813" s="46" t="s">
        <v>481</v>
      </c>
      <c r="G813" s="85">
        <v>4103.3</v>
      </c>
      <c r="H813" s="35">
        <v>3535.3</v>
      </c>
      <c r="I813" s="99">
        <v>183</v>
      </c>
      <c r="J813" s="35">
        <f>'Форма 2'!I2872</f>
        <v>8584802.5500000007</v>
      </c>
      <c r="K813" s="86">
        <v>0</v>
      </c>
      <c r="L813" s="86">
        <v>0</v>
      </c>
      <c r="M813" s="86">
        <v>0</v>
      </c>
      <c r="N813" s="35">
        <f t="shared" si="123"/>
        <v>8584802.5500000007</v>
      </c>
      <c r="O813" s="35">
        <v>0</v>
      </c>
      <c r="P813" s="35">
        <f t="shared" si="121"/>
        <v>2428.31</v>
      </c>
      <c r="Q813" s="35">
        <f>'Форма 2'!K2872</f>
        <v>3767</v>
      </c>
      <c r="R813" s="95" t="s">
        <v>493</v>
      </c>
      <c r="S813" s="27">
        <v>1</v>
      </c>
      <c r="V813" s="3"/>
      <c r="W813" s="3"/>
    </row>
    <row r="814" spans="1:23" x14ac:dyDescent="0.35">
      <c r="A814" s="68">
        <f t="shared" si="122"/>
        <v>7</v>
      </c>
      <c r="B814" s="47">
        <v>5107</v>
      </c>
      <c r="C814" s="48" t="s">
        <v>799</v>
      </c>
      <c r="D814" s="49">
        <v>1972</v>
      </c>
      <c r="E814" s="49" t="s">
        <v>74</v>
      </c>
      <c r="F814" s="49" t="s">
        <v>155</v>
      </c>
      <c r="G814" s="50">
        <v>804.2</v>
      </c>
      <c r="H814" s="4">
        <v>743</v>
      </c>
      <c r="I814" s="51">
        <v>43</v>
      </c>
      <c r="J814" s="4">
        <f>'Форма 2'!I2881</f>
        <v>5440966.1500000004</v>
      </c>
      <c r="K814" s="52">
        <v>0</v>
      </c>
      <c r="L814" s="52">
        <v>0</v>
      </c>
      <c r="M814" s="52">
        <v>0</v>
      </c>
      <c r="N814" s="4">
        <f t="shared" si="123"/>
        <v>5440966.1500000004</v>
      </c>
      <c r="O814" s="4">
        <v>0</v>
      </c>
      <c r="P814" s="4">
        <f t="shared" si="121"/>
        <v>7322.97</v>
      </c>
      <c r="Q814" s="4">
        <f>'Форма 2'!K2881</f>
        <v>7539</v>
      </c>
      <c r="R814" s="26" t="s">
        <v>493</v>
      </c>
      <c r="S814" s="20">
        <v>1</v>
      </c>
      <c r="V814" s="3"/>
      <c r="W814" s="3"/>
    </row>
    <row r="815" spans="1:23" x14ac:dyDescent="0.35">
      <c r="A815" s="68">
        <f t="shared" si="122"/>
        <v>8</v>
      </c>
      <c r="B815" s="47">
        <v>5109</v>
      </c>
      <c r="C815" s="48" t="s">
        <v>801</v>
      </c>
      <c r="D815" s="49">
        <v>1973</v>
      </c>
      <c r="E815" s="49" t="s">
        <v>74</v>
      </c>
      <c r="F815" s="49" t="s">
        <v>481</v>
      </c>
      <c r="G815" s="50">
        <v>989.4</v>
      </c>
      <c r="H815" s="4">
        <v>901.46</v>
      </c>
      <c r="I815" s="51">
        <v>52</v>
      </c>
      <c r="J815" s="4">
        <f>'Форма 2'!I2884</f>
        <v>4800004.0599999996</v>
      </c>
      <c r="K815" s="52">
        <v>0</v>
      </c>
      <c r="L815" s="52">
        <v>0</v>
      </c>
      <c r="M815" s="52">
        <v>0</v>
      </c>
      <c r="N815" s="4">
        <f t="shared" si="123"/>
        <v>4800004.0599999996</v>
      </c>
      <c r="O815" s="4">
        <v>0</v>
      </c>
      <c r="P815" s="4">
        <f t="shared" si="121"/>
        <v>5324.7</v>
      </c>
      <c r="Q815" s="4">
        <f>'Форма 2'!K2884</f>
        <v>7539</v>
      </c>
      <c r="R815" s="26" t="s">
        <v>493</v>
      </c>
      <c r="S815" s="20">
        <v>1</v>
      </c>
      <c r="U815" s="3"/>
      <c r="V815" s="3"/>
      <c r="W815" s="3"/>
    </row>
    <row r="816" spans="1:23" x14ac:dyDescent="0.35">
      <c r="A816" s="68">
        <f t="shared" si="122"/>
        <v>9</v>
      </c>
      <c r="B816" s="28">
        <v>5134</v>
      </c>
      <c r="C816" s="48" t="s">
        <v>816</v>
      </c>
      <c r="D816" s="49">
        <v>1981</v>
      </c>
      <c r="E816" s="49" t="s">
        <v>74</v>
      </c>
      <c r="F816" s="49" t="s">
        <v>152</v>
      </c>
      <c r="G816" s="50">
        <v>9374.2999999999993</v>
      </c>
      <c r="H816" s="4">
        <v>7548.1</v>
      </c>
      <c r="I816" s="51">
        <v>326</v>
      </c>
      <c r="J816" s="4">
        <f>'Форма 2'!I2887</f>
        <v>1260532.7</v>
      </c>
      <c r="K816" s="52">
        <v>0</v>
      </c>
      <c r="L816" s="52">
        <v>0</v>
      </c>
      <c r="M816" s="52">
        <v>0</v>
      </c>
      <c r="N816" s="4">
        <f t="shared" si="123"/>
        <v>1260532.7</v>
      </c>
      <c r="O816" s="4">
        <v>0</v>
      </c>
      <c r="P816" s="4">
        <f t="shared" si="121"/>
        <v>167</v>
      </c>
      <c r="Q816" s="4">
        <f>'Форма 2'!K2887</f>
        <v>167</v>
      </c>
      <c r="R816" s="26" t="s">
        <v>493</v>
      </c>
      <c r="S816" s="20">
        <v>1</v>
      </c>
      <c r="U816" s="3"/>
      <c r="V816" s="3"/>
      <c r="W816" s="3"/>
    </row>
    <row r="817" spans="1:23" x14ac:dyDescent="0.35">
      <c r="A817" s="68">
        <f>A816+1</f>
        <v>10</v>
      </c>
      <c r="B817" s="47">
        <v>5140</v>
      </c>
      <c r="C817" s="48" t="s">
        <v>808</v>
      </c>
      <c r="D817" s="49">
        <v>1980</v>
      </c>
      <c r="E817" s="49" t="s">
        <v>74</v>
      </c>
      <c r="F817" s="49" t="s">
        <v>481</v>
      </c>
      <c r="G817" s="50">
        <v>10503.6</v>
      </c>
      <c r="H817" s="50">
        <v>8292.2000000000007</v>
      </c>
      <c r="I817" s="56">
        <v>381</v>
      </c>
      <c r="J817" s="4">
        <f>'Форма 2'!I2889</f>
        <v>11526119.390000001</v>
      </c>
      <c r="K817" s="4">
        <v>0</v>
      </c>
      <c r="L817" s="52">
        <v>0</v>
      </c>
      <c r="M817" s="52">
        <v>0</v>
      </c>
      <c r="N817" s="4">
        <f t="shared" si="123"/>
        <v>11526119.390000001</v>
      </c>
      <c r="O817" s="4">
        <v>0</v>
      </c>
      <c r="P817" s="4">
        <f t="shared" si="121"/>
        <v>1390</v>
      </c>
      <c r="Q817" s="4">
        <f>'Форма 2'!K2889</f>
        <v>2679</v>
      </c>
      <c r="R817" s="26" t="s">
        <v>493</v>
      </c>
      <c r="S817" s="5">
        <v>1</v>
      </c>
      <c r="U817" s="3"/>
      <c r="V817" s="3"/>
      <c r="W817" s="3"/>
    </row>
    <row r="818" spans="1:23" x14ac:dyDescent="0.35">
      <c r="A818" s="68">
        <f>A817+1</f>
        <v>11</v>
      </c>
      <c r="B818" s="47">
        <v>5164</v>
      </c>
      <c r="C818" s="48" t="s">
        <v>809</v>
      </c>
      <c r="D818" s="49">
        <v>1986</v>
      </c>
      <c r="E818" s="49" t="s">
        <v>74</v>
      </c>
      <c r="F818" s="49" t="s">
        <v>155</v>
      </c>
      <c r="G818" s="50">
        <v>3212.9</v>
      </c>
      <c r="H818" s="50">
        <v>2523.3000000000002</v>
      </c>
      <c r="I818" s="56">
        <v>118</v>
      </c>
      <c r="J818" s="4">
        <f>'Форма 2'!I2892</f>
        <v>7738961.0999999996</v>
      </c>
      <c r="K818" s="4">
        <v>0</v>
      </c>
      <c r="L818" s="52">
        <v>0</v>
      </c>
      <c r="M818" s="52">
        <v>0</v>
      </c>
      <c r="N818" s="4">
        <f t="shared" si="123"/>
        <v>7738961.0999999996</v>
      </c>
      <c r="O818" s="4">
        <v>0</v>
      </c>
      <c r="P818" s="4">
        <f t="shared" si="121"/>
        <v>3067</v>
      </c>
      <c r="Q818" s="4">
        <f>'Форма 2'!K2892</f>
        <v>3067</v>
      </c>
      <c r="R818" s="26" t="s">
        <v>493</v>
      </c>
      <c r="S818" s="5">
        <v>1</v>
      </c>
      <c r="U818" s="3"/>
      <c r="V818" s="3"/>
      <c r="W818" s="3"/>
    </row>
    <row r="819" spans="1:23" x14ac:dyDescent="0.35">
      <c r="A819" s="68">
        <f>A818+1</f>
        <v>12</v>
      </c>
      <c r="B819" s="47">
        <v>5172</v>
      </c>
      <c r="C819" s="48" t="s">
        <v>817</v>
      </c>
      <c r="D819" s="49">
        <v>1981</v>
      </c>
      <c r="E819" s="49" t="s">
        <v>74</v>
      </c>
      <c r="F819" s="49" t="s">
        <v>152</v>
      </c>
      <c r="G819" s="50">
        <v>4631</v>
      </c>
      <c r="H819" s="50">
        <v>3986</v>
      </c>
      <c r="I819" s="56">
        <v>223</v>
      </c>
      <c r="J819" s="4">
        <f>'Форма 2'!I2895</f>
        <v>685592</v>
      </c>
      <c r="K819" s="4">
        <v>0</v>
      </c>
      <c r="L819" s="52">
        <v>0</v>
      </c>
      <c r="M819" s="52">
        <v>0</v>
      </c>
      <c r="N819" s="4">
        <f t="shared" si="123"/>
        <v>685592</v>
      </c>
      <c r="O819" s="4">
        <v>0</v>
      </c>
      <c r="P819" s="4">
        <f t="shared" si="121"/>
        <v>172</v>
      </c>
      <c r="Q819" s="4">
        <f>'Форма 2'!K2895</f>
        <v>172</v>
      </c>
      <c r="R819" s="26" t="s">
        <v>493</v>
      </c>
      <c r="S819" s="5">
        <v>1</v>
      </c>
      <c r="V819" s="3"/>
      <c r="W819" s="3"/>
    </row>
    <row r="820" spans="1:23" x14ac:dyDescent="0.35">
      <c r="A820" s="236" t="s">
        <v>47</v>
      </c>
      <c r="B820" s="236"/>
      <c r="C820" s="236"/>
      <c r="D820" s="60" t="s">
        <v>13</v>
      </c>
      <c r="E820" s="60" t="s">
        <v>13</v>
      </c>
      <c r="F820" s="60" t="s">
        <v>13</v>
      </c>
      <c r="G820" s="4">
        <f t="shared" ref="G820:O820" si="124">G821+G842+G854+G877</f>
        <v>197092.61</v>
      </c>
      <c r="H820" s="4">
        <f t="shared" si="124"/>
        <v>172996.13</v>
      </c>
      <c r="I820" s="104">
        <f t="shared" si="124"/>
        <v>6980</v>
      </c>
      <c r="J820" s="4">
        <f t="shared" si="124"/>
        <v>567571100.49000001</v>
      </c>
      <c r="K820" s="4">
        <f t="shared" si="124"/>
        <v>0</v>
      </c>
      <c r="L820" s="4">
        <f t="shared" si="124"/>
        <v>0</v>
      </c>
      <c r="M820" s="4">
        <f t="shared" si="124"/>
        <v>0</v>
      </c>
      <c r="N820" s="4">
        <f t="shared" si="124"/>
        <v>567571100.49000001</v>
      </c>
      <c r="O820" s="4">
        <f t="shared" si="124"/>
        <v>0</v>
      </c>
      <c r="P820" s="4" t="s">
        <v>13</v>
      </c>
      <c r="Q820" s="4" t="s">
        <v>13</v>
      </c>
      <c r="R820" s="4" t="s">
        <v>13</v>
      </c>
      <c r="S820" s="4" t="s">
        <v>13</v>
      </c>
      <c r="U820" s="3"/>
    </row>
    <row r="821" spans="1:23" x14ac:dyDescent="0.35">
      <c r="A821" s="236" t="s">
        <v>254</v>
      </c>
      <c r="B821" s="236"/>
      <c r="C821" s="236"/>
      <c r="D821" s="60" t="s">
        <v>13</v>
      </c>
      <c r="E821" s="60" t="s">
        <v>13</v>
      </c>
      <c r="F821" s="60" t="s">
        <v>13</v>
      </c>
      <c r="G821" s="4">
        <f t="shared" ref="G821:O821" si="125">SUM(G822:G841)</f>
        <v>47190.21</v>
      </c>
      <c r="H821" s="4">
        <f t="shared" si="125"/>
        <v>41661.15</v>
      </c>
      <c r="I821" s="19">
        <f t="shared" si="125"/>
        <v>1653</v>
      </c>
      <c r="J821" s="4">
        <f t="shared" si="125"/>
        <v>159230944.03</v>
      </c>
      <c r="K821" s="4">
        <f t="shared" si="125"/>
        <v>0</v>
      </c>
      <c r="L821" s="4">
        <f t="shared" si="125"/>
        <v>0</v>
      </c>
      <c r="M821" s="4">
        <f t="shared" si="125"/>
        <v>0</v>
      </c>
      <c r="N821" s="4">
        <f t="shared" si="125"/>
        <v>159230944.03</v>
      </c>
      <c r="O821" s="4">
        <f t="shared" si="125"/>
        <v>0</v>
      </c>
      <c r="P821" s="60" t="s">
        <v>13</v>
      </c>
      <c r="Q821" s="60" t="s">
        <v>13</v>
      </c>
      <c r="R821" s="60" t="s">
        <v>13</v>
      </c>
      <c r="S821" s="60" t="s">
        <v>13</v>
      </c>
    </row>
    <row r="822" spans="1:23" x14ac:dyDescent="0.35">
      <c r="A822" s="20">
        <v>1</v>
      </c>
      <c r="B822" s="20">
        <v>122</v>
      </c>
      <c r="C822" s="61" t="s">
        <v>90</v>
      </c>
      <c r="D822" s="60">
        <v>1946</v>
      </c>
      <c r="E822" s="25" t="s">
        <v>434</v>
      </c>
      <c r="F822" s="25" t="s">
        <v>155</v>
      </c>
      <c r="G822" s="4">
        <v>896.3</v>
      </c>
      <c r="H822" s="4">
        <v>821.3</v>
      </c>
      <c r="I822" s="104">
        <v>31</v>
      </c>
      <c r="J822" s="4">
        <f>'Форма 2'!I2898</f>
        <v>4102393.5</v>
      </c>
      <c r="K822" s="4">
        <v>0</v>
      </c>
      <c r="L822" s="4">
        <v>0</v>
      </c>
      <c r="M822" s="4">
        <v>0</v>
      </c>
      <c r="N822" s="4">
        <f t="shared" ref="N822:N841" si="126">J822-K822-L822-M822-O822</f>
        <v>4102393.5</v>
      </c>
      <c r="O822" s="4">
        <v>0</v>
      </c>
      <c r="P822" s="4">
        <f t="shared" ref="P822:P841" si="127">J822/H822</f>
        <v>4995</v>
      </c>
      <c r="Q822" s="4">
        <f>'Форма 2'!K2898</f>
        <v>4995</v>
      </c>
      <c r="R822" s="53" t="s">
        <v>493</v>
      </c>
      <c r="S822" s="5">
        <v>1</v>
      </c>
    </row>
    <row r="823" spans="1:23" x14ac:dyDescent="0.35">
      <c r="A823" s="20">
        <f>A822+1</f>
        <v>2</v>
      </c>
      <c r="B823" s="20">
        <v>347</v>
      </c>
      <c r="C823" s="61" t="s">
        <v>91</v>
      </c>
      <c r="D823" s="60">
        <v>1960</v>
      </c>
      <c r="E823" s="25" t="s">
        <v>74</v>
      </c>
      <c r="F823" s="25" t="s">
        <v>155</v>
      </c>
      <c r="G823" s="4">
        <v>3366.7</v>
      </c>
      <c r="H823" s="4">
        <v>3127.4</v>
      </c>
      <c r="I823" s="103">
        <v>118</v>
      </c>
      <c r="J823" s="4">
        <f>'Форма 2'!I2901</f>
        <v>10139030.800000001</v>
      </c>
      <c r="K823" s="4">
        <v>0</v>
      </c>
      <c r="L823" s="4">
        <v>0</v>
      </c>
      <c r="M823" s="4">
        <v>0</v>
      </c>
      <c r="N823" s="4">
        <f t="shared" si="126"/>
        <v>10139030.800000001</v>
      </c>
      <c r="O823" s="4">
        <v>0</v>
      </c>
      <c r="P823" s="4">
        <f t="shared" si="127"/>
        <v>3242</v>
      </c>
      <c r="Q823" s="4">
        <f>'Форма 2'!K2901</f>
        <v>3242</v>
      </c>
      <c r="R823" s="53" t="s">
        <v>493</v>
      </c>
      <c r="S823" s="5">
        <v>1</v>
      </c>
    </row>
    <row r="824" spans="1:23" x14ac:dyDescent="0.35">
      <c r="A824" s="20">
        <f>A823+1</f>
        <v>3</v>
      </c>
      <c r="B824" s="20">
        <v>367</v>
      </c>
      <c r="C824" s="61" t="s">
        <v>92</v>
      </c>
      <c r="D824" s="60">
        <v>1961</v>
      </c>
      <c r="E824" s="60" t="s">
        <v>527</v>
      </c>
      <c r="F824" s="60" t="s">
        <v>155</v>
      </c>
      <c r="G824" s="4">
        <v>3386</v>
      </c>
      <c r="H824" s="4">
        <v>3136</v>
      </c>
      <c r="I824" s="103">
        <v>118</v>
      </c>
      <c r="J824" s="4">
        <f>'Форма 2'!I2904</f>
        <v>27703424</v>
      </c>
      <c r="K824" s="4">
        <v>0</v>
      </c>
      <c r="L824" s="4">
        <v>0</v>
      </c>
      <c r="M824" s="4">
        <v>0</v>
      </c>
      <c r="N824" s="4">
        <f t="shared" si="126"/>
        <v>27703424</v>
      </c>
      <c r="O824" s="4">
        <v>0</v>
      </c>
      <c r="P824" s="4">
        <f t="shared" si="127"/>
        <v>8834</v>
      </c>
      <c r="Q824" s="4">
        <f>'Форма 2'!K2904</f>
        <v>8834</v>
      </c>
      <c r="R824" s="53" t="s">
        <v>493</v>
      </c>
      <c r="S824" s="5">
        <v>1</v>
      </c>
    </row>
    <row r="825" spans="1:23" x14ac:dyDescent="0.35">
      <c r="A825" s="20">
        <f>A824+1</f>
        <v>4</v>
      </c>
      <c r="B825" s="20">
        <v>518</v>
      </c>
      <c r="C825" s="61" t="s">
        <v>93</v>
      </c>
      <c r="D825" s="60">
        <v>1967</v>
      </c>
      <c r="E825" s="25" t="s">
        <v>74</v>
      </c>
      <c r="F825" s="25" t="s">
        <v>155</v>
      </c>
      <c r="G825" s="4">
        <v>3114.19</v>
      </c>
      <c r="H825" s="4">
        <v>2925.19</v>
      </c>
      <c r="I825" s="103">
        <v>111</v>
      </c>
      <c r="J825" s="4">
        <f>'Форма 2'!I2911</f>
        <v>9483465.9800000004</v>
      </c>
      <c r="K825" s="4">
        <v>0</v>
      </c>
      <c r="L825" s="4">
        <v>0</v>
      </c>
      <c r="M825" s="4">
        <v>0</v>
      </c>
      <c r="N825" s="4">
        <f t="shared" si="126"/>
        <v>9483465.9800000004</v>
      </c>
      <c r="O825" s="4">
        <v>0</v>
      </c>
      <c r="P825" s="4">
        <f t="shared" si="127"/>
        <v>3242</v>
      </c>
      <c r="Q825" s="4">
        <f>'Форма 2'!K2911</f>
        <v>3242</v>
      </c>
      <c r="R825" s="53" t="s">
        <v>493</v>
      </c>
      <c r="S825" s="5">
        <v>1</v>
      </c>
    </row>
    <row r="826" spans="1:23" x14ac:dyDescent="0.35">
      <c r="A826" s="20">
        <f>A825+1</f>
        <v>5</v>
      </c>
      <c r="B826" s="20">
        <v>401</v>
      </c>
      <c r="C826" s="61" t="s">
        <v>80</v>
      </c>
      <c r="D826" s="60">
        <v>1962</v>
      </c>
      <c r="E826" s="60" t="s">
        <v>230</v>
      </c>
      <c r="F826" s="60" t="s">
        <v>155</v>
      </c>
      <c r="G826" s="4">
        <v>1419.1</v>
      </c>
      <c r="H826" s="4">
        <v>1277.0999999999999</v>
      </c>
      <c r="I826" s="103">
        <v>48</v>
      </c>
      <c r="J826" s="4">
        <f>'Форма 2'!I2914</f>
        <v>1089366.3</v>
      </c>
      <c r="K826" s="4">
        <v>0</v>
      </c>
      <c r="L826" s="4">
        <v>0</v>
      </c>
      <c r="M826" s="4">
        <v>0</v>
      </c>
      <c r="N826" s="4">
        <f t="shared" si="126"/>
        <v>1089366.3</v>
      </c>
      <c r="O826" s="4">
        <v>0</v>
      </c>
      <c r="P826" s="4">
        <f t="shared" si="127"/>
        <v>853</v>
      </c>
      <c r="Q826" s="4">
        <f>'Форма 2'!K2914</f>
        <v>853</v>
      </c>
      <c r="R826" s="53" t="s">
        <v>493</v>
      </c>
      <c r="S826" s="5">
        <v>1</v>
      </c>
    </row>
    <row r="827" spans="1:23" x14ac:dyDescent="0.35">
      <c r="A827" s="20">
        <f t="shared" ref="A827:A836" si="128">A826+1</f>
        <v>6</v>
      </c>
      <c r="B827" s="20">
        <v>203</v>
      </c>
      <c r="C827" s="61" t="s">
        <v>94</v>
      </c>
      <c r="D827" s="60">
        <v>1954</v>
      </c>
      <c r="E827" s="25" t="s">
        <v>527</v>
      </c>
      <c r="F827" s="25" t="s">
        <v>155</v>
      </c>
      <c r="G827" s="4">
        <v>454.23</v>
      </c>
      <c r="H827" s="4">
        <v>408.23</v>
      </c>
      <c r="I827" s="103">
        <v>15</v>
      </c>
      <c r="J827" s="4">
        <f>'Форма 2'!I2917</f>
        <v>3032726.05</v>
      </c>
      <c r="K827" s="4">
        <v>0</v>
      </c>
      <c r="L827" s="4">
        <v>0</v>
      </c>
      <c r="M827" s="4">
        <v>0</v>
      </c>
      <c r="N827" s="4">
        <f t="shared" si="126"/>
        <v>3032726.05</v>
      </c>
      <c r="O827" s="4">
        <v>0</v>
      </c>
      <c r="P827" s="4">
        <f t="shared" si="127"/>
        <v>7428.96</v>
      </c>
      <c r="Q827" s="4">
        <f>'Форма 2'!K2917</f>
        <v>8109</v>
      </c>
      <c r="R827" s="53" t="s">
        <v>493</v>
      </c>
      <c r="S827" s="5">
        <v>1</v>
      </c>
    </row>
    <row r="828" spans="1:23" x14ac:dyDescent="0.35">
      <c r="A828" s="20">
        <f t="shared" si="128"/>
        <v>7</v>
      </c>
      <c r="B828" s="20">
        <v>204</v>
      </c>
      <c r="C828" s="61" t="s">
        <v>95</v>
      </c>
      <c r="D828" s="60">
        <v>1954</v>
      </c>
      <c r="E828" s="25" t="s">
        <v>308</v>
      </c>
      <c r="F828" s="25" t="s">
        <v>155</v>
      </c>
      <c r="G828" s="4">
        <v>451.9</v>
      </c>
      <c r="H828" s="4">
        <v>405.9</v>
      </c>
      <c r="I828" s="103">
        <v>15</v>
      </c>
      <c r="J828" s="4">
        <f>'Форма 2'!I2922</f>
        <v>3291443.1</v>
      </c>
      <c r="K828" s="4">
        <v>0</v>
      </c>
      <c r="L828" s="4">
        <v>0</v>
      </c>
      <c r="M828" s="4">
        <v>0</v>
      </c>
      <c r="N828" s="4">
        <f t="shared" si="126"/>
        <v>3291443.1</v>
      </c>
      <c r="O828" s="4">
        <v>0</v>
      </c>
      <c r="P828" s="4">
        <f t="shared" si="127"/>
        <v>8109</v>
      </c>
      <c r="Q828" s="4">
        <f>'Форма 2'!K2922</f>
        <v>8109</v>
      </c>
      <c r="R828" s="53" t="s">
        <v>493</v>
      </c>
      <c r="S828" s="5">
        <v>1</v>
      </c>
    </row>
    <row r="829" spans="1:23" x14ac:dyDescent="0.35">
      <c r="A829" s="20">
        <f t="shared" si="128"/>
        <v>8</v>
      </c>
      <c r="B829" s="20">
        <v>521</v>
      </c>
      <c r="C829" s="61" t="s">
        <v>96</v>
      </c>
      <c r="D829" s="60">
        <v>1967</v>
      </c>
      <c r="E829" s="25" t="s">
        <v>74</v>
      </c>
      <c r="F829" s="25" t="s">
        <v>155</v>
      </c>
      <c r="G829" s="4">
        <v>3355.6</v>
      </c>
      <c r="H829" s="4">
        <v>2828.7</v>
      </c>
      <c r="I829" s="103">
        <v>107</v>
      </c>
      <c r="J829" s="4">
        <f>'Форма 2'!I2927</f>
        <v>9170645.4000000004</v>
      </c>
      <c r="K829" s="4">
        <v>0</v>
      </c>
      <c r="L829" s="4">
        <v>0</v>
      </c>
      <c r="M829" s="4">
        <v>0</v>
      </c>
      <c r="N829" s="4">
        <f t="shared" si="126"/>
        <v>9170645.4000000004</v>
      </c>
      <c r="O829" s="4">
        <v>0</v>
      </c>
      <c r="P829" s="4">
        <f t="shared" si="127"/>
        <v>3242</v>
      </c>
      <c r="Q829" s="4">
        <f>'Форма 2'!K2927</f>
        <v>3242</v>
      </c>
      <c r="R829" s="53" t="s">
        <v>493</v>
      </c>
      <c r="S829" s="5">
        <v>1</v>
      </c>
    </row>
    <row r="830" spans="1:23" x14ac:dyDescent="0.35">
      <c r="A830" s="20">
        <f t="shared" si="128"/>
        <v>9</v>
      </c>
      <c r="B830" s="20">
        <v>479</v>
      </c>
      <c r="C830" s="61" t="s">
        <v>97</v>
      </c>
      <c r="D830" s="60">
        <v>1964</v>
      </c>
      <c r="E830" s="25" t="s">
        <v>74</v>
      </c>
      <c r="F830" s="25" t="s">
        <v>155</v>
      </c>
      <c r="G830" s="4">
        <v>2748.2</v>
      </c>
      <c r="H830" s="4">
        <v>1986.2</v>
      </c>
      <c r="I830" s="103">
        <v>75</v>
      </c>
      <c r="J830" s="4">
        <f>'Форма 2'!I2930</f>
        <v>6439260.4000000004</v>
      </c>
      <c r="K830" s="4">
        <v>0</v>
      </c>
      <c r="L830" s="4">
        <v>0</v>
      </c>
      <c r="M830" s="4">
        <v>0</v>
      </c>
      <c r="N830" s="4">
        <f t="shared" si="126"/>
        <v>6439260.4000000004</v>
      </c>
      <c r="O830" s="4">
        <v>0</v>
      </c>
      <c r="P830" s="4">
        <f t="shared" si="127"/>
        <v>3242</v>
      </c>
      <c r="Q830" s="4">
        <f>'Форма 2'!K2930</f>
        <v>3242</v>
      </c>
      <c r="R830" s="53" t="s">
        <v>493</v>
      </c>
      <c r="S830" s="5">
        <v>1</v>
      </c>
    </row>
    <row r="831" spans="1:23" x14ac:dyDescent="0.35">
      <c r="A831" s="20">
        <f t="shared" si="128"/>
        <v>10</v>
      </c>
      <c r="B831" s="20">
        <v>512</v>
      </c>
      <c r="C831" s="61" t="s">
        <v>288</v>
      </c>
      <c r="D831" s="60">
        <v>1966</v>
      </c>
      <c r="E831" s="25" t="s">
        <v>289</v>
      </c>
      <c r="F831" s="25" t="s">
        <v>481</v>
      </c>
      <c r="G831" s="4">
        <v>1736.9</v>
      </c>
      <c r="H831" s="4">
        <v>1615.9</v>
      </c>
      <c r="I831" s="103">
        <v>71</v>
      </c>
      <c r="J831" s="4">
        <f>'Форма 2'!I2933</f>
        <v>316231.63</v>
      </c>
      <c r="K831" s="4">
        <v>0</v>
      </c>
      <c r="L831" s="4">
        <v>0</v>
      </c>
      <c r="M831" s="4">
        <v>0</v>
      </c>
      <c r="N831" s="4">
        <f t="shared" si="126"/>
        <v>316231.63</v>
      </c>
      <c r="O831" s="4">
        <v>0</v>
      </c>
      <c r="P831" s="4">
        <f t="shared" si="127"/>
        <v>195.7</v>
      </c>
      <c r="Q831" s="4">
        <f>'Форма 2'!K2933</f>
        <v>277</v>
      </c>
      <c r="R831" s="53" t="s">
        <v>493</v>
      </c>
      <c r="S831" s="5">
        <v>1</v>
      </c>
    </row>
    <row r="832" spans="1:23" x14ac:dyDescent="0.35">
      <c r="A832" s="20">
        <f t="shared" si="128"/>
        <v>11</v>
      </c>
      <c r="B832" s="20">
        <v>565</v>
      </c>
      <c r="C832" s="61" t="s">
        <v>98</v>
      </c>
      <c r="D832" s="60">
        <v>1970</v>
      </c>
      <c r="E832" s="60" t="s">
        <v>74</v>
      </c>
      <c r="F832" s="60" t="s">
        <v>155</v>
      </c>
      <c r="G832" s="4">
        <v>2940.2</v>
      </c>
      <c r="H832" s="4">
        <v>2692.2</v>
      </c>
      <c r="I832" s="103">
        <v>102</v>
      </c>
      <c r="J832" s="4">
        <f>'Форма 2'!I2936</f>
        <v>8728112.4000000004</v>
      </c>
      <c r="K832" s="4">
        <v>0</v>
      </c>
      <c r="L832" s="4">
        <v>0</v>
      </c>
      <c r="M832" s="4">
        <v>0</v>
      </c>
      <c r="N832" s="4">
        <f t="shared" si="126"/>
        <v>8728112.4000000004</v>
      </c>
      <c r="O832" s="4">
        <v>0</v>
      </c>
      <c r="P832" s="4">
        <f t="shared" si="127"/>
        <v>3242</v>
      </c>
      <c r="Q832" s="4">
        <f>'Форма 2'!K2936</f>
        <v>3242</v>
      </c>
      <c r="R832" s="53" t="s">
        <v>493</v>
      </c>
      <c r="S832" s="5">
        <v>1</v>
      </c>
    </row>
    <row r="833" spans="1:23" s="3" customFormat="1" x14ac:dyDescent="0.35">
      <c r="A833" s="20">
        <f t="shared" si="128"/>
        <v>12</v>
      </c>
      <c r="B833" s="20">
        <v>519</v>
      </c>
      <c r="C833" s="61" t="s">
        <v>99</v>
      </c>
      <c r="D833" s="60">
        <v>1967</v>
      </c>
      <c r="E833" s="60" t="s">
        <v>74</v>
      </c>
      <c r="F833" s="60" t="s">
        <v>155</v>
      </c>
      <c r="G833" s="4">
        <v>3152.8</v>
      </c>
      <c r="H833" s="4">
        <v>2547.1999999999998</v>
      </c>
      <c r="I833" s="103">
        <v>96</v>
      </c>
      <c r="J833" s="4">
        <f>'Форма 2'!I2939</f>
        <v>8258022.4000000004</v>
      </c>
      <c r="K833" s="4">
        <v>0</v>
      </c>
      <c r="L833" s="4">
        <v>0</v>
      </c>
      <c r="M833" s="4">
        <v>0</v>
      </c>
      <c r="N833" s="4">
        <f t="shared" si="126"/>
        <v>8258022.4000000004</v>
      </c>
      <c r="O833" s="4">
        <v>0</v>
      </c>
      <c r="P833" s="4">
        <f t="shared" si="127"/>
        <v>3242</v>
      </c>
      <c r="Q833" s="4">
        <f>'Форма 2'!K2939</f>
        <v>3242</v>
      </c>
      <c r="R833" s="53" t="s">
        <v>493</v>
      </c>
      <c r="S833" s="5">
        <v>1</v>
      </c>
      <c r="T833" s="1"/>
      <c r="U833" s="1"/>
      <c r="V833" s="1"/>
      <c r="W833" s="1"/>
    </row>
    <row r="834" spans="1:23" x14ac:dyDescent="0.35">
      <c r="A834" s="27">
        <f t="shared" si="128"/>
        <v>13</v>
      </c>
      <c r="B834" s="27">
        <v>283</v>
      </c>
      <c r="C834" s="61" t="s">
        <v>100</v>
      </c>
      <c r="D834" s="25">
        <v>1958</v>
      </c>
      <c r="E834" s="25" t="s">
        <v>545</v>
      </c>
      <c r="F834" s="25" t="s">
        <v>155</v>
      </c>
      <c r="G834" s="35">
        <v>2186.8000000000002</v>
      </c>
      <c r="H834" s="35">
        <v>2005.9</v>
      </c>
      <c r="I834" s="103">
        <v>76</v>
      </c>
      <c r="J834" s="35">
        <f>'Форма 2'!I2942</f>
        <v>26215107.100000001</v>
      </c>
      <c r="K834" s="35">
        <v>0</v>
      </c>
      <c r="L834" s="35">
        <v>0</v>
      </c>
      <c r="M834" s="35">
        <v>0</v>
      </c>
      <c r="N834" s="35">
        <f t="shared" si="126"/>
        <v>26215107.100000001</v>
      </c>
      <c r="O834" s="35">
        <v>0</v>
      </c>
      <c r="P834" s="35">
        <f t="shared" si="127"/>
        <v>13069</v>
      </c>
      <c r="Q834" s="35">
        <f>'Форма 2'!K2942</f>
        <v>13069</v>
      </c>
      <c r="R834" s="62" t="s">
        <v>493</v>
      </c>
      <c r="S834" s="63">
        <v>1</v>
      </c>
    </row>
    <row r="835" spans="1:23" x14ac:dyDescent="0.35">
      <c r="A835" s="20">
        <f t="shared" si="128"/>
        <v>14</v>
      </c>
      <c r="B835" s="20">
        <v>599</v>
      </c>
      <c r="C835" s="61" t="s">
        <v>312</v>
      </c>
      <c r="D835" s="60">
        <v>1973</v>
      </c>
      <c r="E835" s="25" t="s">
        <v>289</v>
      </c>
      <c r="F835" s="25" t="s">
        <v>481</v>
      </c>
      <c r="G835" s="4">
        <v>3512.6</v>
      </c>
      <c r="H835" s="4">
        <v>3148.6</v>
      </c>
      <c r="I835" s="19">
        <v>126</v>
      </c>
      <c r="J835" s="4">
        <f>'Форма 2'!I2951</f>
        <v>374053.68</v>
      </c>
      <c r="K835" s="4">
        <v>0</v>
      </c>
      <c r="L835" s="4">
        <v>0</v>
      </c>
      <c r="M835" s="4">
        <v>0</v>
      </c>
      <c r="N835" s="4">
        <f t="shared" si="126"/>
        <v>374053.68</v>
      </c>
      <c r="O835" s="4">
        <v>0</v>
      </c>
      <c r="P835" s="4">
        <f t="shared" si="127"/>
        <v>118.8</v>
      </c>
      <c r="Q835" s="4">
        <f>'Форма 2'!K2951</f>
        <v>168</v>
      </c>
      <c r="R835" s="53" t="s">
        <v>493</v>
      </c>
      <c r="S835" s="5">
        <v>1</v>
      </c>
    </row>
    <row r="836" spans="1:23" x14ac:dyDescent="0.35">
      <c r="A836" s="20">
        <f t="shared" si="128"/>
        <v>15</v>
      </c>
      <c r="B836" s="20">
        <v>514</v>
      </c>
      <c r="C836" s="61" t="s">
        <v>101</v>
      </c>
      <c r="D836" s="60">
        <v>1966</v>
      </c>
      <c r="E836" s="60" t="s">
        <v>546</v>
      </c>
      <c r="F836" s="60" t="s">
        <v>155</v>
      </c>
      <c r="G836" s="4">
        <v>3364</v>
      </c>
      <c r="H836" s="4">
        <v>3096.4</v>
      </c>
      <c r="I836" s="103">
        <v>117</v>
      </c>
      <c r="J836" s="4">
        <f>'Форма 2'!I2954</f>
        <v>10558724</v>
      </c>
      <c r="K836" s="4">
        <v>0</v>
      </c>
      <c r="L836" s="4">
        <v>0</v>
      </c>
      <c r="M836" s="4">
        <v>0</v>
      </c>
      <c r="N836" s="4">
        <f t="shared" si="126"/>
        <v>10558724</v>
      </c>
      <c r="O836" s="4">
        <v>0</v>
      </c>
      <c r="P836" s="4">
        <f t="shared" si="127"/>
        <v>3410</v>
      </c>
      <c r="Q836" s="4">
        <f>'Форма 2'!K2954</f>
        <v>3410</v>
      </c>
      <c r="R836" s="53" t="s">
        <v>493</v>
      </c>
      <c r="S836" s="5">
        <v>1</v>
      </c>
    </row>
    <row r="837" spans="1:23" s="3" customFormat="1" x14ac:dyDescent="0.35">
      <c r="A837" s="20">
        <f>A836+1</f>
        <v>16</v>
      </c>
      <c r="B837" s="20">
        <v>159</v>
      </c>
      <c r="C837" s="61" t="s">
        <v>102</v>
      </c>
      <c r="D837" s="60">
        <v>1951</v>
      </c>
      <c r="E837" s="25" t="s">
        <v>278</v>
      </c>
      <c r="F837" s="25" t="s">
        <v>629</v>
      </c>
      <c r="G837" s="4">
        <v>1798.4</v>
      </c>
      <c r="H837" s="4">
        <v>1087.8</v>
      </c>
      <c r="I837" s="19">
        <v>103</v>
      </c>
      <c r="J837" s="4">
        <f>'Форма 2'!I2959</f>
        <v>1740480</v>
      </c>
      <c r="K837" s="4">
        <v>0</v>
      </c>
      <c r="L837" s="4">
        <v>0</v>
      </c>
      <c r="M837" s="4">
        <v>0</v>
      </c>
      <c r="N837" s="4">
        <f>J837-K837-L837-M837-O837</f>
        <v>1740480</v>
      </c>
      <c r="O837" s="4">
        <v>0</v>
      </c>
      <c r="P837" s="4">
        <f>J837/H837</f>
        <v>1600</v>
      </c>
      <c r="Q837" s="4">
        <f>'Форма 2'!K2959</f>
        <v>1600</v>
      </c>
      <c r="R837" s="53" t="s">
        <v>493</v>
      </c>
      <c r="S837" s="5">
        <v>1</v>
      </c>
      <c r="T837" s="1"/>
      <c r="U837" s="1"/>
      <c r="V837" s="1"/>
      <c r="W837" s="1"/>
    </row>
    <row r="838" spans="1:23" ht="15.75" customHeight="1" x14ac:dyDescent="0.35">
      <c r="A838" s="27">
        <f>A837+1</f>
        <v>17</v>
      </c>
      <c r="B838" s="27">
        <v>476</v>
      </c>
      <c r="C838" s="61" t="s">
        <v>103</v>
      </c>
      <c r="D838" s="25">
        <v>1964</v>
      </c>
      <c r="E838" s="25" t="s">
        <v>263</v>
      </c>
      <c r="F838" s="25" t="s">
        <v>155</v>
      </c>
      <c r="G838" s="35">
        <v>3416.66</v>
      </c>
      <c r="H838" s="35">
        <v>3176.66</v>
      </c>
      <c r="I838" s="103">
        <v>120</v>
      </c>
      <c r="J838" s="35">
        <f>'Форма 2'!I2964</f>
        <v>8708661.9499999993</v>
      </c>
      <c r="K838" s="35">
        <v>0</v>
      </c>
      <c r="L838" s="35">
        <v>0</v>
      </c>
      <c r="M838" s="35">
        <v>0</v>
      </c>
      <c r="N838" s="35">
        <f t="shared" si="126"/>
        <v>8708661.9499999993</v>
      </c>
      <c r="O838" s="35">
        <v>0</v>
      </c>
      <c r="P838" s="35">
        <f t="shared" si="127"/>
        <v>2741.45</v>
      </c>
      <c r="Q838" s="35">
        <f>'Форма 2'!K2964</f>
        <v>3055</v>
      </c>
      <c r="R838" s="62" t="s">
        <v>493</v>
      </c>
      <c r="S838" s="63">
        <v>1</v>
      </c>
    </row>
    <row r="839" spans="1:23" ht="15.75" customHeight="1" x14ac:dyDescent="0.35">
      <c r="A839" s="20">
        <f>A838+1</f>
        <v>18</v>
      </c>
      <c r="B839" s="20">
        <v>119</v>
      </c>
      <c r="C839" s="61" t="s">
        <v>630</v>
      </c>
      <c r="D839" s="60">
        <v>1946</v>
      </c>
      <c r="E839" s="25" t="s">
        <v>74</v>
      </c>
      <c r="F839" s="25" t="s">
        <v>155</v>
      </c>
      <c r="G839" s="4">
        <v>833.1</v>
      </c>
      <c r="H839" s="4">
        <v>811.7</v>
      </c>
      <c r="I839" s="104">
        <v>31</v>
      </c>
      <c r="J839" s="4">
        <f>'Форма 2'!I2971</f>
        <v>3837717.6</v>
      </c>
      <c r="K839" s="4">
        <v>0</v>
      </c>
      <c r="L839" s="4">
        <v>0</v>
      </c>
      <c r="M839" s="4">
        <v>0</v>
      </c>
      <c r="N839" s="4">
        <f t="shared" si="126"/>
        <v>3837717.6</v>
      </c>
      <c r="O839" s="4">
        <v>0</v>
      </c>
      <c r="P839" s="4">
        <f t="shared" si="127"/>
        <v>4728</v>
      </c>
      <c r="Q839" s="4">
        <f>'Форма 2'!K2971</f>
        <v>4728</v>
      </c>
      <c r="R839" s="53" t="s">
        <v>493</v>
      </c>
      <c r="S839" s="5">
        <v>1</v>
      </c>
    </row>
    <row r="840" spans="1:23" x14ac:dyDescent="0.35">
      <c r="A840" s="20">
        <f>A839+1</f>
        <v>19</v>
      </c>
      <c r="B840" s="20">
        <v>179</v>
      </c>
      <c r="C840" s="61" t="s">
        <v>105</v>
      </c>
      <c r="D840" s="60">
        <v>1953</v>
      </c>
      <c r="E840" s="60" t="s">
        <v>74</v>
      </c>
      <c r="F840" s="60" t="s">
        <v>155</v>
      </c>
      <c r="G840" s="4">
        <v>910.9</v>
      </c>
      <c r="H840" s="4">
        <v>840.9</v>
      </c>
      <c r="I840" s="103">
        <v>32</v>
      </c>
      <c r="J840" s="4">
        <f>'Форма 2'!I2974</f>
        <v>3975775.2</v>
      </c>
      <c r="K840" s="4">
        <v>0</v>
      </c>
      <c r="L840" s="4">
        <v>0</v>
      </c>
      <c r="M840" s="4">
        <v>0</v>
      </c>
      <c r="N840" s="4">
        <f t="shared" si="126"/>
        <v>3975775.2</v>
      </c>
      <c r="O840" s="4">
        <v>0</v>
      </c>
      <c r="P840" s="4">
        <f t="shared" si="127"/>
        <v>4728</v>
      </c>
      <c r="Q840" s="4">
        <f>'Форма 2'!K2974</f>
        <v>4728</v>
      </c>
      <c r="R840" s="53" t="s">
        <v>493</v>
      </c>
      <c r="S840" s="5">
        <v>1</v>
      </c>
    </row>
    <row r="841" spans="1:23" ht="15.75" customHeight="1" x14ac:dyDescent="0.35">
      <c r="A841" s="20">
        <f>A840+1</f>
        <v>20</v>
      </c>
      <c r="B841" s="20">
        <v>244</v>
      </c>
      <c r="C841" s="61" t="s">
        <v>106</v>
      </c>
      <c r="D841" s="60">
        <v>1956</v>
      </c>
      <c r="E841" s="60" t="s">
        <v>74</v>
      </c>
      <c r="F841" s="60" t="s">
        <v>155</v>
      </c>
      <c r="G841" s="4">
        <v>4145.63</v>
      </c>
      <c r="H841" s="4">
        <v>3721.87</v>
      </c>
      <c r="I841" s="103">
        <v>141</v>
      </c>
      <c r="J841" s="4">
        <f>'Форма 2'!I2977</f>
        <v>12066302.539999999</v>
      </c>
      <c r="K841" s="4">
        <v>0</v>
      </c>
      <c r="L841" s="4">
        <v>0</v>
      </c>
      <c r="M841" s="4">
        <v>0</v>
      </c>
      <c r="N841" s="4">
        <f t="shared" si="126"/>
        <v>12066302.539999999</v>
      </c>
      <c r="O841" s="4">
        <v>0</v>
      </c>
      <c r="P841" s="4">
        <f t="shared" si="127"/>
        <v>3242</v>
      </c>
      <c r="Q841" s="4">
        <f>'Форма 2'!K2977</f>
        <v>3242</v>
      </c>
      <c r="R841" s="53" t="s">
        <v>493</v>
      </c>
      <c r="S841" s="5">
        <v>1</v>
      </c>
      <c r="U841" s="3"/>
    </row>
    <row r="842" spans="1:23" s="2" customFormat="1" ht="15.75" customHeight="1" x14ac:dyDescent="0.35">
      <c r="A842" s="238" t="s">
        <v>323</v>
      </c>
      <c r="B842" s="239"/>
      <c r="C842" s="240"/>
      <c r="D842" s="60" t="s">
        <v>13</v>
      </c>
      <c r="E842" s="60" t="s">
        <v>13</v>
      </c>
      <c r="F842" s="60" t="s">
        <v>13</v>
      </c>
      <c r="G842" s="4">
        <f t="shared" ref="G842:O842" si="129">SUM(G843:G853)</f>
        <v>34899.1</v>
      </c>
      <c r="H842" s="4">
        <f t="shared" si="129"/>
        <v>30002.58</v>
      </c>
      <c r="I842" s="19">
        <f t="shared" si="129"/>
        <v>1391</v>
      </c>
      <c r="J842" s="4">
        <f t="shared" si="129"/>
        <v>73400295.180000007</v>
      </c>
      <c r="K842" s="4">
        <f t="shared" si="129"/>
        <v>0</v>
      </c>
      <c r="L842" s="4">
        <f t="shared" si="129"/>
        <v>0</v>
      </c>
      <c r="M842" s="4">
        <f t="shared" si="129"/>
        <v>0</v>
      </c>
      <c r="N842" s="4">
        <f t="shared" si="129"/>
        <v>73400295.180000007</v>
      </c>
      <c r="O842" s="4">
        <f t="shared" si="129"/>
        <v>0</v>
      </c>
      <c r="P842" s="4" t="s">
        <v>13</v>
      </c>
      <c r="Q842" s="4" t="s">
        <v>13</v>
      </c>
      <c r="R842" s="53" t="s">
        <v>13</v>
      </c>
      <c r="S842" s="5" t="s">
        <v>13</v>
      </c>
      <c r="T842" s="1"/>
      <c r="U842" s="1"/>
    </row>
    <row r="843" spans="1:23" ht="15.75" customHeight="1" x14ac:dyDescent="0.35">
      <c r="A843" s="20">
        <f>A841+1</f>
        <v>21</v>
      </c>
      <c r="B843" s="20">
        <v>1349</v>
      </c>
      <c r="C843" s="61" t="s">
        <v>107</v>
      </c>
      <c r="D843" s="60">
        <v>1958</v>
      </c>
      <c r="E843" s="25" t="s">
        <v>504</v>
      </c>
      <c r="F843" s="25" t="s">
        <v>155</v>
      </c>
      <c r="G843" s="4">
        <v>703.9</v>
      </c>
      <c r="H843" s="4">
        <v>639.14</v>
      </c>
      <c r="I843" s="103">
        <v>33</v>
      </c>
      <c r="J843" s="4">
        <f>'Форма 2'!I2980</f>
        <v>6346021.0599999996</v>
      </c>
      <c r="K843" s="4">
        <v>0</v>
      </c>
      <c r="L843" s="4">
        <v>0</v>
      </c>
      <c r="M843" s="4">
        <v>0</v>
      </c>
      <c r="N843" s="4">
        <f t="shared" ref="N843:N853" si="130">J843-K843-L843-M843-O843</f>
        <v>6346021.0599999996</v>
      </c>
      <c r="O843" s="4">
        <v>0</v>
      </c>
      <c r="P843" s="4">
        <f t="shared" ref="P843:P853" si="131">J843/H843</f>
        <v>9929</v>
      </c>
      <c r="Q843" s="4">
        <f>'Форма 2'!K2980</f>
        <v>9929</v>
      </c>
      <c r="R843" s="53" t="s">
        <v>493</v>
      </c>
      <c r="S843" s="5">
        <v>1</v>
      </c>
    </row>
    <row r="844" spans="1:23" ht="15.75" customHeight="1" x14ac:dyDescent="0.35">
      <c r="A844" s="20">
        <f t="shared" ref="A844:A853" si="132">A843+1</f>
        <v>22</v>
      </c>
      <c r="B844" s="20">
        <v>1286</v>
      </c>
      <c r="C844" s="61" t="s">
        <v>109</v>
      </c>
      <c r="D844" s="60">
        <v>1966</v>
      </c>
      <c r="E844" s="60" t="s">
        <v>74</v>
      </c>
      <c r="F844" s="60" t="s">
        <v>155</v>
      </c>
      <c r="G844" s="4">
        <v>4106.78</v>
      </c>
      <c r="H844" s="4">
        <v>3177.26</v>
      </c>
      <c r="I844" s="103">
        <v>148</v>
      </c>
      <c r="J844" s="4">
        <f>'Форма 2'!I2985</f>
        <v>10300676.92</v>
      </c>
      <c r="K844" s="4">
        <v>0</v>
      </c>
      <c r="L844" s="4">
        <v>0</v>
      </c>
      <c r="M844" s="4">
        <v>0</v>
      </c>
      <c r="N844" s="4">
        <f t="shared" si="130"/>
        <v>10300676.92</v>
      </c>
      <c r="O844" s="4">
        <v>0</v>
      </c>
      <c r="P844" s="4">
        <f t="shared" si="131"/>
        <v>3242</v>
      </c>
      <c r="Q844" s="4">
        <f>'Форма 2'!K2985</f>
        <v>3242</v>
      </c>
      <c r="R844" s="53" t="s">
        <v>493</v>
      </c>
      <c r="S844" s="5">
        <v>1</v>
      </c>
    </row>
    <row r="845" spans="1:23" ht="15.75" customHeight="1" x14ac:dyDescent="0.35">
      <c r="A845" s="20">
        <f t="shared" si="132"/>
        <v>23</v>
      </c>
      <c r="B845" s="20">
        <v>1490</v>
      </c>
      <c r="C845" s="61" t="s">
        <v>110</v>
      </c>
      <c r="D845" s="60">
        <v>1965</v>
      </c>
      <c r="E845" s="60" t="s">
        <v>74</v>
      </c>
      <c r="F845" s="60" t="s">
        <v>155</v>
      </c>
      <c r="G845" s="4">
        <v>3393.22</v>
      </c>
      <c r="H845" s="4">
        <v>3162.22</v>
      </c>
      <c r="I845" s="103">
        <v>150</v>
      </c>
      <c r="J845" s="4">
        <f>'Форма 2'!I2988</f>
        <v>10251917.24</v>
      </c>
      <c r="K845" s="4">
        <v>0</v>
      </c>
      <c r="L845" s="4">
        <v>0</v>
      </c>
      <c r="M845" s="4">
        <v>0</v>
      </c>
      <c r="N845" s="4">
        <f t="shared" si="130"/>
        <v>10251917.24</v>
      </c>
      <c r="O845" s="4">
        <v>0</v>
      </c>
      <c r="P845" s="4">
        <f t="shared" si="131"/>
        <v>3242</v>
      </c>
      <c r="Q845" s="4">
        <f>'Форма 2'!K2988</f>
        <v>3242</v>
      </c>
      <c r="R845" s="53" t="s">
        <v>493</v>
      </c>
      <c r="S845" s="5">
        <v>1</v>
      </c>
      <c r="U845" s="3"/>
    </row>
    <row r="846" spans="1:23" ht="15.75" customHeight="1" x14ac:dyDescent="0.35">
      <c r="A846" s="20">
        <f t="shared" si="132"/>
        <v>24</v>
      </c>
      <c r="B846" s="20">
        <v>1492</v>
      </c>
      <c r="C846" s="61" t="s">
        <v>111</v>
      </c>
      <c r="D846" s="60">
        <v>1965</v>
      </c>
      <c r="E846" s="60" t="s">
        <v>74</v>
      </c>
      <c r="F846" s="60" t="s">
        <v>155</v>
      </c>
      <c r="G846" s="4">
        <v>3434.5</v>
      </c>
      <c r="H846" s="4">
        <v>3144.5</v>
      </c>
      <c r="I846" s="103">
        <v>174</v>
      </c>
      <c r="J846" s="4">
        <f>'Форма 2'!I2991</f>
        <v>10194469</v>
      </c>
      <c r="K846" s="4">
        <v>0</v>
      </c>
      <c r="L846" s="4">
        <v>0</v>
      </c>
      <c r="M846" s="4">
        <v>0</v>
      </c>
      <c r="N846" s="4">
        <f t="shared" si="130"/>
        <v>10194469</v>
      </c>
      <c r="O846" s="4">
        <v>0</v>
      </c>
      <c r="P846" s="4">
        <f t="shared" si="131"/>
        <v>3242</v>
      </c>
      <c r="Q846" s="4">
        <f>'Форма 2'!K2991</f>
        <v>3242</v>
      </c>
      <c r="R846" s="53" t="s">
        <v>493</v>
      </c>
      <c r="S846" s="5">
        <v>1</v>
      </c>
    </row>
    <row r="847" spans="1:23" ht="15.75" customHeight="1" x14ac:dyDescent="0.35">
      <c r="A847" s="20">
        <f t="shared" si="132"/>
        <v>25</v>
      </c>
      <c r="B847" s="20">
        <v>1263</v>
      </c>
      <c r="C847" s="61" t="s">
        <v>87</v>
      </c>
      <c r="D847" s="60">
        <v>1960</v>
      </c>
      <c r="E847" s="25" t="s">
        <v>631</v>
      </c>
      <c r="F847" s="25" t="s">
        <v>155</v>
      </c>
      <c r="G847" s="4">
        <v>2225.4</v>
      </c>
      <c r="H847" s="4">
        <v>2040.56</v>
      </c>
      <c r="I847" s="19">
        <v>84</v>
      </c>
      <c r="J847" s="4">
        <f>'Форма 2'!I2994</f>
        <v>1216173.76</v>
      </c>
      <c r="K847" s="4">
        <v>0</v>
      </c>
      <c r="L847" s="4">
        <v>0</v>
      </c>
      <c r="M847" s="4">
        <v>0</v>
      </c>
      <c r="N847" s="4">
        <f t="shared" si="130"/>
        <v>1216173.76</v>
      </c>
      <c r="O847" s="4">
        <v>0</v>
      </c>
      <c r="P847" s="4">
        <f t="shared" si="131"/>
        <v>596</v>
      </c>
      <c r="Q847" s="4">
        <f>'Форма 2'!K2994</f>
        <v>596</v>
      </c>
      <c r="R847" s="53" t="s">
        <v>493</v>
      </c>
      <c r="S847" s="5">
        <v>1</v>
      </c>
    </row>
    <row r="848" spans="1:23" ht="15.75" customHeight="1" x14ac:dyDescent="0.35">
      <c r="A848" s="20">
        <f t="shared" si="132"/>
        <v>26</v>
      </c>
      <c r="B848" s="20">
        <v>1264</v>
      </c>
      <c r="C848" s="61" t="s">
        <v>112</v>
      </c>
      <c r="D848" s="60">
        <v>1965</v>
      </c>
      <c r="E848" s="60" t="s">
        <v>74</v>
      </c>
      <c r="F848" s="60" t="s">
        <v>155</v>
      </c>
      <c r="G848" s="4">
        <v>3185.1</v>
      </c>
      <c r="H848" s="4">
        <v>2815.1</v>
      </c>
      <c r="I848" s="103">
        <v>142</v>
      </c>
      <c r="J848" s="4">
        <f>'Форма 2'!I2997</f>
        <v>9126554.1999999993</v>
      </c>
      <c r="K848" s="4">
        <v>0</v>
      </c>
      <c r="L848" s="4">
        <v>0</v>
      </c>
      <c r="M848" s="4">
        <v>0</v>
      </c>
      <c r="N848" s="4">
        <f t="shared" si="130"/>
        <v>9126554.1999999993</v>
      </c>
      <c r="O848" s="4">
        <v>0</v>
      </c>
      <c r="P848" s="4">
        <f t="shared" si="131"/>
        <v>3242</v>
      </c>
      <c r="Q848" s="4">
        <f>'Форма 2'!K2997</f>
        <v>3242</v>
      </c>
      <c r="R848" s="53" t="s">
        <v>493</v>
      </c>
      <c r="S848" s="5">
        <v>1</v>
      </c>
    </row>
    <row r="849" spans="1:21" ht="15.75" customHeight="1" x14ac:dyDescent="0.35">
      <c r="A849" s="20">
        <f t="shared" si="132"/>
        <v>27</v>
      </c>
      <c r="B849" s="20">
        <v>1267</v>
      </c>
      <c r="C849" s="61" t="s">
        <v>343</v>
      </c>
      <c r="D849" s="60">
        <v>1972</v>
      </c>
      <c r="E849" s="60" t="s">
        <v>344</v>
      </c>
      <c r="F849" s="60" t="s">
        <v>155</v>
      </c>
      <c r="G849" s="4">
        <v>4281.3999999999996</v>
      </c>
      <c r="H849" s="4">
        <v>3044.9</v>
      </c>
      <c r="I849" s="19">
        <v>114</v>
      </c>
      <c r="J849" s="4">
        <f>'Форма 2'!I3000</f>
        <v>13552849.9</v>
      </c>
      <c r="K849" s="4">
        <v>0</v>
      </c>
      <c r="L849" s="4">
        <v>0</v>
      </c>
      <c r="M849" s="4">
        <v>0</v>
      </c>
      <c r="N849" s="4">
        <f t="shared" si="130"/>
        <v>13552849.9</v>
      </c>
      <c r="O849" s="4">
        <v>0</v>
      </c>
      <c r="P849" s="4">
        <f t="shared" si="131"/>
        <v>4451</v>
      </c>
      <c r="Q849" s="4">
        <f>'Форма 2'!K3000</f>
        <v>4451</v>
      </c>
      <c r="R849" s="53" t="s">
        <v>493</v>
      </c>
      <c r="S849" s="5">
        <v>1</v>
      </c>
    </row>
    <row r="850" spans="1:21" ht="15.75" customHeight="1" x14ac:dyDescent="0.35">
      <c r="A850" s="20">
        <f>A849+1</f>
        <v>28</v>
      </c>
      <c r="B850" s="20">
        <v>1353</v>
      </c>
      <c r="C850" s="61" t="s">
        <v>88</v>
      </c>
      <c r="D850" s="60">
        <v>1970</v>
      </c>
      <c r="E850" s="25" t="s">
        <v>289</v>
      </c>
      <c r="F850" s="25" t="s">
        <v>481</v>
      </c>
      <c r="G850" s="4">
        <v>7408.5</v>
      </c>
      <c r="H850" s="4">
        <v>6993.5</v>
      </c>
      <c r="I850" s="19">
        <v>264</v>
      </c>
      <c r="J850" s="4">
        <f>'Форма 2'!I3007</f>
        <v>830827.8</v>
      </c>
      <c r="K850" s="4">
        <v>0</v>
      </c>
      <c r="L850" s="4">
        <v>0</v>
      </c>
      <c r="M850" s="4">
        <v>0</v>
      </c>
      <c r="N850" s="4">
        <f t="shared" si="130"/>
        <v>830827.8</v>
      </c>
      <c r="O850" s="4">
        <v>0</v>
      </c>
      <c r="P850" s="4">
        <f t="shared" si="131"/>
        <v>118.8</v>
      </c>
      <c r="Q850" s="4">
        <f>'Форма 2'!K3007</f>
        <v>168</v>
      </c>
      <c r="R850" s="53" t="s">
        <v>493</v>
      </c>
      <c r="S850" s="5">
        <v>1</v>
      </c>
    </row>
    <row r="851" spans="1:21" ht="15.75" customHeight="1" x14ac:dyDescent="0.35">
      <c r="A851" s="20">
        <f>A850+1</f>
        <v>29</v>
      </c>
      <c r="B851" s="20">
        <v>1301</v>
      </c>
      <c r="C851" s="61" t="s">
        <v>113</v>
      </c>
      <c r="D851" s="60">
        <v>1954</v>
      </c>
      <c r="E851" s="60" t="s">
        <v>74</v>
      </c>
      <c r="F851" s="60" t="s">
        <v>155</v>
      </c>
      <c r="G851" s="4">
        <v>4911.8</v>
      </c>
      <c r="H851" s="4">
        <v>3842.9</v>
      </c>
      <c r="I851" s="103">
        <v>227</v>
      </c>
      <c r="J851" s="4">
        <f>'Форма 2'!I3010</f>
        <v>8807926.8000000007</v>
      </c>
      <c r="K851" s="4">
        <v>0</v>
      </c>
      <c r="L851" s="4">
        <v>0</v>
      </c>
      <c r="M851" s="4">
        <v>0</v>
      </c>
      <c r="N851" s="4">
        <f t="shared" si="130"/>
        <v>8807926.8000000007</v>
      </c>
      <c r="O851" s="4">
        <v>0</v>
      </c>
      <c r="P851" s="4">
        <f t="shared" si="131"/>
        <v>2292</v>
      </c>
      <c r="Q851" s="4">
        <f>'Форма 2'!K3010</f>
        <v>2292</v>
      </c>
      <c r="R851" s="53" t="s">
        <v>493</v>
      </c>
      <c r="S851" s="5">
        <v>1</v>
      </c>
    </row>
    <row r="852" spans="1:21" x14ac:dyDescent="0.35">
      <c r="A852" s="20">
        <f t="shared" si="132"/>
        <v>30</v>
      </c>
      <c r="B852" s="20">
        <v>1028</v>
      </c>
      <c r="C852" s="61" t="s">
        <v>114</v>
      </c>
      <c r="D852" s="60">
        <v>1961</v>
      </c>
      <c r="E852" s="25" t="s">
        <v>557</v>
      </c>
      <c r="F852" s="25" t="s">
        <v>155</v>
      </c>
      <c r="G852" s="4">
        <v>943.9</v>
      </c>
      <c r="H852" s="4">
        <v>863.9</v>
      </c>
      <c r="I852" s="103">
        <v>39</v>
      </c>
      <c r="J852" s="4">
        <f>'Форма 2'!I3013</f>
        <v>804290.9</v>
      </c>
      <c r="K852" s="4">
        <v>0</v>
      </c>
      <c r="L852" s="4">
        <v>0</v>
      </c>
      <c r="M852" s="4">
        <v>0</v>
      </c>
      <c r="N852" s="4">
        <f t="shared" si="130"/>
        <v>804290.9</v>
      </c>
      <c r="O852" s="4">
        <v>0</v>
      </c>
      <c r="P852" s="4">
        <f t="shared" si="131"/>
        <v>931</v>
      </c>
      <c r="Q852" s="4">
        <f>'Форма 2'!K3013</f>
        <v>931</v>
      </c>
      <c r="R852" s="53" t="s">
        <v>493</v>
      </c>
      <c r="S852" s="5">
        <v>1</v>
      </c>
      <c r="U852" s="2"/>
    </row>
    <row r="853" spans="1:21" ht="15.75" customHeight="1" x14ac:dyDescent="0.35">
      <c r="A853" s="20">
        <f t="shared" si="132"/>
        <v>31</v>
      </c>
      <c r="B853" s="20">
        <v>1079</v>
      </c>
      <c r="C853" s="61" t="s">
        <v>115</v>
      </c>
      <c r="D853" s="60">
        <v>1959</v>
      </c>
      <c r="E853" s="25" t="s">
        <v>74</v>
      </c>
      <c r="F853" s="25" t="s">
        <v>155</v>
      </c>
      <c r="G853" s="4">
        <v>304.60000000000002</v>
      </c>
      <c r="H853" s="4">
        <v>278.60000000000002</v>
      </c>
      <c r="I853" s="103">
        <v>16</v>
      </c>
      <c r="J853" s="4">
        <f>'Форма 2'!I3018</f>
        <v>1968587.6</v>
      </c>
      <c r="K853" s="4">
        <v>0</v>
      </c>
      <c r="L853" s="4">
        <v>0</v>
      </c>
      <c r="M853" s="4">
        <v>0</v>
      </c>
      <c r="N853" s="4">
        <f t="shared" si="130"/>
        <v>1968587.6</v>
      </c>
      <c r="O853" s="4">
        <v>0</v>
      </c>
      <c r="P853" s="4">
        <f t="shared" si="131"/>
        <v>7066</v>
      </c>
      <c r="Q853" s="4">
        <f>'Форма 2'!K3018</f>
        <v>7066</v>
      </c>
      <c r="R853" s="53" t="s">
        <v>493</v>
      </c>
      <c r="S853" s="5">
        <v>1</v>
      </c>
    </row>
    <row r="854" spans="1:21" ht="15.75" customHeight="1" x14ac:dyDescent="0.35">
      <c r="A854" s="238" t="s">
        <v>357</v>
      </c>
      <c r="B854" s="239"/>
      <c r="C854" s="240"/>
      <c r="D854" s="60" t="s">
        <v>13</v>
      </c>
      <c r="E854" s="60" t="s">
        <v>13</v>
      </c>
      <c r="F854" s="60" t="s">
        <v>13</v>
      </c>
      <c r="G854" s="4">
        <f t="shared" ref="G854:O854" si="133">SUM(G855:G876)</f>
        <v>72274.820000000007</v>
      </c>
      <c r="H854" s="4">
        <f t="shared" si="133"/>
        <v>64026.92</v>
      </c>
      <c r="I854" s="19">
        <f t="shared" si="133"/>
        <v>2390</v>
      </c>
      <c r="J854" s="4">
        <f t="shared" si="133"/>
        <v>214955732.66</v>
      </c>
      <c r="K854" s="4">
        <f t="shared" si="133"/>
        <v>0</v>
      </c>
      <c r="L854" s="4">
        <f t="shared" si="133"/>
        <v>0</v>
      </c>
      <c r="M854" s="4">
        <f t="shared" si="133"/>
        <v>0</v>
      </c>
      <c r="N854" s="4">
        <f t="shared" si="133"/>
        <v>214955732.66</v>
      </c>
      <c r="O854" s="4">
        <f t="shared" si="133"/>
        <v>0</v>
      </c>
      <c r="P854" s="4" t="s">
        <v>13</v>
      </c>
      <c r="Q854" s="4" t="s">
        <v>13</v>
      </c>
      <c r="R854" s="53" t="s">
        <v>13</v>
      </c>
      <c r="S854" s="5" t="s">
        <v>13</v>
      </c>
    </row>
    <row r="855" spans="1:21" ht="15.75" customHeight="1" x14ac:dyDescent="0.35">
      <c r="A855" s="20">
        <f>A853+1</f>
        <v>32</v>
      </c>
      <c r="B855" s="101">
        <v>3306</v>
      </c>
      <c r="C855" s="102" t="s">
        <v>791</v>
      </c>
      <c r="D855" s="60">
        <v>1972</v>
      </c>
      <c r="E855" s="60" t="s">
        <v>74</v>
      </c>
      <c r="F855" s="60" t="s">
        <v>155</v>
      </c>
      <c r="G855" s="4">
        <v>3064.9</v>
      </c>
      <c r="H855" s="4">
        <v>2855.9</v>
      </c>
      <c r="I855" s="103">
        <v>108</v>
      </c>
      <c r="J855" s="4">
        <f>'Форма 2'!I3021</f>
        <v>9258827.8000000007</v>
      </c>
      <c r="K855" s="4">
        <v>0</v>
      </c>
      <c r="L855" s="4">
        <v>0</v>
      </c>
      <c r="M855" s="4">
        <v>0</v>
      </c>
      <c r="N855" s="4">
        <f t="shared" ref="N855:N876" si="134">J855-K855-L855-M855-O855</f>
        <v>9258827.8000000007</v>
      </c>
      <c r="O855" s="4">
        <v>0</v>
      </c>
      <c r="P855" s="4">
        <f t="shared" ref="P855:P876" si="135">J855/H855</f>
        <v>3242</v>
      </c>
      <c r="Q855" s="4">
        <f>'Форма 2'!K3021</f>
        <v>3242</v>
      </c>
      <c r="R855" s="53" t="s">
        <v>493</v>
      </c>
      <c r="S855" s="5">
        <v>1</v>
      </c>
    </row>
    <row r="856" spans="1:21" ht="15.75" customHeight="1" x14ac:dyDescent="0.35">
      <c r="A856" s="20">
        <f>A855+1</f>
        <v>33</v>
      </c>
      <c r="B856" s="101">
        <v>3307</v>
      </c>
      <c r="C856" s="102" t="s">
        <v>792</v>
      </c>
      <c r="D856" s="60">
        <v>1972</v>
      </c>
      <c r="E856" s="25" t="s">
        <v>74</v>
      </c>
      <c r="F856" s="25" t="s">
        <v>155</v>
      </c>
      <c r="G856" s="4">
        <v>3095.4</v>
      </c>
      <c r="H856" s="4">
        <v>2885.4</v>
      </c>
      <c r="I856" s="103">
        <v>109</v>
      </c>
      <c r="J856" s="4">
        <f>'Форма 2'!I3024</f>
        <v>9354466.8000000007</v>
      </c>
      <c r="K856" s="4">
        <v>0</v>
      </c>
      <c r="L856" s="4">
        <v>0</v>
      </c>
      <c r="M856" s="4">
        <v>0</v>
      </c>
      <c r="N856" s="4">
        <f t="shared" si="134"/>
        <v>9354466.8000000007</v>
      </c>
      <c r="O856" s="4">
        <v>0</v>
      </c>
      <c r="P856" s="4">
        <f t="shared" si="135"/>
        <v>3242</v>
      </c>
      <c r="Q856" s="4">
        <f>'Форма 2'!K3024</f>
        <v>3242</v>
      </c>
      <c r="R856" s="53" t="s">
        <v>493</v>
      </c>
      <c r="S856" s="5">
        <v>1</v>
      </c>
    </row>
    <row r="857" spans="1:21" ht="15.75" customHeight="1" x14ac:dyDescent="0.35">
      <c r="A857" s="20">
        <f t="shared" ref="A857:A876" si="136">A856+1</f>
        <v>34</v>
      </c>
      <c r="B857" s="20">
        <v>4292</v>
      </c>
      <c r="C857" s="61" t="s">
        <v>116</v>
      </c>
      <c r="D857" s="60">
        <v>1969</v>
      </c>
      <c r="E857" s="60" t="s">
        <v>74</v>
      </c>
      <c r="F857" s="60" t="s">
        <v>155</v>
      </c>
      <c r="G857" s="4">
        <v>3482.2</v>
      </c>
      <c r="H857" s="4">
        <v>3198.2</v>
      </c>
      <c r="I857" s="103">
        <v>121</v>
      </c>
      <c r="J857" s="4">
        <f>'Форма 2'!I3027</f>
        <v>8662580.0999999996</v>
      </c>
      <c r="K857" s="4">
        <v>0</v>
      </c>
      <c r="L857" s="4">
        <v>0</v>
      </c>
      <c r="M857" s="4">
        <v>0</v>
      </c>
      <c r="N857" s="4">
        <f t="shared" si="134"/>
        <v>8662580.0999999996</v>
      </c>
      <c r="O857" s="4">
        <v>0</v>
      </c>
      <c r="P857" s="4">
        <f t="shared" si="135"/>
        <v>2708.58</v>
      </c>
      <c r="Q857" s="4">
        <f>'Форма 2'!K3027</f>
        <v>3242</v>
      </c>
      <c r="R857" s="53" t="s">
        <v>493</v>
      </c>
      <c r="S857" s="5">
        <v>1</v>
      </c>
    </row>
    <row r="858" spans="1:21" ht="15.75" customHeight="1" x14ac:dyDescent="0.35">
      <c r="A858" s="20">
        <f t="shared" si="136"/>
        <v>35</v>
      </c>
      <c r="B858" s="20">
        <v>4347</v>
      </c>
      <c r="C858" s="61" t="s">
        <v>117</v>
      </c>
      <c r="D858" s="60">
        <v>1969</v>
      </c>
      <c r="E858" s="60" t="s">
        <v>74</v>
      </c>
      <c r="F858" s="60" t="s">
        <v>155</v>
      </c>
      <c r="G858" s="4">
        <v>6152.2</v>
      </c>
      <c r="H858" s="4">
        <v>4495.8999999999996</v>
      </c>
      <c r="I858" s="103">
        <v>170</v>
      </c>
      <c r="J858" s="4">
        <f>'Форма 2'!I3030</f>
        <v>14575707.800000001</v>
      </c>
      <c r="K858" s="4">
        <v>0</v>
      </c>
      <c r="L858" s="4">
        <v>0</v>
      </c>
      <c r="M858" s="4">
        <v>0</v>
      </c>
      <c r="N858" s="4">
        <f t="shared" si="134"/>
        <v>14575707.800000001</v>
      </c>
      <c r="O858" s="4">
        <v>0</v>
      </c>
      <c r="P858" s="4">
        <f t="shared" si="135"/>
        <v>3242</v>
      </c>
      <c r="Q858" s="4">
        <f>'Форма 2'!K3030</f>
        <v>3242</v>
      </c>
      <c r="R858" s="53" t="s">
        <v>493</v>
      </c>
      <c r="S858" s="5">
        <v>1</v>
      </c>
    </row>
    <row r="859" spans="1:21" ht="15.75" customHeight="1" x14ac:dyDescent="0.35">
      <c r="A859" s="20">
        <f t="shared" si="136"/>
        <v>36</v>
      </c>
      <c r="B859" s="20">
        <v>3200</v>
      </c>
      <c r="C859" s="61" t="s">
        <v>118</v>
      </c>
      <c r="D859" s="60">
        <v>1967</v>
      </c>
      <c r="E859" s="60" t="s">
        <v>74</v>
      </c>
      <c r="F859" s="60" t="s">
        <v>155</v>
      </c>
      <c r="G859" s="4">
        <v>1720.3</v>
      </c>
      <c r="H859" s="4">
        <v>1603.2</v>
      </c>
      <c r="I859" s="103">
        <v>61</v>
      </c>
      <c r="J859" s="4">
        <f>'Форма 2'!I3033</f>
        <v>5145220.59</v>
      </c>
      <c r="K859" s="4">
        <v>0</v>
      </c>
      <c r="L859" s="4">
        <v>0</v>
      </c>
      <c r="M859" s="4">
        <v>0</v>
      </c>
      <c r="N859" s="4">
        <f t="shared" si="134"/>
        <v>5145220.59</v>
      </c>
      <c r="O859" s="4">
        <v>0</v>
      </c>
      <c r="P859" s="4">
        <f t="shared" si="135"/>
        <v>3209.34</v>
      </c>
      <c r="Q859" s="4">
        <f>'Форма 2'!K3033</f>
        <v>3242</v>
      </c>
      <c r="R859" s="53" t="s">
        <v>493</v>
      </c>
      <c r="S859" s="5">
        <v>1</v>
      </c>
    </row>
    <row r="860" spans="1:21" ht="15.75" customHeight="1" x14ac:dyDescent="0.35">
      <c r="A860" s="20">
        <f t="shared" si="136"/>
        <v>37</v>
      </c>
      <c r="B860" s="20">
        <v>3091</v>
      </c>
      <c r="C860" s="61" t="s">
        <v>119</v>
      </c>
      <c r="D860" s="60">
        <v>1968</v>
      </c>
      <c r="E860" s="60" t="s">
        <v>74</v>
      </c>
      <c r="F860" s="60" t="s">
        <v>155</v>
      </c>
      <c r="G860" s="4">
        <v>4584.1000000000004</v>
      </c>
      <c r="H860" s="4">
        <v>3532.6</v>
      </c>
      <c r="I860" s="103">
        <v>102</v>
      </c>
      <c r="J860" s="4">
        <f>'Форма 2'!I3036</f>
        <v>11452689.199999999</v>
      </c>
      <c r="K860" s="4">
        <v>0</v>
      </c>
      <c r="L860" s="4">
        <v>0</v>
      </c>
      <c r="M860" s="4">
        <v>0</v>
      </c>
      <c r="N860" s="4">
        <f t="shared" si="134"/>
        <v>11452689.199999999</v>
      </c>
      <c r="O860" s="4">
        <v>0</v>
      </c>
      <c r="P860" s="4">
        <f t="shared" si="135"/>
        <v>3242</v>
      </c>
      <c r="Q860" s="4">
        <f>'Форма 2'!K3036</f>
        <v>3242</v>
      </c>
      <c r="R860" s="53" t="s">
        <v>493</v>
      </c>
      <c r="S860" s="5">
        <v>1</v>
      </c>
    </row>
    <row r="861" spans="1:21" ht="15.75" customHeight="1" x14ac:dyDescent="0.35">
      <c r="A861" s="20">
        <f t="shared" si="136"/>
        <v>38</v>
      </c>
      <c r="B861" s="101">
        <v>4050</v>
      </c>
      <c r="C861" s="102" t="s">
        <v>120</v>
      </c>
      <c r="D861" s="60">
        <v>1972</v>
      </c>
      <c r="E861" s="60" t="s">
        <v>74</v>
      </c>
      <c r="F861" s="60" t="s">
        <v>155</v>
      </c>
      <c r="G861" s="4">
        <v>3250.4</v>
      </c>
      <c r="H861" s="4">
        <v>3115</v>
      </c>
      <c r="I861" s="103">
        <v>118</v>
      </c>
      <c r="J861" s="4">
        <f>'Форма 2'!I3039</f>
        <v>10098830</v>
      </c>
      <c r="K861" s="4">
        <v>0</v>
      </c>
      <c r="L861" s="4">
        <v>0</v>
      </c>
      <c r="M861" s="4">
        <v>0</v>
      </c>
      <c r="N861" s="4">
        <f t="shared" si="134"/>
        <v>10098830</v>
      </c>
      <c r="O861" s="4">
        <v>0</v>
      </c>
      <c r="P861" s="4">
        <f t="shared" si="135"/>
        <v>3242</v>
      </c>
      <c r="Q861" s="4">
        <f>'Форма 2'!K3039</f>
        <v>3242</v>
      </c>
      <c r="R861" s="53" t="s">
        <v>493</v>
      </c>
      <c r="S861" s="5">
        <v>1</v>
      </c>
    </row>
    <row r="862" spans="1:21" ht="15.75" customHeight="1" x14ac:dyDescent="0.35">
      <c r="A862" s="20">
        <f t="shared" si="136"/>
        <v>39</v>
      </c>
      <c r="B862" s="101">
        <v>4051</v>
      </c>
      <c r="C862" s="102" t="s">
        <v>121</v>
      </c>
      <c r="D862" s="60">
        <v>1972</v>
      </c>
      <c r="E862" s="60" t="s">
        <v>74</v>
      </c>
      <c r="F862" s="60" t="s">
        <v>155</v>
      </c>
      <c r="G862" s="4">
        <v>3250.4</v>
      </c>
      <c r="H862" s="4">
        <v>3115</v>
      </c>
      <c r="I862" s="103">
        <v>118</v>
      </c>
      <c r="J862" s="4">
        <f>'Форма 2'!I3042</f>
        <v>10098830</v>
      </c>
      <c r="K862" s="4">
        <v>0</v>
      </c>
      <c r="L862" s="4">
        <v>0</v>
      </c>
      <c r="M862" s="4">
        <v>0</v>
      </c>
      <c r="N862" s="4">
        <f t="shared" si="134"/>
        <v>10098830</v>
      </c>
      <c r="O862" s="4">
        <v>0</v>
      </c>
      <c r="P862" s="4">
        <f t="shared" si="135"/>
        <v>3242</v>
      </c>
      <c r="Q862" s="4">
        <f>'Форма 2'!K3042</f>
        <v>3242</v>
      </c>
      <c r="R862" s="53" t="s">
        <v>493</v>
      </c>
      <c r="S862" s="5">
        <v>1</v>
      </c>
    </row>
    <row r="863" spans="1:21" ht="15.75" customHeight="1" x14ac:dyDescent="0.35">
      <c r="A863" s="20">
        <f t="shared" si="136"/>
        <v>40</v>
      </c>
      <c r="B863" s="101">
        <v>4052</v>
      </c>
      <c r="C863" s="102" t="s">
        <v>122</v>
      </c>
      <c r="D863" s="60">
        <v>1972</v>
      </c>
      <c r="E863" s="60" t="s">
        <v>74</v>
      </c>
      <c r="F863" s="60" t="s">
        <v>155</v>
      </c>
      <c r="G863" s="4">
        <v>3622.1</v>
      </c>
      <c r="H863" s="4">
        <v>3327.5</v>
      </c>
      <c r="I863" s="103">
        <v>126</v>
      </c>
      <c r="J863" s="4">
        <f>'Форма 2'!I3045</f>
        <v>10787755</v>
      </c>
      <c r="K863" s="4">
        <v>0</v>
      </c>
      <c r="L863" s="4">
        <v>0</v>
      </c>
      <c r="M863" s="4">
        <v>0</v>
      </c>
      <c r="N863" s="4">
        <f t="shared" si="134"/>
        <v>10787755</v>
      </c>
      <c r="O863" s="4">
        <v>0</v>
      </c>
      <c r="P863" s="4">
        <f t="shared" si="135"/>
        <v>3242</v>
      </c>
      <c r="Q863" s="4">
        <f>'Форма 2'!K3045</f>
        <v>3242</v>
      </c>
      <c r="R863" s="53" t="s">
        <v>493</v>
      </c>
      <c r="S863" s="5">
        <v>1</v>
      </c>
    </row>
    <row r="864" spans="1:21" ht="15.75" customHeight="1" x14ac:dyDescent="0.35">
      <c r="A864" s="20">
        <f t="shared" si="136"/>
        <v>41</v>
      </c>
      <c r="B864" s="20">
        <v>4335</v>
      </c>
      <c r="C864" s="61" t="s">
        <v>123</v>
      </c>
      <c r="D864" s="60">
        <v>1966</v>
      </c>
      <c r="E864" s="25" t="s">
        <v>434</v>
      </c>
      <c r="F864" s="25" t="s">
        <v>155</v>
      </c>
      <c r="G864" s="4">
        <v>3606.8</v>
      </c>
      <c r="H864" s="4">
        <v>2109.1999999999998</v>
      </c>
      <c r="I864" s="103">
        <v>80</v>
      </c>
      <c r="J864" s="4">
        <f>'Форма 2'!I3048</f>
        <v>3374720</v>
      </c>
      <c r="K864" s="4">
        <v>0</v>
      </c>
      <c r="L864" s="4">
        <v>0</v>
      </c>
      <c r="M864" s="4">
        <v>0</v>
      </c>
      <c r="N864" s="4">
        <f t="shared" si="134"/>
        <v>3374720</v>
      </c>
      <c r="O864" s="4">
        <v>0</v>
      </c>
      <c r="P864" s="4">
        <f t="shared" si="135"/>
        <v>1600</v>
      </c>
      <c r="Q864" s="4">
        <f>'Форма 2'!K3048</f>
        <v>1600</v>
      </c>
      <c r="R864" s="53" t="s">
        <v>493</v>
      </c>
      <c r="S864" s="5">
        <v>1</v>
      </c>
    </row>
    <row r="865" spans="1:19" ht="15.75" customHeight="1" x14ac:dyDescent="0.35">
      <c r="A865" s="20">
        <f t="shared" si="136"/>
        <v>42</v>
      </c>
      <c r="B865" s="20">
        <v>3299</v>
      </c>
      <c r="C865" s="61" t="s">
        <v>124</v>
      </c>
      <c r="D865" s="60">
        <v>1968</v>
      </c>
      <c r="E865" s="25" t="s">
        <v>74</v>
      </c>
      <c r="F865" s="25" t="s">
        <v>155</v>
      </c>
      <c r="G865" s="4">
        <v>3785.95</v>
      </c>
      <c r="H865" s="4">
        <v>3495.95</v>
      </c>
      <c r="I865" s="103">
        <v>132</v>
      </c>
      <c r="J865" s="4">
        <f>'Форма 2'!I3051</f>
        <v>11333869.9</v>
      </c>
      <c r="K865" s="4">
        <v>0</v>
      </c>
      <c r="L865" s="4">
        <v>0</v>
      </c>
      <c r="M865" s="4">
        <v>0</v>
      </c>
      <c r="N865" s="4">
        <f t="shared" si="134"/>
        <v>11333869.9</v>
      </c>
      <c r="O865" s="4">
        <v>0</v>
      </c>
      <c r="P865" s="4">
        <f t="shared" si="135"/>
        <v>3242</v>
      </c>
      <c r="Q865" s="4">
        <f>'Форма 2'!K3051</f>
        <v>3242</v>
      </c>
      <c r="R865" s="53" t="s">
        <v>493</v>
      </c>
      <c r="S865" s="5">
        <v>1</v>
      </c>
    </row>
    <row r="866" spans="1:19" ht="15.75" customHeight="1" x14ac:dyDescent="0.35">
      <c r="A866" s="20">
        <f t="shared" si="136"/>
        <v>43</v>
      </c>
      <c r="B866" s="101">
        <v>3316</v>
      </c>
      <c r="C866" s="102" t="s">
        <v>125</v>
      </c>
      <c r="D866" s="60">
        <v>1971</v>
      </c>
      <c r="E866" s="60" t="s">
        <v>74</v>
      </c>
      <c r="F866" s="60" t="s">
        <v>155</v>
      </c>
      <c r="G866" s="4">
        <v>3097.2</v>
      </c>
      <c r="H866" s="4">
        <v>2886.1</v>
      </c>
      <c r="I866" s="103">
        <v>109</v>
      </c>
      <c r="J866" s="4">
        <f>'Форма 2'!I3054</f>
        <v>9356736.1999999993</v>
      </c>
      <c r="K866" s="4">
        <v>0</v>
      </c>
      <c r="L866" s="4">
        <v>0</v>
      </c>
      <c r="M866" s="4">
        <v>0</v>
      </c>
      <c r="N866" s="4">
        <f t="shared" si="134"/>
        <v>9356736.1999999993</v>
      </c>
      <c r="O866" s="4">
        <v>0</v>
      </c>
      <c r="P866" s="4">
        <f t="shared" si="135"/>
        <v>3242</v>
      </c>
      <c r="Q866" s="4">
        <f>'Форма 2'!K3054</f>
        <v>3242</v>
      </c>
      <c r="R866" s="53" t="s">
        <v>493</v>
      </c>
      <c r="S866" s="5">
        <v>1</v>
      </c>
    </row>
    <row r="867" spans="1:19" ht="15.75" customHeight="1" x14ac:dyDescent="0.35">
      <c r="A867" s="20">
        <f t="shared" si="136"/>
        <v>44</v>
      </c>
      <c r="B867" s="101">
        <v>3318</v>
      </c>
      <c r="C867" s="102" t="s">
        <v>126</v>
      </c>
      <c r="D867" s="60">
        <v>1972</v>
      </c>
      <c r="E867" s="25" t="s">
        <v>74</v>
      </c>
      <c r="F867" s="25" t="s">
        <v>155</v>
      </c>
      <c r="G867" s="4">
        <v>3824.2</v>
      </c>
      <c r="H867" s="4">
        <v>3544.3</v>
      </c>
      <c r="I867" s="103">
        <v>134</v>
      </c>
      <c r="J867" s="4">
        <f>'Форма 2'!I3057</f>
        <v>11490620.6</v>
      </c>
      <c r="K867" s="4">
        <v>0</v>
      </c>
      <c r="L867" s="4">
        <v>0</v>
      </c>
      <c r="M867" s="4">
        <v>0</v>
      </c>
      <c r="N867" s="4">
        <f t="shared" si="134"/>
        <v>11490620.6</v>
      </c>
      <c r="O867" s="4">
        <v>0</v>
      </c>
      <c r="P867" s="4">
        <f t="shared" si="135"/>
        <v>3242</v>
      </c>
      <c r="Q867" s="4">
        <f>'Форма 2'!K3057</f>
        <v>3242</v>
      </c>
      <c r="R867" s="53" t="s">
        <v>493</v>
      </c>
      <c r="S867" s="5">
        <v>1</v>
      </c>
    </row>
    <row r="868" spans="1:19" ht="15.75" customHeight="1" x14ac:dyDescent="0.35">
      <c r="A868" s="20">
        <f t="shared" si="136"/>
        <v>45</v>
      </c>
      <c r="B868" s="20">
        <v>3319</v>
      </c>
      <c r="C868" s="61" t="s">
        <v>127</v>
      </c>
      <c r="D868" s="60">
        <v>1970</v>
      </c>
      <c r="E868" s="60" t="s">
        <v>74</v>
      </c>
      <c r="F868" s="60" t="s">
        <v>155</v>
      </c>
      <c r="G868" s="4">
        <v>3818.3</v>
      </c>
      <c r="H868" s="4">
        <v>3538.3</v>
      </c>
      <c r="I868" s="103">
        <v>134</v>
      </c>
      <c r="J868" s="4">
        <f>'Форма 2'!I3060</f>
        <v>11471168.6</v>
      </c>
      <c r="K868" s="4">
        <v>0</v>
      </c>
      <c r="L868" s="4">
        <v>0</v>
      </c>
      <c r="M868" s="4">
        <v>0</v>
      </c>
      <c r="N868" s="4">
        <f t="shared" si="134"/>
        <v>11471168.6</v>
      </c>
      <c r="O868" s="4">
        <v>0</v>
      </c>
      <c r="P868" s="4">
        <f t="shared" si="135"/>
        <v>3242</v>
      </c>
      <c r="Q868" s="4">
        <f>'Форма 2'!K3060</f>
        <v>3242</v>
      </c>
      <c r="R868" s="53" t="s">
        <v>493</v>
      </c>
      <c r="S868" s="5">
        <v>1</v>
      </c>
    </row>
    <row r="869" spans="1:19" ht="15.75" customHeight="1" x14ac:dyDescent="0.35">
      <c r="A869" s="20">
        <f t="shared" si="136"/>
        <v>46</v>
      </c>
      <c r="B869" s="20">
        <v>3183</v>
      </c>
      <c r="C869" s="61" t="s">
        <v>128</v>
      </c>
      <c r="D869" s="60">
        <v>1970</v>
      </c>
      <c r="E869" s="60" t="s">
        <v>74</v>
      </c>
      <c r="F869" s="60" t="s">
        <v>155</v>
      </c>
      <c r="G869" s="4">
        <v>6324.9</v>
      </c>
      <c r="H869" s="4">
        <v>5802.9</v>
      </c>
      <c r="I869" s="103">
        <v>219</v>
      </c>
      <c r="J869" s="4">
        <f>'Форма 2'!I3063</f>
        <v>18813001.800000001</v>
      </c>
      <c r="K869" s="4">
        <v>0</v>
      </c>
      <c r="L869" s="4">
        <v>0</v>
      </c>
      <c r="M869" s="4">
        <v>0</v>
      </c>
      <c r="N869" s="4">
        <f t="shared" si="134"/>
        <v>18813001.800000001</v>
      </c>
      <c r="O869" s="4">
        <v>0</v>
      </c>
      <c r="P869" s="4">
        <f t="shared" si="135"/>
        <v>3242</v>
      </c>
      <c r="Q869" s="4">
        <f>'Форма 2'!K3063</f>
        <v>3242</v>
      </c>
      <c r="R869" s="53" t="s">
        <v>493</v>
      </c>
      <c r="S869" s="5">
        <v>1</v>
      </c>
    </row>
    <row r="870" spans="1:19" ht="15.75" customHeight="1" x14ac:dyDescent="0.35">
      <c r="A870" s="20">
        <f t="shared" si="136"/>
        <v>47</v>
      </c>
      <c r="B870" s="20">
        <v>3186</v>
      </c>
      <c r="C870" s="61" t="s">
        <v>129</v>
      </c>
      <c r="D870" s="60">
        <v>1970</v>
      </c>
      <c r="E870" s="60" t="s">
        <v>74</v>
      </c>
      <c r="F870" s="60" t="s">
        <v>155</v>
      </c>
      <c r="G870" s="4">
        <v>3116.9</v>
      </c>
      <c r="H870" s="4">
        <v>2902.9</v>
      </c>
      <c r="I870" s="103">
        <v>110</v>
      </c>
      <c r="J870" s="4">
        <f>'Форма 2'!I3066</f>
        <v>9387608.8499999996</v>
      </c>
      <c r="K870" s="4">
        <v>0</v>
      </c>
      <c r="L870" s="4">
        <v>0</v>
      </c>
      <c r="M870" s="4">
        <v>0</v>
      </c>
      <c r="N870" s="4">
        <f t="shared" si="134"/>
        <v>9387608.8499999996</v>
      </c>
      <c r="O870" s="4">
        <v>0</v>
      </c>
      <c r="P870" s="4">
        <f t="shared" si="135"/>
        <v>3233.87</v>
      </c>
      <c r="Q870" s="4">
        <f>'Форма 2'!K3066</f>
        <v>3242</v>
      </c>
      <c r="R870" s="53" t="s">
        <v>493</v>
      </c>
      <c r="S870" s="5">
        <v>1</v>
      </c>
    </row>
    <row r="871" spans="1:19" ht="15.75" customHeight="1" x14ac:dyDescent="0.35">
      <c r="A871" s="20">
        <f t="shared" si="136"/>
        <v>48</v>
      </c>
      <c r="B871" s="20">
        <v>3190</v>
      </c>
      <c r="C871" s="61" t="s">
        <v>130</v>
      </c>
      <c r="D871" s="60">
        <v>1969</v>
      </c>
      <c r="E871" s="60" t="s">
        <v>74</v>
      </c>
      <c r="F871" s="60" t="s">
        <v>155</v>
      </c>
      <c r="G871" s="4">
        <v>3125.2</v>
      </c>
      <c r="H871" s="4">
        <v>2911</v>
      </c>
      <c r="I871" s="103">
        <v>110</v>
      </c>
      <c r="J871" s="4">
        <f>'Форма 2'!I3069</f>
        <v>9437462</v>
      </c>
      <c r="K871" s="4">
        <v>0</v>
      </c>
      <c r="L871" s="4">
        <v>0</v>
      </c>
      <c r="M871" s="4">
        <v>0</v>
      </c>
      <c r="N871" s="4">
        <f t="shared" si="134"/>
        <v>9437462</v>
      </c>
      <c r="O871" s="4">
        <v>0</v>
      </c>
      <c r="P871" s="4">
        <f t="shared" si="135"/>
        <v>3242</v>
      </c>
      <c r="Q871" s="4">
        <f>'Форма 2'!K3069</f>
        <v>3242</v>
      </c>
      <c r="R871" s="53" t="s">
        <v>493</v>
      </c>
      <c r="S871" s="5">
        <v>1</v>
      </c>
    </row>
    <row r="872" spans="1:19" ht="15.75" customHeight="1" x14ac:dyDescent="0.35">
      <c r="A872" s="20">
        <f t="shared" si="136"/>
        <v>49</v>
      </c>
      <c r="B872" s="20">
        <v>3376</v>
      </c>
      <c r="C872" s="61" t="s">
        <v>131</v>
      </c>
      <c r="D872" s="60">
        <v>1964</v>
      </c>
      <c r="E872" s="60" t="s">
        <v>74</v>
      </c>
      <c r="F872" s="60" t="s">
        <v>155</v>
      </c>
      <c r="G872" s="4">
        <v>2702.4</v>
      </c>
      <c r="H872" s="4">
        <v>2525.6</v>
      </c>
      <c r="I872" s="103">
        <v>95</v>
      </c>
      <c r="J872" s="4">
        <f>'Форма 2'!I3072</f>
        <v>11941036.800000001</v>
      </c>
      <c r="K872" s="4">
        <v>0</v>
      </c>
      <c r="L872" s="4">
        <v>0</v>
      </c>
      <c r="M872" s="4">
        <v>0</v>
      </c>
      <c r="N872" s="4">
        <f t="shared" si="134"/>
        <v>11941036.800000001</v>
      </c>
      <c r="O872" s="4">
        <v>0</v>
      </c>
      <c r="P872" s="4">
        <f t="shared" si="135"/>
        <v>4728</v>
      </c>
      <c r="Q872" s="4">
        <f>'Форма 2'!K3072</f>
        <v>4728</v>
      </c>
      <c r="R872" s="53" t="s">
        <v>493</v>
      </c>
      <c r="S872" s="5">
        <v>1</v>
      </c>
    </row>
    <row r="873" spans="1:19" ht="15.75" customHeight="1" x14ac:dyDescent="0.35">
      <c r="A873" s="20">
        <f t="shared" si="136"/>
        <v>50</v>
      </c>
      <c r="B873" s="20">
        <v>3406</v>
      </c>
      <c r="C873" s="61" t="s">
        <v>132</v>
      </c>
      <c r="D873" s="60">
        <v>1956</v>
      </c>
      <c r="E873" s="60" t="s">
        <v>580</v>
      </c>
      <c r="F873" s="60" t="s">
        <v>155</v>
      </c>
      <c r="G873" s="4">
        <v>1344.96</v>
      </c>
      <c r="H873" s="4">
        <v>1229.96</v>
      </c>
      <c r="I873" s="103">
        <v>46</v>
      </c>
      <c r="J873" s="4">
        <f>'Форма 2'!I3075</f>
        <v>12016709.199999999</v>
      </c>
      <c r="K873" s="4">
        <v>0</v>
      </c>
      <c r="L873" s="4">
        <v>0</v>
      </c>
      <c r="M873" s="4">
        <v>0</v>
      </c>
      <c r="N873" s="4">
        <f t="shared" si="134"/>
        <v>12016709.199999999</v>
      </c>
      <c r="O873" s="4">
        <v>0</v>
      </c>
      <c r="P873" s="4">
        <f t="shared" si="135"/>
        <v>9770</v>
      </c>
      <c r="Q873" s="4">
        <f>'Форма 2'!K3075</f>
        <v>9770</v>
      </c>
      <c r="R873" s="53" t="s">
        <v>493</v>
      </c>
      <c r="S873" s="5">
        <v>1</v>
      </c>
    </row>
    <row r="874" spans="1:19" ht="15.75" customHeight="1" x14ac:dyDescent="0.35">
      <c r="A874" s="20">
        <f t="shared" si="136"/>
        <v>51</v>
      </c>
      <c r="B874" s="20">
        <v>3408</v>
      </c>
      <c r="C874" s="61" t="s">
        <v>133</v>
      </c>
      <c r="D874" s="60">
        <v>1959</v>
      </c>
      <c r="E874" s="60" t="s">
        <v>74</v>
      </c>
      <c r="F874" s="60" t="s">
        <v>155</v>
      </c>
      <c r="G874" s="4">
        <v>3389.51</v>
      </c>
      <c r="H874" s="4">
        <v>3143.51</v>
      </c>
      <c r="I874" s="103">
        <v>119</v>
      </c>
      <c r="J874" s="4">
        <f>'Форма 2'!I3082</f>
        <v>10191259.42</v>
      </c>
      <c r="K874" s="4">
        <v>0</v>
      </c>
      <c r="L874" s="4">
        <v>0</v>
      </c>
      <c r="M874" s="4">
        <v>0</v>
      </c>
      <c r="N874" s="4">
        <f t="shared" si="134"/>
        <v>10191259.42</v>
      </c>
      <c r="O874" s="4">
        <v>0</v>
      </c>
      <c r="P874" s="4">
        <f t="shared" si="135"/>
        <v>3242</v>
      </c>
      <c r="Q874" s="4">
        <f>'Форма 2'!K3082</f>
        <v>3242</v>
      </c>
      <c r="R874" s="53" t="s">
        <v>493</v>
      </c>
      <c r="S874" s="5">
        <v>1</v>
      </c>
    </row>
    <row r="875" spans="1:19" x14ac:dyDescent="0.35">
      <c r="A875" s="20">
        <f t="shared" si="136"/>
        <v>52</v>
      </c>
      <c r="B875" s="20">
        <v>3416</v>
      </c>
      <c r="C875" s="61" t="s">
        <v>134</v>
      </c>
      <c r="D875" s="60">
        <v>1917</v>
      </c>
      <c r="E875" s="60" t="s">
        <v>434</v>
      </c>
      <c r="F875" s="60" t="s">
        <v>155</v>
      </c>
      <c r="G875" s="4">
        <v>941</v>
      </c>
      <c r="H875" s="4">
        <v>887</v>
      </c>
      <c r="I875" s="103">
        <v>34</v>
      </c>
      <c r="J875" s="4">
        <f>'Форма 2'!I3085</f>
        <v>925141</v>
      </c>
      <c r="K875" s="4">
        <v>0</v>
      </c>
      <c r="L875" s="4">
        <v>0</v>
      </c>
      <c r="M875" s="4">
        <v>0</v>
      </c>
      <c r="N875" s="4">
        <f t="shared" si="134"/>
        <v>925141</v>
      </c>
      <c r="O875" s="4">
        <v>0</v>
      </c>
      <c r="P875" s="4">
        <f t="shared" si="135"/>
        <v>1043</v>
      </c>
      <c r="Q875" s="4">
        <f>'Форма 2'!K3085</f>
        <v>1043</v>
      </c>
      <c r="R875" s="53" t="s">
        <v>493</v>
      </c>
      <c r="S875" s="5">
        <v>1</v>
      </c>
    </row>
    <row r="876" spans="1:19" ht="15.75" customHeight="1" x14ac:dyDescent="0.35">
      <c r="A876" s="20">
        <f t="shared" si="136"/>
        <v>53</v>
      </c>
      <c r="B876" s="20">
        <v>3417</v>
      </c>
      <c r="C876" s="61" t="s">
        <v>135</v>
      </c>
      <c r="D876" s="60">
        <v>1917</v>
      </c>
      <c r="E876" s="60" t="s">
        <v>581</v>
      </c>
      <c r="F876" s="60" t="s">
        <v>155</v>
      </c>
      <c r="G876" s="4">
        <v>975.5</v>
      </c>
      <c r="H876" s="4">
        <v>921.5</v>
      </c>
      <c r="I876" s="103">
        <v>35</v>
      </c>
      <c r="J876" s="4">
        <f>'Форма 2'!I3088</f>
        <v>5781491</v>
      </c>
      <c r="K876" s="4">
        <v>0</v>
      </c>
      <c r="L876" s="4">
        <v>0</v>
      </c>
      <c r="M876" s="4">
        <v>0</v>
      </c>
      <c r="N876" s="4">
        <f t="shared" si="134"/>
        <v>5781491</v>
      </c>
      <c r="O876" s="4">
        <v>0</v>
      </c>
      <c r="P876" s="4">
        <f t="shared" si="135"/>
        <v>6274</v>
      </c>
      <c r="Q876" s="4">
        <f>'Форма 2'!K3088</f>
        <v>6274</v>
      </c>
      <c r="R876" s="53" t="s">
        <v>493</v>
      </c>
      <c r="S876" s="5">
        <v>1</v>
      </c>
    </row>
    <row r="877" spans="1:19" ht="15.75" customHeight="1" x14ac:dyDescent="0.35">
      <c r="A877" s="238" t="s">
        <v>393</v>
      </c>
      <c r="B877" s="239"/>
      <c r="C877" s="240"/>
      <c r="D877" s="60" t="s">
        <v>13</v>
      </c>
      <c r="E877" s="60" t="s">
        <v>13</v>
      </c>
      <c r="F877" s="60" t="s">
        <v>13</v>
      </c>
      <c r="G877" s="4">
        <f>SUM(G878:G895)</f>
        <v>42728.480000000003</v>
      </c>
      <c r="H877" s="4">
        <f>SUM(H878:H895)</f>
        <v>37305.480000000003</v>
      </c>
      <c r="I877" s="19">
        <f>SUM(I878:I895)</f>
        <v>1546</v>
      </c>
      <c r="J877" s="4">
        <f t="shared" ref="J877:O877" si="137">SUM(J878:J895)</f>
        <v>119984128.62</v>
      </c>
      <c r="K877" s="4">
        <f t="shared" si="137"/>
        <v>0</v>
      </c>
      <c r="L877" s="4">
        <f t="shared" si="137"/>
        <v>0</v>
      </c>
      <c r="M877" s="4">
        <f t="shared" si="137"/>
        <v>0</v>
      </c>
      <c r="N877" s="4">
        <f t="shared" si="137"/>
        <v>119984128.62</v>
      </c>
      <c r="O877" s="4">
        <f t="shared" si="137"/>
        <v>0</v>
      </c>
      <c r="P877" s="4" t="s">
        <v>13</v>
      </c>
      <c r="Q877" s="4" t="s">
        <v>13</v>
      </c>
      <c r="R877" s="53" t="s">
        <v>13</v>
      </c>
      <c r="S877" s="5" t="s">
        <v>13</v>
      </c>
    </row>
    <row r="878" spans="1:19" ht="15.75" customHeight="1" x14ac:dyDescent="0.35">
      <c r="A878" s="20">
        <f>A876+1</f>
        <v>54</v>
      </c>
      <c r="B878" s="20">
        <v>2427</v>
      </c>
      <c r="C878" s="61" t="s">
        <v>136</v>
      </c>
      <c r="D878" s="60">
        <v>1962</v>
      </c>
      <c r="E878" s="60" t="s">
        <v>74</v>
      </c>
      <c r="F878" s="60" t="s">
        <v>155</v>
      </c>
      <c r="G878" s="4">
        <v>4049.25</v>
      </c>
      <c r="H878" s="4">
        <v>3713.1</v>
      </c>
      <c r="I878" s="103">
        <v>140</v>
      </c>
      <c r="J878" s="4">
        <f>'Форма 2'!I3093</f>
        <v>12037870.199999999</v>
      </c>
      <c r="K878" s="4">
        <v>0</v>
      </c>
      <c r="L878" s="4">
        <v>0</v>
      </c>
      <c r="M878" s="4">
        <v>0</v>
      </c>
      <c r="N878" s="4">
        <f>J878-K878-L878-M878-O878</f>
        <v>12037870.199999999</v>
      </c>
      <c r="O878" s="4">
        <v>0</v>
      </c>
      <c r="P878" s="4">
        <f>J878/H878</f>
        <v>3242</v>
      </c>
      <c r="Q878" s="4">
        <f>'Форма 2'!K3093</f>
        <v>3242</v>
      </c>
      <c r="R878" s="53" t="s">
        <v>493</v>
      </c>
      <c r="S878" s="5">
        <v>1</v>
      </c>
    </row>
    <row r="879" spans="1:19" ht="15.75" customHeight="1" x14ac:dyDescent="0.35">
      <c r="A879" s="20">
        <f t="shared" ref="A879:A894" si="138">A878+1</f>
        <v>55</v>
      </c>
      <c r="B879" s="20">
        <v>8169</v>
      </c>
      <c r="C879" s="61" t="s">
        <v>583</v>
      </c>
      <c r="D879" s="60">
        <v>1932</v>
      </c>
      <c r="E879" s="60" t="s">
        <v>74</v>
      </c>
      <c r="F879" s="60" t="s">
        <v>155</v>
      </c>
      <c r="G879" s="4">
        <v>4847.74</v>
      </c>
      <c r="H879" s="4">
        <v>3616.91</v>
      </c>
      <c r="I879" s="104">
        <v>87</v>
      </c>
      <c r="J879" s="4">
        <f>'Форма 2'!I3096</f>
        <v>17100750.48</v>
      </c>
      <c r="K879" s="4">
        <v>0</v>
      </c>
      <c r="L879" s="4">
        <v>0</v>
      </c>
      <c r="M879" s="4">
        <v>0</v>
      </c>
      <c r="N879" s="4">
        <f t="shared" ref="N879:N895" si="139">J879-K879-L879-M879-O879</f>
        <v>17100750.48</v>
      </c>
      <c r="O879" s="4">
        <v>0</v>
      </c>
      <c r="P879" s="4">
        <f t="shared" ref="P879:P895" si="140">J879/H879</f>
        <v>4728</v>
      </c>
      <c r="Q879" s="4">
        <f>'Форма 2'!K3096</f>
        <v>4728</v>
      </c>
      <c r="R879" s="53" t="s">
        <v>493</v>
      </c>
      <c r="S879" s="5">
        <v>1</v>
      </c>
    </row>
    <row r="880" spans="1:19" ht="15.75" customHeight="1" x14ac:dyDescent="0.35">
      <c r="A880" s="20">
        <f>A879+1</f>
        <v>56</v>
      </c>
      <c r="B880" s="20">
        <v>2536</v>
      </c>
      <c r="C880" s="61" t="s">
        <v>137</v>
      </c>
      <c r="D880" s="60">
        <v>1962</v>
      </c>
      <c r="E880" s="60" t="s">
        <v>434</v>
      </c>
      <c r="F880" s="60" t="s">
        <v>155</v>
      </c>
      <c r="G880" s="4">
        <v>835.9</v>
      </c>
      <c r="H880" s="4">
        <v>775.9</v>
      </c>
      <c r="I880" s="103">
        <v>29</v>
      </c>
      <c r="J880" s="4">
        <f>'Форма 2'!I3099</f>
        <v>3875620.5</v>
      </c>
      <c r="K880" s="4">
        <v>0</v>
      </c>
      <c r="L880" s="4">
        <v>0</v>
      </c>
      <c r="M880" s="4">
        <v>0</v>
      </c>
      <c r="N880" s="4">
        <f t="shared" si="139"/>
        <v>3875620.5</v>
      </c>
      <c r="O880" s="4">
        <v>0</v>
      </c>
      <c r="P880" s="4">
        <f t="shared" si="140"/>
        <v>4995</v>
      </c>
      <c r="Q880" s="4">
        <f>'Форма 2'!K3099</f>
        <v>4995</v>
      </c>
      <c r="R880" s="53" t="s">
        <v>493</v>
      </c>
      <c r="S880" s="5">
        <v>1</v>
      </c>
    </row>
    <row r="881" spans="1:19" ht="15.75" customHeight="1" x14ac:dyDescent="0.35">
      <c r="A881" s="20">
        <f t="shared" si="138"/>
        <v>57</v>
      </c>
      <c r="B881" s="20">
        <v>2409</v>
      </c>
      <c r="C881" s="61" t="s">
        <v>138</v>
      </c>
      <c r="D881" s="60">
        <v>1964</v>
      </c>
      <c r="E881" s="60" t="s">
        <v>74</v>
      </c>
      <c r="F881" s="60" t="s">
        <v>155</v>
      </c>
      <c r="G881" s="4">
        <v>2579.3000000000002</v>
      </c>
      <c r="H881" s="4">
        <v>2414.56</v>
      </c>
      <c r="I881" s="103">
        <v>91</v>
      </c>
      <c r="J881" s="4">
        <f>'Форма 2'!I3102</f>
        <v>7827819.0499999998</v>
      </c>
      <c r="K881" s="4">
        <v>0</v>
      </c>
      <c r="L881" s="4">
        <v>0</v>
      </c>
      <c r="M881" s="4">
        <v>0</v>
      </c>
      <c r="N881" s="4">
        <f t="shared" si="139"/>
        <v>7827819.0499999998</v>
      </c>
      <c r="O881" s="4">
        <v>0</v>
      </c>
      <c r="P881" s="4">
        <f t="shared" si="140"/>
        <v>3241.92</v>
      </c>
      <c r="Q881" s="4">
        <f>'Форма 2'!K3102</f>
        <v>3242</v>
      </c>
      <c r="R881" s="53" t="s">
        <v>493</v>
      </c>
      <c r="S881" s="5">
        <v>1</v>
      </c>
    </row>
    <row r="882" spans="1:19" ht="15.75" customHeight="1" x14ac:dyDescent="0.35">
      <c r="A882" s="20">
        <f>A881+1</f>
        <v>58</v>
      </c>
      <c r="B882" s="101">
        <v>2235</v>
      </c>
      <c r="C882" s="102" t="s">
        <v>139</v>
      </c>
      <c r="D882" s="60">
        <v>1985</v>
      </c>
      <c r="E882" s="60" t="s">
        <v>74</v>
      </c>
      <c r="F882" s="60" t="s">
        <v>155</v>
      </c>
      <c r="G882" s="4">
        <v>3951.8</v>
      </c>
      <c r="H882" s="4">
        <v>3471.8</v>
      </c>
      <c r="I882" s="103">
        <v>131</v>
      </c>
      <c r="J882" s="4">
        <f>'Форма 2'!I3105</f>
        <v>5902267.71</v>
      </c>
      <c r="K882" s="4">
        <v>0</v>
      </c>
      <c r="L882" s="4">
        <v>0</v>
      </c>
      <c r="M882" s="4">
        <v>0</v>
      </c>
      <c r="N882" s="4">
        <f>J882-K882-L882-M882-O882</f>
        <v>5902267.71</v>
      </c>
      <c r="O882" s="4">
        <v>0</v>
      </c>
      <c r="P882" s="4">
        <f>J882/H882</f>
        <v>1700.06</v>
      </c>
      <c r="Q882" s="4">
        <f>'Форма 2'!K3105</f>
        <v>2292</v>
      </c>
      <c r="R882" s="53" t="s">
        <v>493</v>
      </c>
      <c r="S882" s="5">
        <v>1</v>
      </c>
    </row>
    <row r="883" spans="1:19" ht="15.75" customHeight="1" x14ac:dyDescent="0.35">
      <c r="A883" s="20">
        <f>A882+1</f>
        <v>59</v>
      </c>
      <c r="B883" s="20">
        <v>2411</v>
      </c>
      <c r="C883" s="61" t="s">
        <v>140</v>
      </c>
      <c r="D883" s="60">
        <v>1907</v>
      </c>
      <c r="E883" s="60" t="s">
        <v>74</v>
      </c>
      <c r="F883" s="60" t="s">
        <v>155</v>
      </c>
      <c r="G883" s="4">
        <v>991.1</v>
      </c>
      <c r="H883" s="4">
        <v>812.8</v>
      </c>
      <c r="I883" s="104">
        <v>49</v>
      </c>
      <c r="J883" s="4">
        <f>'Форма 2'!I3108</f>
        <v>3842918.3999999999</v>
      </c>
      <c r="K883" s="4">
        <v>0</v>
      </c>
      <c r="L883" s="4">
        <v>0</v>
      </c>
      <c r="M883" s="4">
        <v>0</v>
      </c>
      <c r="N883" s="4">
        <f t="shared" si="139"/>
        <v>3842918.3999999999</v>
      </c>
      <c r="O883" s="4">
        <v>0</v>
      </c>
      <c r="P883" s="4">
        <f t="shared" si="140"/>
        <v>4728</v>
      </c>
      <c r="Q883" s="4">
        <f>'Форма 2'!K3108</f>
        <v>4728</v>
      </c>
      <c r="R883" s="53" t="s">
        <v>493</v>
      </c>
      <c r="S883" s="5">
        <v>1</v>
      </c>
    </row>
    <row r="884" spans="1:19" ht="31.5" customHeight="1" x14ac:dyDescent="0.35">
      <c r="A884" s="20">
        <f t="shared" si="138"/>
        <v>60</v>
      </c>
      <c r="B884" s="20">
        <v>2570</v>
      </c>
      <c r="C884" s="61" t="s">
        <v>141</v>
      </c>
      <c r="D884" s="25" t="s">
        <v>587</v>
      </c>
      <c r="E884" s="60" t="s">
        <v>434</v>
      </c>
      <c r="F884" s="60" t="s">
        <v>155</v>
      </c>
      <c r="G884" s="4">
        <v>718.4</v>
      </c>
      <c r="H884" s="4">
        <v>628.4</v>
      </c>
      <c r="I884" s="104">
        <v>20</v>
      </c>
      <c r="J884" s="4">
        <f>'Форма 2'!I3111</f>
        <v>655421.19999999995</v>
      </c>
      <c r="K884" s="4">
        <v>0</v>
      </c>
      <c r="L884" s="4">
        <v>0</v>
      </c>
      <c r="M884" s="4">
        <v>0</v>
      </c>
      <c r="N884" s="4">
        <f t="shared" si="139"/>
        <v>655421.19999999995</v>
      </c>
      <c r="O884" s="4">
        <v>0</v>
      </c>
      <c r="P884" s="4">
        <f t="shared" si="140"/>
        <v>1043</v>
      </c>
      <c r="Q884" s="4">
        <f>'Форма 2'!K3111</f>
        <v>1043</v>
      </c>
      <c r="R884" s="53" t="s">
        <v>493</v>
      </c>
      <c r="S884" s="5">
        <v>1</v>
      </c>
    </row>
    <row r="885" spans="1:19" ht="15.75" customHeight="1" x14ac:dyDescent="0.35">
      <c r="A885" s="20">
        <f t="shared" si="138"/>
        <v>61</v>
      </c>
      <c r="B885" s="20">
        <v>2412</v>
      </c>
      <c r="C885" s="61" t="s">
        <v>142</v>
      </c>
      <c r="D885" s="60">
        <v>1966</v>
      </c>
      <c r="E885" s="60" t="s">
        <v>74</v>
      </c>
      <c r="F885" s="60" t="s">
        <v>155</v>
      </c>
      <c r="G885" s="4">
        <v>1450.2</v>
      </c>
      <c r="H885" s="4">
        <v>1324.2</v>
      </c>
      <c r="I885" s="104">
        <v>63</v>
      </c>
      <c r="J885" s="4">
        <f>'Форма 2'!I3114</f>
        <v>4293056.4000000004</v>
      </c>
      <c r="K885" s="4">
        <v>0</v>
      </c>
      <c r="L885" s="4">
        <v>0</v>
      </c>
      <c r="M885" s="4">
        <v>0</v>
      </c>
      <c r="N885" s="4">
        <f t="shared" si="139"/>
        <v>4293056.4000000004</v>
      </c>
      <c r="O885" s="4">
        <v>0</v>
      </c>
      <c r="P885" s="4">
        <f t="shared" si="140"/>
        <v>3242</v>
      </c>
      <c r="Q885" s="4">
        <f>'Форма 2'!K3114</f>
        <v>3242</v>
      </c>
      <c r="R885" s="53" t="s">
        <v>493</v>
      </c>
      <c r="S885" s="5">
        <v>1</v>
      </c>
    </row>
    <row r="886" spans="1:19" ht="15.75" customHeight="1" x14ac:dyDescent="0.35">
      <c r="A886" s="20">
        <f t="shared" si="138"/>
        <v>62</v>
      </c>
      <c r="B886" s="20">
        <v>2416</v>
      </c>
      <c r="C886" s="61" t="s">
        <v>143</v>
      </c>
      <c r="D886" s="60">
        <v>1966</v>
      </c>
      <c r="E886" s="60" t="s">
        <v>74</v>
      </c>
      <c r="F886" s="60" t="s">
        <v>155</v>
      </c>
      <c r="G886" s="4">
        <v>3445.6</v>
      </c>
      <c r="H886" s="4">
        <v>3193.7</v>
      </c>
      <c r="I886" s="103">
        <v>90</v>
      </c>
      <c r="J886" s="4">
        <f>'Форма 2'!I3117</f>
        <v>10353975.4</v>
      </c>
      <c r="K886" s="4">
        <v>0</v>
      </c>
      <c r="L886" s="4">
        <v>0</v>
      </c>
      <c r="M886" s="4">
        <v>0</v>
      </c>
      <c r="N886" s="4">
        <f t="shared" si="139"/>
        <v>10353975.4</v>
      </c>
      <c r="O886" s="4">
        <v>0</v>
      </c>
      <c r="P886" s="4">
        <f t="shared" si="140"/>
        <v>3242</v>
      </c>
      <c r="Q886" s="4">
        <f>'Форма 2'!K3117</f>
        <v>3242</v>
      </c>
      <c r="R886" s="53" t="s">
        <v>493</v>
      </c>
      <c r="S886" s="5">
        <v>1</v>
      </c>
    </row>
    <row r="887" spans="1:19" ht="15.75" customHeight="1" x14ac:dyDescent="0.35">
      <c r="A887" s="20">
        <f t="shared" si="138"/>
        <v>63</v>
      </c>
      <c r="B887" s="20">
        <v>2432</v>
      </c>
      <c r="C887" s="61" t="s">
        <v>144</v>
      </c>
      <c r="D887" s="60">
        <v>1960</v>
      </c>
      <c r="E887" s="60" t="s">
        <v>434</v>
      </c>
      <c r="F887" s="60" t="s">
        <v>155</v>
      </c>
      <c r="G887" s="4">
        <v>1402.7</v>
      </c>
      <c r="H887" s="4">
        <v>1229.0999999999999</v>
      </c>
      <c r="I887" s="104">
        <v>53</v>
      </c>
      <c r="J887" s="4">
        <f>'Форма 2'!I3120</f>
        <v>6873127.2000000002</v>
      </c>
      <c r="K887" s="4">
        <v>0</v>
      </c>
      <c r="L887" s="4">
        <v>0</v>
      </c>
      <c r="M887" s="4">
        <v>0</v>
      </c>
      <c r="N887" s="4">
        <f t="shared" si="139"/>
        <v>6873127.2000000002</v>
      </c>
      <c r="O887" s="4">
        <v>0</v>
      </c>
      <c r="P887" s="4">
        <f t="shared" si="140"/>
        <v>5592</v>
      </c>
      <c r="Q887" s="4">
        <f>'Форма 2'!K3120</f>
        <v>5592</v>
      </c>
      <c r="R887" s="53" t="s">
        <v>493</v>
      </c>
      <c r="S887" s="5">
        <v>1</v>
      </c>
    </row>
    <row r="888" spans="1:19" ht="15.75" customHeight="1" x14ac:dyDescent="0.35">
      <c r="A888" s="20">
        <f t="shared" si="138"/>
        <v>64</v>
      </c>
      <c r="B888" s="20">
        <v>2434</v>
      </c>
      <c r="C888" s="61" t="s">
        <v>145</v>
      </c>
      <c r="D888" s="60">
        <v>1967</v>
      </c>
      <c r="E888" s="60" t="s">
        <v>74</v>
      </c>
      <c r="F888" s="60" t="s">
        <v>155</v>
      </c>
      <c r="G888" s="4">
        <v>3578.55</v>
      </c>
      <c r="H888" s="4">
        <v>3278.05</v>
      </c>
      <c r="I888" s="104">
        <v>163</v>
      </c>
      <c r="J888" s="4">
        <f>'Форма 2'!I3125</f>
        <v>11305994.449999999</v>
      </c>
      <c r="K888" s="4">
        <v>0</v>
      </c>
      <c r="L888" s="4">
        <v>0</v>
      </c>
      <c r="M888" s="4">
        <v>0</v>
      </c>
      <c r="N888" s="4">
        <f t="shared" si="139"/>
        <v>11305994.449999999</v>
      </c>
      <c r="O888" s="4">
        <v>0</v>
      </c>
      <c r="P888" s="4">
        <f t="shared" si="140"/>
        <v>3449</v>
      </c>
      <c r="Q888" s="4">
        <f>'Форма 2'!K3125</f>
        <v>3449</v>
      </c>
      <c r="R888" s="53" t="s">
        <v>493</v>
      </c>
      <c r="S888" s="5">
        <v>1</v>
      </c>
    </row>
    <row r="889" spans="1:19" ht="15.75" customHeight="1" x14ac:dyDescent="0.35">
      <c r="A889" s="20">
        <f t="shared" si="138"/>
        <v>65</v>
      </c>
      <c r="B889" s="20">
        <v>2967</v>
      </c>
      <c r="C889" s="61" t="s">
        <v>420</v>
      </c>
      <c r="D889" s="60">
        <v>1966</v>
      </c>
      <c r="E889" s="60" t="s">
        <v>289</v>
      </c>
      <c r="F889" s="60" t="s">
        <v>481</v>
      </c>
      <c r="G889" s="4">
        <v>4037.3</v>
      </c>
      <c r="H889" s="4">
        <v>3510.7</v>
      </c>
      <c r="I889" s="19">
        <v>182</v>
      </c>
      <c r="J889" s="4">
        <f>'Форма 2'!I3128</f>
        <v>417071.16</v>
      </c>
      <c r="K889" s="4">
        <v>0</v>
      </c>
      <c r="L889" s="4">
        <v>0</v>
      </c>
      <c r="M889" s="4">
        <v>0</v>
      </c>
      <c r="N889" s="4">
        <f t="shared" si="139"/>
        <v>417071.16</v>
      </c>
      <c r="O889" s="4">
        <v>0</v>
      </c>
      <c r="P889" s="4">
        <f t="shared" si="140"/>
        <v>118.8</v>
      </c>
      <c r="Q889" s="4">
        <f>'Форма 2'!K3128</f>
        <v>168</v>
      </c>
      <c r="R889" s="53" t="s">
        <v>493</v>
      </c>
      <c r="S889" s="5">
        <v>1</v>
      </c>
    </row>
    <row r="890" spans="1:19" ht="15.75" customHeight="1" x14ac:dyDescent="0.35">
      <c r="A890" s="20">
        <f t="shared" si="138"/>
        <v>66</v>
      </c>
      <c r="B890" s="101">
        <v>2291</v>
      </c>
      <c r="C890" s="102" t="s">
        <v>146</v>
      </c>
      <c r="D890" s="60">
        <v>1962</v>
      </c>
      <c r="E890" s="60" t="s">
        <v>74</v>
      </c>
      <c r="F890" s="60" t="s">
        <v>155</v>
      </c>
      <c r="G890" s="4">
        <v>1376.1</v>
      </c>
      <c r="H890" s="4">
        <v>1274.0999999999999</v>
      </c>
      <c r="I890" s="104">
        <v>65</v>
      </c>
      <c r="J890" s="4">
        <f>'Форма 2'!I3131</f>
        <v>3920317.48</v>
      </c>
      <c r="K890" s="4">
        <v>0</v>
      </c>
      <c r="L890" s="4">
        <v>0</v>
      </c>
      <c r="M890" s="4">
        <v>0</v>
      </c>
      <c r="N890" s="4">
        <f t="shared" si="139"/>
        <v>3920317.48</v>
      </c>
      <c r="O890" s="4">
        <v>0</v>
      </c>
      <c r="P890" s="4">
        <f t="shared" si="140"/>
        <v>3076.93</v>
      </c>
      <c r="Q890" s="4">
        <f>'Форма 2'!K3131</f>
        <v>4728</v>
      </c>
      <c r="R890" s="53" t="s">
        <v>493</v>
      </c>
      <c r="S890" s="5">
        <v>1</v>
      </c>
    </row>
    <row r="891" spans="1:19" ht="15.75" customHeight="1" x14ac:dyDescent="0.35">
      <c r="A891" s="20">
        <f t="shared" si="138"/>
        <v>67</v>
      </c>
      <c r="B891" s="20">
        <v>2451</v>
      </c>
      <c r="C891" s="61" t="s">
        <v>147</v>
      </c>
      <c r="D891" s="60">
        <v>1967</v>
      </c>
      <c r="E891" s="60" t="s">
        <v>74</v>
      </c>
      <c r="F891" s="60" t="s">
        <v>155</v>
      </c>
      <c r="G891" s="4">
        <v>4163.6000000000004</v>
      </c>
      <c r="H891" s="4">
        <v>3730.46</v>
      </c>
      <c r="I891" s="104">
        <v>167</v>
      </c>
      <c r="J891" s="4">
        <f>'Форма 2'!I3134</f>
        <v>9916427.4600000009</v>
      </c>
      <c r="K891" s="4">
        <v>0</v>
      </c>
      <c r="L891" s="4">
        <v>0</v>
      </c>
      <c r="M891" s="4">
        <v>0</v>
      </c>
      <c r="N891" s="4">
        <f t="shared" si="139"/>
        <v>9916427.4600000009</v>
      </c>
      <c r="O891" s="4">
        <v>0</v>
      </c>
      <c r="P891" s="4">
        <f t="shared" si="140"/>
        <v>2658.23</v>
      </c>
      <c r="Q891" s="4">
        <f>'Форма 2'!K3134</f>
        <v>3242</v>
      </c>
      <c r="R891" s="53" t="s">
        <v>493</v>
      </c>
      <c r="S891" s="5">
        <v>1</v>
      </c>
    </row>
    <row r="892" spans="1:19" ht="15.75" customHeight="1" x14ac:dyDescent="0.35">
      <c r="A892" s="20">
        <f t="shared" si="138"/>
        <v>68</v>
      </c>
      <c r="B892" s="20">
        <v>2452</v>
      </c>
      <c r="C892" s="61" t="s">
        <v>148</v>
      </c>
      <c r="D892" s="60">
        <v>1960</v>
      </c>
      <c r="E892" s="60" t="s">
        <v>74</v>
      </c>
      <c r="F892" s="60" t="s">
        <v>155</v>
      </c>
      <c r="G892" s="4">
        <f>2542.6+589.5</f>
        <v>3132.1</v>
      </c>
      <c r="H892" s="4">
        <v>2542.6</v>
      </c>
      <c r="I892" s="104">
        <v>121</v>
      </c>
      <c r="J892" s="4">
        <f>'Форма 2'!I3137</f>
        <v>12021412.800000001</v>
      </c>
      <c r="K892" s="4">
        <v>0</v>
      </c>
      <c r="L892" s="4">
        <v>0</v>
      </c>
      <c r="M892" s="4">
        <v>0</v>
      </c>
      <c r="N892" s="4">
        <f t="shared" si="139"/>
        <v>12021412.800000001</v>
      </c>
      <c r="O892" s="4">
        <v>0</v>
      </c>
      <c r="P892" s="4">
        <f t="shared" si="140"/>
        <v>4728</v>
      </c>
      <c r="Q892" s="4">
        <f>'Форма 2'!K3137</f>
        <v>4728</v>
      </c>
      <c r="R892" s="53" t="s">
        <v>493</v>
      </c>
      <c r="S892" s="5">
        <v>1</v>
      </c>
    </row>
    <row r="893" spans="1:19" ht="15.75" customHeight="1" x14ac:dyDescent="0.35">
      <c r="A893" s="20">
        <f t="shared" si="138"/>
        <v>69</v>
      </c>
      <c r="B893" s="20">
        <v>2315</v>
      </c>
      <c r="C893" s="61" t="s">
        <v>149</v>
      </c>
      <c r="D893" s="60">
        <v>1960</v>
      </c>
      <c r="E893" s="60" t="s">
        <v>74</v>
      </c>
      <c r="F893" s="60" t="s">
        <v>155</v>
      </c>
      <c r="G893" s="4">
        <v>723.5</v>
      </c>
      <c r="H893" s="4">
        <v>669.5</v>
      </c>
      <c r="I893" s="104">
        <v>31</v>
      </c>
      <c r="J893" s="4">
        <f>'Форма 2'!I3140</f>
        <v>3897204.46</v>
      </c>
      <c r="K893" s="4">
        <v>0</v>
      </c>
      <c r="L893" s="4">
        <v>0</v>
      </c>
      <c r="M893" s="4">
        <v>0</v>
      </c>
      <c r="N893" s="4">
        <f t="shared" si="139"/>
        <v>3897204.46</v>
      </c>
      <c r="O893" s="4">
        <v>0</v>
      </c>
      <c r="P893" s="4">
        <f t="shared" si="140"/>
        <v>5821.07</v>
      </c>
      <c r="Q893" s="4">
        <f>'Форма 2'!K3140</f>
        <v>7066</v>
      </c>
      <c r="R893" s="53" t="s">
        <v>493</v>
      </c>
      <c r="S893" s="5">
        <v>1</v>
      </c>
    </row>
    <row r="894" spans="1:19" x14ac:dyDescent="0.35">
      <c r="A894" s="20">
        <f t="shared" si="138"/>
        <v>70</v>
      </c>
      <c r="B894" s="20">
        <v>2911</v>
      </c>
      <c r="C894" s="61" t="s">
        <v>426</v>
      </c>
      <c r="D894" s="60">
        <v>1900</v>
      </c>
      <c r="E894" s="60" t="s">
        <v>74</v>
      </c>
      <c r="F894" s="60" t="s">
        <v>481</v>
      </c>
      <c r="G894" s="4">
        <v>208.24</v>
      </c>
      <c r="H894" s="4">
        <v>170.5</v>
      </c>
      <c r="I894" s="19">
        <v>9</v>
      </c>
      <c r="J894" s="4">
        <f>'Форма 2'!I3143</f>
        <v>1255529.47</v>
      </c>
      <c r="K894" s="4">
        <v>0</v>
      </c>
      <c r="L894" s="4">
        <v>0</v>
      </c>
      <c r="M894" s="4">
        <v>0</v>
      </c>
      <c r="N894" s="4">
        <f t="shared" si="139"/>
        <v>1255529.47</v>
      </c>
      <c r="O894" s="4">
        <v>0</v>
      </c>
      <c r="P894" s="4">
        <f t="shared" si="140"/>
        <v>7363.81</v>
      </c>
      <c r="Q894" s="4">
        <f>'Форма 2'!K3143</f>
        <v>12142</v>
      </c>
      <c r="R894" s="53" t="s">
        <v>493</v>
      </c>
      <c r="S894" s="5">
        <v>1</v>
      </c>
    </row>
    <row r="895" spans="1:19" ht="15.75" customHeight="1" x14ac:dyDescent="0.35">
      <c r="A895" s="20">
        <f>A894+1</f>
        <v>71</v>
      </c>
      <c r="B895" s="20">
        <v>2482</v>
      </c>
      <c r="C895" s="61" t="s">
        <v>150</v>
      </c>
      <c r="D895" s="60">
        <v>1953</v>
      </c>
      <c r="E895" s="60" t="s">
        <v>74</v>
      </c>
      <c r="F895" s="60" t="s">
        <v>155</v>
      </c>
      <c r="G895" s="4">
        <f>949.1+288</f>
        <v>1237.0999999999999</v>
      </c>
      <c r="H895" s="4">
        <v>949.1</v>
      </c>
      <c r="I895" s="104">
        <v>55</v>
      </c>
      <c r="J895" s="4">
        <f>'Форма 2'!I3146</f>
        <v>4487344.8</v>
      </c>
      <c r="K895" s="4">
        <v>0</v>
      </c>
      <c r="L895" s="4">
        <v>0</v>
      </c>
      <c r="M895" s="4">
        <v>0</v>
      </c>
      <c r="N895" s="4">
        <f t="shared" si="139"/>
        <v>4487344.8</v>
      </c>
      <c r="O895" s="4">
        <v>0</v>
      </c>
      <c r="P895" s="4">
        <f t="shared" si="140"/>
        <v>4728</v>
      </c>
      <c r="Q895" s="4">
        <f>'Форма 2'!K3146</f>
        <v>4728</v>
      </c>
      <c r="R895" s="53" t="s">
        <v>493</v>
      </c>
      <c r="S895" s="5">
        <v>1</v>
      </c>
    </row>
    <row r="896" spans="1:19" x14ac:dyDescent="0.35">
      <c r="A896" s="232" t="s">
        <v>36</v>
      </c>
      <c r="B896" s="232"/>
      <c r="C896" s="232"/>
      <c r="D896" s="18" t="s">
        <v>13</v>
      </c>
      <c r="E896" s="4" t="s">
        <v>13</v>
      </c>
      <c r="F896" s="4" t="s">
        <v>13</v>
      </c>
      <c r="G896" s="50">
        <f>G897</f>
        <v>711.71</v>
      </c>
      <c r="H896" s="50">
        <f t="shared" ref="H896:O896" si="141">H897</f>
        <v>650.34</v>
      </c>
      <c r="I896" s="56">
        <f t="shared" si="141"/>
        <v>23</v>
      </c>
      <c r="J896" s="50">
        <f t="shared" si="141"/>
        <v>3708774.72</v>
      </c>
      <c r="K896" s="50">
        <f t="shared" si="141"/>
        <v>0</v>
      </c>
      <c r="L896" s="50">
        <f t="shared" si="141"/>
        <v>0</v>
      </c>
      <c r="M896" s="50">
        <f t="shared" si="141"/>
        <v>0</v>
      </c>
      <c r="N896" s="50">
        <f t="shared" si="141"/>
        <v>3708774.72</v>
      </c>
      <c r="O896" s="50">
        <f t="shared" si="141"/>
        <v>0</v>
      </c>
      <c r="P896" s="4" t="s">
        <v>13</v>
      </c>
      <c r="Q896" s="4" t="s">
        <v>13</v>
      </c>
      <c r="R896" s="4" t="s">
        <v>13</v>
      </c>
      <c r="S896" s="19" t="s">
        <v>13</v>
      </c>
    </row>
    <row r="897" spans="1:19" ht="15.75" customHeight="1" x14ac:dyDescent="0.35">
      <c r="A897" s="65">
        <v>1</v>
      </c>
      <c r="B897" s="65">
        <v>4837</v>
      </c>
      <c r="C897" s="66" t="s">
        <v>632</v>
      </c>
      <c r="D897" s="46">
        <v>1969</v>
      </c>
      <c r="E897" s="49" t="s">
        <v>74</v>
      </c>
      <c r="F897" s="49" t="s">
        <v>155</v>
      </c>
      <c r="G897" s="50">
        <v>711.71</v>
      </c>
      <c r="H897" s="4">
        <v>650.34</v>
      </c>
      <c r="I897" s="67">
        <v>23</v>
      </c>
      <c r="J897" s="4">
        <f>'Форма 2'!I3150</f>
        <v>3708774.72</v>
      </c>
      <c r="K897" s="4">
        <v>0</v>
      </c>
      <c r="L897" s="4">
        <v>0</v>
      </c>
      <c r="M897" s="4">
        <v>0</v>
      </c>
      <c r="N897" s="4">
        <f>J897-O897</f>
        <v>3708774.72</v>
      </c>
      <c r="O897" s="4">
        <v>0</v>
      </c>
      <c r="P897" s="4">
        <f>J897/H897</f>
        <v>5702.82</v>
      </c>
      <c r="Q897" s="4">
        <f>'Форма 2'!K3150</f>
        <v>7066</v>
      </c>
      <c r="R897" s="26" t="s">
        <v>493</v>
      </c>
      <c r="S897" s="5">
        <v>1</v>
      </c>
    </row>
    <row r="898" spans="1:19" x14ac:dyDescent="0.35">
      <c r="A898" s="232" t="s">
        <v>37</v>
      </c>
      <c r="B898" s="232"/>
      <c r="C898" s="232"/>
      <c r="D898" s="18" t="s">
        <v>13</v>
      </c>
      <c r="E898" s="4" t="s">
        <v>13</v>
      </c>
      <c r="F898" s="4" t="s">
        <v>13</v>
      </c>
      <c r="G898" s="50">
        <f>G899+G900</f>
        <v>922.46</v>
      </c>
      <c r="H898" s="50">
        <f t="shared" ref="H898:O898" si="142">H899+H900</f>
        <v>816.48</v>
      </c>
      <c r="I898" s="56">
        <f t="shared" si="142"/>
        <v>46</v>
      </c>
      <c r="J898" s="50">
        <f t="shared" si="142"/>
        <v>7750028.1600000001</v>
      </c>
      <c r="K898" s="50">
        <f t="shared" si="142"/>
        <v>0</v>
      </c>
      <c r="L898" s="50">
        <f t="shared" si="142"/>
        <v>0</v>
      </c>
      <c r="M898" s="50">
        <f t="shared" si="142"/>
        <v>0</v>
      </c>
      <c r="N898" s="50">
        <f t="shared" si="142"/>
        <v>7750028.1600000001</v>
      </c>
      <c r="O898" s="50">
        <f t="shared" si="142"/>
        <v>0</v>
      </c>
      <c r="P898" s="4" t="s">
        <v>13</v>
      </c>
      <c r="Q898" s="4" t="s">
        <v>13</v>
      </c>
      <c r="R898" s="4" t="s">
        <v>13</v>
      </c>
      <c r="S898" s="19" t="s">
        <v>13</v>
      </c>
    </row>
    <row r="899" spans="1:19" x14ac:dyDescent="0.35">
      <c r="A899" s="68">
        <v>1</v>
      </c>
      <c r="B899" s="47">
        <v>7309</v>
      </c>
      <c r="C899" s="69" t="s">
        <v>594</v>
      </c>
      <c r="D899" s="60">
        <v>1975</v>
      </c>
      <c r="E899" s="60" t="s">
        <v>434</v>
      </c>
      <c r="F899" s="60" t="s">
        <v>155</v>
      </c>
      <c r="G899" s="50">
        <v>595.89</v>
      </c>
      <c r="H899" s="50">
        <v>527.49</v>
      </c>
      <c r="I899" s="56">
        <v>28</v>
      </c>
      <c r="J899" s="50">
        <f>'Форма 2'!I3154</f>
        <v>5006935.08</v>
      </c>
      <c r="K899" s="50">
        <v>0</v>
      </c>
      <c r="L899" s="50">
        <v>0</v>
      </c>
      <c r="M899" s="50">
        <v>0</v>
      </c>
      <c r="N899" s="50">
        <f>J899</f>
        <v>5006935.08</v>
      </c>
      <c r="O899" s="4">
        <v>0</v>
      </c>
      <c r="P899" s="4">
        <f>J899/H899</f>
        <v>9492</v>
      </c>
      <c r="Q899" s="4">
        <f>'Форма 2'!K3154</f>
        <v>9492</v>
      </c>
      <c r="R899" s="53" t="s">
        <v>493</v>
      </c>
      <c r="S899" s="19">
        <v>1</v>
      </c>
    </row>
    <row r="900" spans="1:19" ht="15.75" customHeight="1" x14ac:dyDescent="0.35">
      <c r="A900" s="68">
        <v>2</v>
      </c>
      <c r="B900" s="68">
        <v>7336</v>
      </c>
      <c r="C900" s="70" t="s">
        <v>593</v>
      </c>
      <c r="D900" s="71">
        <v>1941</v>
      </c>
      <c r="E900" s="60" t="s">
        <v>434</v>
      </c>
      <c r="F900" s="71" t="s">
        <v>155</v>
      </c>
      <c r="G900" s="72">
        <v>326.57</v>
      </c>
      <c r="H900" s="16">
        <v>288.99</v>
      </c>
      <c r="I900" s="73">
        <v>18</v>
      </c>
      <c r="J900" s="4">
        <f>'Форма 2'!I3159</f>
        <v>2743093.08</v>
      </c>
      <c r="K900" s="4">
        <v>0</v>
      </c>
      <c r="L900" s="4">
        <v>0</v>
      </c>
      <c r="M900" s="4">
        <v>0</v>
      </c>
      <c r="N900" s="50">
        <f>J900-O900</f>
        <v>2743093.08</v>
      </c>
      <c r="O900" s="4">
        <v>0</v>
      </c>
      <c r="P900" s="4">
        <f>J900/H900</f>
        <v>9492</v>
      </c>
      <c r="Q900" s="4">
        <f>'Форма 2'!K3159</f>
        <v>9492</v>
      </c>
      <c r="R900" s="53" t="s">
        <v>493</v>
      </c>
      <c r="S900" s="5">
        <v>1</v>
      </c>
    </row>
    <row r="901" spans="1:19" x14ac:dyDescent="0.35">
      <c r="A901" s="232" t="s">
        <v>39</v>
      </c>
      <c r="B901" s="232"/>
      <c r="C901" s="232"/>
      <c r="D901" s="18" t="s">
        <v>13</v>
      </c>
      <c r="E901" s="4" t="s">
        <v>13</v>
      </c>
      <c r="F901" s="4" t="s">
        <v>13</v>
      </c>
      <c r="G901" s="50">
        <f>G902</f>
        <v>426.2</v>
      </c>
      <c r="H901" s="50">
        <f t="shared" ref="H901:O901" si="143">H902</f>
        <v>401.2</v>
      </c>
      <c r="I901" s="56">
        <f t="shared" si="143"/>
        <v>15</v>
      </c>
      <c r="J901" s="50">
        <f t="shared" si="143"/>
        <v>2834879.2</v>
      </c>
      <c r="K901" s="50">
        <f t="shared" si="143"/>
        <v>0</v>
      </c>
      <c r="L901" s="50">
        <f t="shared" si="143"/>
        <v>0</v>
      </c>
      <c r="M901" s="50">
        <f t="shared" si="143"/>
        <v>0</v>
      </c>
      <c r="N901" s="50">
        <f t="shared" si="143"/>
        <v>2834879.2</v>
      </c>
      <c r="O901" s="50">
        <f t="shared" si="143"/>
        <v>0</v>
      </c>
      <c r="P901" s="4" t="s">
        <v>13</v>
      </c>
      <c r="Q901" s="4" t="s">
        <v>13</v>
      </c>
      <c r="R901" s="4" t="s">
        <v>13</v>
      </c>
      <c r="S901" s="19" t="s">
        <v>13</v>
      </c>
    </row>
    <row r="902" spans="1:19" ht="15.75" customHeight="1" x14ac:dyDescent="0.35">
      <c r="A902" s="65">
        <v>1</v>
      </c>
      <c r="B902" s="65">
        <v>6736</v>
      </c>
      <c r="C902" s="70" t="s">
        <v>595</v>
      </c>
      <c r="D902" s="71">
        <v>1963</v>
      </c>
      <c r="E902" s="21" t="s">
        <v>74</v>
      </c>
      <c r="F902" s="21" t="s">
        <v>155</v>
      </c>
      <c r="G902" s="72">
        <v>426.2</v>
      </c>
      <c r="H902" s="35">
        <v>401.2</v>
      </c>
      <c r="I902" s="73">
        <v>15</v>
      </c>
      <c r="J902" s="4">
        <f>'Форма 2'!I3165</f>
        <v>2834879.2</v>
      </c>
      <c r="K902" s="4">
        <v>0</v>
      </c>
      <c r="L902" s="4">
        <v>0</v>
      </c>
      <c r="M902" s="4">
        <v>0</v>
      </c>
      <c r="N902" s="4">
        <f>J902-O902</f>
        <v>2834879.2</v>
      </c>
      <c r="O902" s="4">
        <v>0</v>
      </c>
      <c r="P902" s="4">
        <f>N902/H902</f>
        <v>7066</v>
      </c>
      <c r="Q902" s="16">
        <f>'Форма 2'!K3165</f>
        <v>7066</v>
      </c>
      <c r="R902" s="26" t="s">
        <v>493</v>
      </c>
      <c r="S902" s="5">
        <v>1</v>
      </c>
    </row>
    <row r="903" spans="1:19" ht="15.75" customHeight="1" x14ac:dyDescent="0.35">
      <c r="A903" s="232" t="s">
        <v>40</v>
      </c>
      <c r="B903" s="232"/>
      <c r="C903" s="232"/>
      <c r="D903" s="18" t="s">
        <v>13</v>
      </c>
      <c r="E903" s="4" t="s">
        <v>13</v>
      </c>
      <c r="F903" s="4" t="s">
        <v>13</v>
      </c>
      <c r="G903" s="4">
        <f>SUM(G904:G910)</f>
        <v>10028.17</v>
      </c>
      <c r="H903" s="4">
        <f t="shared" ref="H903:O903" si="144">SUM(H904:H910)</f>
        <v>7755.4</v>
      </c>
      <c r="I903" s="19">
        <f t="shared" si="144"/>
        <v>267</v>
      </c>
      <c r="J903" s="4">
        <f t="shared" si="144"/>
        <v>28228556.039999999</v>
      </c>
      <c r="K903" s="4">
        <f t="shared" si="144"/>
        <v>0</v>
      </c>
      <c r="L903" s="4">
        <f t="shared" si="144"/>
        <v>0</v>
      </c>
      <c r="M903" s="4">
        <f t="shared" si="144"/>
        <v>0</v>
      </c>
      <c r="N903" s="4">
        <f t="shared" si="144"/>
        <v>28228556.039999999</v>
      </c>
      <c r="O903" s="4">
        <f t="shared" si="144"/>
        <v>0</v>
      </c>
      <c r="P903" s="4" t="s">
        <v>13</v>
      </c>
      <c r="Q903" s="4" t="s">
        <v>13</v>
      </c>
      <c r="R903" s="4" t="s">
        <v>13</v>
      </c>
      <c r="S903" s="19" t="s">
        <v>13</v>
      </c>
    </row>
    <row r="904" spans="1:19" ht="15.75" customHeight="1" x14ac:dyDescent="0.35">
      <c r="A904" s="115">
        <v>1</v>
      </c>
      <c r="B904" s="116">
        <v>5598</v>
      </c>
      <c r="C904" s="117" t="s">
        <v>597</v>
      </c>
      <c r="D904" s="118">
        <v>1958</v>
      </c>
      <c r="E904" s="49" t="s">
        <v>74</v>
      </c>
      <c r="F904" s="49" t="s">
        <v>481</v>
      </c>
      <c r="G904" s="50">
        <v>454.4</v>
      </c>
      <c r="H904" s="4">
        <v>430.4</v>
      </c>
      <c r="I904" s="67">
        <v>14</v>
      </c>
      <c r="J904" s="33">
        <f>'Форма 2'!I3169</f>
        <v>1880538.37</v>
      </c>
      <c r="K904" s="50">
        <v>0</v>
      </c>
      <c r="L904" s="50">
        <v>0</v>
      </c>
      <c r="M904" s="50">
        <v>0</v>
      </c>
      <c r="N904" s="4">
        <f t="shared" ref="N904:N909" si="145">J904-K904-L904-M904-O904</f>
        <v>1880538.37</v>
      </c>
      <c r="O904" s="50">
        <v>0</v>
      </c>
      <c r="P904" s="4">
        <f t="shared" ref="P904:P910" si="146">J904/H904</f>
        <v>4369.28</v>
      </c>
      <c r="Q904" s="33">
        <f>'Форма 2'!K3169</f>
        <v>7539</v>
      </c>
      <c r="R904" s="26" t="s">
        <v>493</v>
      </c>
      <c r="S904" s="5">
        <v>1</v>
      </c>
    </row>
    <row r="905" spans="1:19" ht="15.75" customHeight="1" x14ac:dyDescent="0.35">
      <c r="A905" s="115">
        <f t="shared" ref="A905:A910" si="147">A904+1</f>
        <v>2</v>
      </c>
      <c r="B905" s="116">
        <v>5398</v>
      </c>
      <c r="C905" s="108" t="s">
        <v>598</v>
      </c>
      <c r="D905" s="109">
        <v>1958</v>
      </c>
      <c r="E905" s="49" t="s">
        <v>74</v>
      </c>
      <c r="F905" s="49" t="s">
        <v>155</v>
      </c>
      <c r="G905" s="50">
        <v>482.6</v>
      </c>
      <c r="H905" s="4">
        <v>474.6</v>
      </c>
      <c r="I905" s="67">
        <v>15</v>
      </c>
      <c r="J905" s="33">
        <f>'Форма 2'!I3172</f>
        <v>2762081.8</v>
      </c>
      <c r="K905" s="4">
        <v>0</v>
      </c>
      <c r="L905" s="4">
        <v>0</v>
      </c>
      <c r="M905" s="4">
        <v>0</v>
      </c>
      <c r="N905" s="4">
        <f t="shared" si="145"/>
        <v>2762081.8</v>
      </c>
      <c r="O905" s="4">
        <v>0</v>
      </c>
      <c r="P905" s="4">
        <f t="shared" si="146"/>
        <v>5819.81</v>
      </c>
      <c r="Q905" s="33">
        <f>'Форма 2'!K3172</f>
        <v>7539</v>
      </c>
      <c r="R905" s="26" t="s">
        <v>493</v>
      </c>
      <c r="S905" s="5">
        <v>1</v>
      </c>
    </row>
    <row r="906" spans="1:19" ht="15.75" customHeight="1" x14ac:dyDescent="0.35">
      <c r="A906" s="115">
        <f t="shared" si="147"/>
        <v>3</v>
      </c>
      <c r="B906" s="65">
        <v>5399</v>
      </c>
      <c r="C906" s="48" t="s">
        <v>599</v>
      </c>
      <c r="D906" s="49">
        <v>1958</v>
      </c>
      <c r="E906" s="49" t="s">
        <v>74</v>
      </c>
      <c r="F906" s="49" t="s">
        <v>481</v>
      </c>
      <c r="G906" s="50">
        <v>447.2</v>
      </c>
      <c r="H906" s="4">
        <v>413</v>
      </c>
      <c r="I906" s="74">
        <v>13</v>
      </c>
      <c r="J906" s="4">
        <f>'Форма 2'!I3175</f>
        <v>1857203.67</v>
      </c>
      <c r="K906" s="4">
        <v>0</v>
      </c>
      <c r="L906" s="4">
        <v>0</v>
      </c>
      <c r="M906" s="4">
        <v>0</v>
      </c>
      <c r="N906" s="4">
        <f t="shared" si="145"/>
        <v>1857203.67</v>
      </c>
      <c r="O906" s="4">
        <v>0</v>
      </c>
      <c r="P906" s="4">
        <f t="shared" si="146"/>
        <v>4496.8599999999997</v>
      </c>
      <c r="Q906" s="4">
        <f>'Форма 2'!K3175</f>
        <v>7539</v>
      </c>
      <c r="R906" s="26" t="s">
        <v>493</v>
      </c>
      <c r="S906" s="5">
        <v>1</v>
      </c>
    </row>
    <row r="907" spans="1:19" ht="15.75" customHeight="1" x14ac:dyDescent="0.35">
      <c r="A907" s="115">
        <f t="shared" si="147"/>
        <v>4</v>
      </c>
      <c r="B907" s="116">
        <v>5412</v>
      </c>
      <c r="C907" s="108" t="s">
        <v>600</v>
      </c>
      <c r="D907" s="109">
        <v>1958</v>
      </c>
      <c r="E907" s="49" t="s">
        <v>74</v>
      </c>
      <c r="F907" s="49" t="s">
        <v>155</v>
      </c>
      <c r="G907" s="50">
        <v>462.5</v>
      </c>
      <c r="H907" s="4">
        <v>442</v>
      </c>
      <c r="I907" s="74">
        <v>30</v>
      </c>
      <c r="J907" s="33">
        <f>'Форма 2'!I3178</f>
        <v>3332238</v>
      </c>
      <c r="K907" s="4">
        <v>0</v>
      </c>
      <c r="L907" s="4">
        <v>0</v>
      </c>
      <c r="M907" s="4">
        <v>0</v>
      </c>
      <c r="N907" s="4">
        <f t="shared" si="145"/>
        <v>3332238</v>
      </c>
      <c r="O907" s="4">
        <v>0</v>
      </c>
      <c r="P907" s="4">
        <f t="shared" si="146"/>
        <v>7539</v>
      </c>
      <c r="Q907" s="33">
        <f>'Форма 2'!K3178</f>
        <v>7539</v>
      </c>
      <c r="R907" s="26" t="s">
        <v>493</v>
      </c>
      <c r="S907" s="5">
        <v>1</v>
      </c>
    </row>
    <row r="908" spans="1:19" ht="15.75" customHeight="1" x14ac:dyDescent="0.35">
      <c r="A908" s="115">
        <f t="shared" si="147"/>
        <v>5</v>
      </c>
      <c r="B908" s="116">
        <v>5423</v>
      </c>
      <c r="C908" s="108" t="s">
        <v>601</v>
      </c>
      <c r="D908" s="109">
        <v>1974</v>
      </c>
      <c r="E908" s="49" t="s">
        <v>74</v>
      </c>
      <c r="F908" s="49" t="s">
        <v>155</v>
      </c>
      <c r="G908" s="50">
        <v>4287.87</v>
      </c>
      <c r="H908" s="4">
        <v>2954.3</v>
      </c>
      <c r="I908" s="74">
        <v>95</v>
      </c>
      <c r="J908" s="33">
        <f>'Форма 2'!I3181</f>
        <v>9060838.0999999996</v>
      </c>
      <c r="K908" s="4">
        <v>0</v>
      </c>
      <c r="L908" s="4">
        <v>0</v>
      </c>
      <c r="M908" s="4">
        <v>0</v>
      </c>
      <c r="N908" s="4">
        <f t="shared" si="145"/>
        <v>9060838.0999999996</v>
      </c>
      <c r="O908" s="4">
        <v>0</v>
      </c>
      <c r="P908" s="4">
        <f t="shared" si="146"/>
        <v>3067</v>
      </c>
      <c r="Q908" s="33">
        <f>'Форма 2'!K3181</f>
        <v>3067</v>
      </c>
      <c r="R908" s="26" t="s">
        <v>493</v>
      </c>
      <c r="S908" s="5">
        <v>1</v>
      </c>
    </row>
    <row r="909" spans="1:19" x14ac:dyDescent="0.35">
      <c r="A909" s="115">
        <f t="shared" si="147"/>
        <v>6</v>
      </c>
      <c r="B909" s="116">
        <v>5488</v>
      </c>
      <c r="C909" s="108" t="s">
        <v>605</v>
      </c>
      <c r="D909" s="46">
        <v>1993</v>
      </c>
      <c r="E909" s="49" t="s">
        <v>230</v>
      </c>
      <c r="F909" s="49" t="s">
        <v>155</v>
      </c>
      <c r="G909" s="50">
        <v>2250.1999999999998</v>
      </c>
      <c r="H909" s="4">
        <v>1543.3</v>
      </c>
      <c r="I909" s="74">
        <v>50</v>
      </c>
      <c r="J909" s="33">
        <f>'Форма 2'!I3184</f>
        <v>1316434.8999999999</v>
      </c>
      <c r="K909" s="4">
        <v>0</v>
      </c>
      <c r="L909" s="4">
        <v>0</v>
      </c>
      <c r="M909" s="4">
        <v>0</v>
      </c>
      <c r="N909" s="4">
        <f t="shared" si="145"/>
        <v>1316434.8999999999</v>
      </c>
      <c r="O909" s="4">
        <v>0</v>
      </c>
      <c r="P909" s="4">
        <f t="shared" si="146"/>
        <v>853</v>
      </c>
      <c r="Q909" s="33">
        <f>'Форма 2'!K3184</f>
        <v>853</v>
      </c>
      <c r="R909" s="26" t="s">
        <v>493</v>
      </c>
      <c r="S909" s="5">
        <v>1</v>
      </c>
    </row>
    <row r="910" spans="1:19" x14ac:dyDescent="0.35">
      <c r="A910" s="115">
        <f t="shared" si="147"/>
        <v>7</v>
      </c>
      <c r="B910" s="115">
        <v>5778</v>
      </c>
      <c r="C910" s="69" t="s">
        <v>608</v>
      </c>
      <c r="D910" s="118">
        <v>1982</v>
      </c>
      <c r="E910" s="49" t="s">
        <v>74</v>
      </c>
      <c r="F910" s="49" t="s">
        <v>155</v>
      </c>
      <c r="G910" s="50">
        <v>1643.4</v>
      </c>
      <c r="H910" s="4">
        <v>1497.8</v>
      </c>
      <c r="I910" s="74">
        <v>50</v>
      </c>
      <c r="J910" s="119">
        <f>'Форма 2'!I3187</f>
        <v>8019221.2000000002</v>
      </c>
      <c r="K910" s="4">
        <v>0</v>
      </c>
      <c r="L910" s="4">
        <v>0</v>
      </c>
      <c r="M910" s="4">
        <v>0</v>
      </c>
      <c r="N910" s="4">
        <f>J910-K910-L910-M910-O910</f>
        <v>8019221.2000000002</v>
      </c>
      <c r="O910" s="119">
        <v>0</v>
      </c>
      <c r="P910" s="4">
        <f t="shared" si="146"/>
        <v>5354</v>
      </c>
      <c r="Q910" s="119">
        <f>'Форма 2'!K3187</f>
        <v>5354</v>
      </c>
      <c r="R910" s="26" t="s">
        <v>493</v>
      </c>
      <c r="S910" s="5">
        <v>1</v>
      </c>
    </row>
    <row r="911" spans="1:19" x14ac:dyDescent="0.35">
      <c r="A911" s="232" t="s">
        <v>41</v>
      </c>
      <c r="B911" s="232"/>
      <c r="C911" s="232"/>
      <c r="D911" s="18" t="s">
        <v>13</v>
      </c>
      <c r="E911" s="4" t="s">
        <v>13</v>
      </c>
      <c r="F911" s="4" t="s">
        <v>13</v>
      </c>
      <c r="G911" s="4">
        <f>G913+G912</f>
        <v>1194.4000000000001</v>
      </c>
      <c r="H911" s="4">
        <f t="shared" ref="H911:O911" si="148">H913+H912</f>
        <v>996.8</v>
      </c>
      <c r="I911" s="19">
        <f t="shared" si="148"/>
        <v>29</v>
      </c>
      <c r="J911" s="4">
        <f t="shared" si="148"/>
        <v>2549643.2999999998</v>
      </c>
      <c r="K911" s="4">
        <f t="shared" si="148"/>
        <v>0</v>
      </c>
      <c r="L911" s="4">
        <f t="shared" si="148"/>
        <v>0</v>
      </c>
      <c r="M911" s="4">
        <f t="shared" si="148"/>
        <v>0</v>
      </c>
      <c r="N911" s="4">
        <f t="shared" si="148"/>
        <v>2549643.2999999998</v>
      </c>
      <c r="O911" s="4">
        <f t="shared" si="148"/>
        <v>0</v>
      </c>
      <c r="P911" s="4" t="s">
        <v>13</v>
      </c>
      <c r="Q911" s="4" t="s">
        <v>13</v>
      </c>
      <c r="R911" s="4" t="s">
        <v>13</v>
      </c>
      <c r="S911" s="19" t="s">
        <v>13</v>
      </c>
    </row>
    <row r="912" spans="1:19" x14ac:dyDescent="0.35">
      <c r="A912" s="71">
        <v>1</v>
      </c>
      <c r="B912" s="71">
        <v>4924</v>
      </c>
      <c r="C912" s="70" t="s">
        <v>776</v>
      </c>
      <c r="D912" s="71">
        <v>1964</v>
      </c>
      <c r="E912" s="71" t="s">
        <v>777</v>
      </c>
      <c r="F912" s="71" t="s">
        <v>183</v>
      </c>
      <c r="G912" s="50">
        <v>865.5</v>
      </c>
      <c r="H912" s="50">
        <v>697.3</v>
      </c>
      <c r="I912" s="56">
        <v>7</v>
      </c>
      <c r="J912" s="50">
        <f>'Форма 2'!I3191</f>
        <v>2451706.7999999998</v>
      </c>
      <c r="K912" s="50">
        <v>0</v>
      </c>
      <c r="L912" s="50">
        <v>0</v>
      </c>
      <c r="M912" s="50">
        <v>0</v>
      </c>
      <c r="N912" s="50">
        <f>J912-O912</f>
        <v>2451706.7999999998</v>
      </c>
      <c r="O912" s="50">
        <v>0</v>
      </c>
      <c r="P912" s="50">
        <f>J912/H912</f>
        <v>3516</v>
      </c>
      <c r="Q912" s="50">
        <f>'Форма 2'!K3191</f>
        <v>3516</v>
      </c>
      <c r="R912" s="76" t="s">
        <v>493</v>
      </c>
      <c r="S912" s="5">
        <v>1</v>
      </c>
    </row>
    <row r="913" spans="1:19" ht="15.75" customHeight="1" x14ac:dyDescent="0.35">
      <c r="A913" s="71">
        <f>A912+1</f>
        <v>2</v>
      </c>
      <c r="B913" s="71">
        <v>4929</v>
      </c>
      <c r="C913" s="70" t="s">
        <v>778</v>
      </c>
      <c r="D913" s="71">
        <v>1965</v>
      </c>
      <c r="E913" s="71" t="s">
        <v>777</v>
      </c>
      <c r="F913" s="71" t="s">
        <v>152</v>
      </c>
      <c r="G913" s="50">
        <v>328.9</v>
      </c>
      <c r="H913" s="50">
        <v>299.5</v>
      </c>
      <c r="I913" s="56">
        <v>22</v>
      </c>
      <c r="J913" s="50">
        <f>'Форма 2'!I3198</f>
        <v>97936.5</v>
      </c>
      <c r="K913" s="50">
        <v>0</v>
      </c>
      <c r="L913" s="50">
        <v>0</v>
      </c>
      <c r="M913" s="50">
        <v>0</v>
      </c>
      <c r="N913" s="50">
        <f>J913-O913</f>
        <v>97936.5</v>
      </c>
      <c r="O913" s="50">
        <v>0</v>
      </c>
      <c r="P913" s="50">
        <f>J913/H913</f>
        <v>327</v>
      </c>
      <c r="Q913" s="50">
        <f>'Форма 2'!K3198</f>
        <v>327</v>
      </c>
      <c r="R913" s="76" t="s">
        <v>493</v>
      </c>
      <c r="S913" s="5">
        <v>1</v>
      </c>
    </row>
    <row r="914" spans="1:19" x14ac:dyDescent="0.35">
      <c r="A914" s="232" t="s">
        <v>53</v>
      </c>
      <c r="B914" s="232"/>
      <c r="C914" s="232"/>
      <c r="D914" s="18" t="s">
        <v>13</v>
      </c>
      <c r="E914" s="4" t="s">
        <v>13</v>
      </c>
      <c r="F914" s="4" t="s">
        <v>13</v>
      </c>
      <c r="G914" s="4">
        <f>G915</f>
        <v>441</v>
      </c>
      <c r="H914" s="4">
        <f t="shared" ref="H914:O914" si="149">H915</f>
        <v>411.9</v>
      </c>
      <c r="I914" s="19">
        <f t="shared" si="149"/>
        <v>15</v>
      </c>
      <c r="J914" s="4">
        <f t="shared" si="149"/>
        <v>3105314.1</v>
      </c>
      <c r="K914" s="4">
        <f t="shared" si="149"/>
        <v>0</v>
      </c>
      <c r="L914" s="4">
        <f t="shared" si="149"/>
        <v>0</v>
      </c>
      <c r="M914" s="4">
        <f t="shared" si="149"/>
        <v>0</v>
      </c>
      <c r="N914" s="4">
        <f t="shared" si="149"/>
        <v>3105314.1</v>
      </c>
      <c r="O914" s="4">
        <f t="shared" si="149"/>
        <v>0</v>
      </c>
      <c r="P914" s="4" t="s">
        <v>13</v>
      </c>
      <c r="Q914" s="4" t="s">
        <v>13</v>
      </c>
      <c r="R914" s="4" t="s">
        <v>13</v>
      </c>
      <c r="S914" s="19" t="s">
        <v>13</v>
      </c>
    </row>
    <row r="915" spans="1:19" x14ac:dyDescent="0.35">
      <c r="A915" s="71">
        <v>1</v>
      </c>
      <c r="B915" s="77">
        <v>6812</v>
      </c>
      <c r="C915" s="78" t="s">
        <v>609</v>
      </c>
      <c r="D915" s="71">
        <v>1955</v>
      </c>
      <c r="E915" s="21" t="s">
        <v>74</v>
      </c>
      <c r="F915" s="21" t="s">
        <v>155</v>
      </c>
      <c r="G915" s="72">
        <v>441</v>
      </c>
      <c r="H915" s="16">
        <v>411.9</v>
      </c>
      <c r="I915" s="73">
        <v>15</v>
      </c>
      <c r="J915" s="33">
        <f>'Форма 2'!I3202</f>
        <v>3105314.1</v>
      </c>
      <c r="K915" s="16">
        <f>K916</f>
        <v>0</v>
      </c>
      <c r="L915" s="16">
        <f>L916</f>
        <v>0</v>
      </c>
      <c r="M915" s="16">
        <f>M916</f>
        <v>0</v>
      </c>
      <c r="N915" s="16">
        <f>J915-L915-M915-O915</f>
        <v>3105314.1</v>
      </c>
      <c r="O915" s="16">
        <f>O916</f>
        <v>0</v>
      </c>
      <c r="P915" s="37">
        <f>J915/H915</f>
        <v>7539</v>
      </c>
      <c r="Q915" s="37">
        <f>'Форма 2'!K3202</f>
        <v>7539</v>
      </c>
      <c r="R915" s="26" t="s">
        <v>493</v>
      </c>
      <c r="S915" s="5">
        <v>1</v>
      </c>
    </row>
    <row r="916" spans="1:19" x14ac:dyDescent="0.35">
      <c r="A916" s="231" t="s">
        <v>43</v>
      </c>
      <c r="B916" s="231"/>
      <c r="C916" s="231"/>
      <c r="D916" s="18" t="s">
        <v>13</v>
      </c>
      <c r="E916" s="4" t="s">
        <v>13</v>
      </c>
      <c r="F916" s="4" t="s">
        <v>13</v>
      </c>
      <c r="G916" s="37">
        <f>G919+G917+G918</f>
        <v>1508.5</v>
      </c>
      <c r="H916" s="37">
        <f t="shared" ref="H916:O916" si="150">H919+H917+H918</f>
        <v>1191</v>
      </c>
      <c r="I916" s="37">
        <f t="shared" si="150"/>
        <v>34</v>
      </c>
      <c r="J916" s="37">
        <f t="shared" si="150"/>
        <v>4526974.4000000004</v>
      </c>
      <c r="K916" s="37">
        <f t="shared" si="150"/>
        <v>0</v>
      </c>
      <c r="L916" s="37">
        <f t="shared" si="150"/>
        <v>0</v>
      </c>
      <c r="M916" s="37">
        <f t="shared" si="150"/>
        <v>0</v>
      </c>
      <c r="N916" s="37">
        <f t="shared" si="150"/>
        <v>4526974.4000000004</v>
      </c>
      <c r="O916" s="37">
        <f t="shared" si="150"/>
        <v>0</v>
      </c>
      <c r="P916" s="4" t="s">
        <v>13</v>
      </c>
      <c r="Q916" s="4" t="s">
        <v>13</v>
      </c>
      <c r="R916" s="4" t="s">
        <v>13</v>
      </c>
      <c r="S916" s="19" t="s">
        <v>13</v>
      </c>
    </row>
    <row r="917" spans="1:19" ht="15.75" customHeight="1" x14ac:dyDescent="0.35">
      <c r="A917" s="68">
        <v>1</v>
      </c>
      <c r="B917" s="68">
        <v>4934</v>
      </c>
      <c r="C917" s="69" t="s">
        <v>780</v>
      </c>
      <c r="D917" s="49">
        <v>1965</v>
      </c>
      <c r="E917" s="46" t="s">
        <v>596</v>
      </c>
      <c r="F917" s="46" t="s">
        <v>183</v>
      </c>
      <c r="G917" s="50">
        <v>421</v>
      </c>
      <c r="H917" s="50">
        <v>378</v>
      </c>
      <c r="I917" s="56">
        <v>14</v>
      </c>
      <c r="J917" s="50">
        <f>'Форма 2'!I3206</f>
        <v>1329048</v>
      </c>
      <c r="K917" s="50">
        <v>0</v>
      </c>
      <c r="L917" s="50">
        <v>0</v>
      </c>
      <c r="M917" s="50">
        <v>0</v>
      </c>
      <c r="N917" s="50">
        <f>J917-K917-L917-M917-O917</f>
        <v>1329048</v>
      </c>
      <c r="O917" s="50">
        <v>0</v>
      </c>
      <c r="P917" s="4">
        <f>J917/H917</f>
        <v>3516</v>
      </c>
      <c r="Q917" s="4">
        <f>'Форма 2'!K3206</f>
        <v>3516</v>
      </c>
      <c r="R917" s="4" t="s">
        <v>493</v>
      </c>
      <c r="S917" s="19">
        <v>1</v>
      </c>
    </row>
    <row r="918" spans="1:19" x14ac:dyDescent="0.35">
      <c r="A918" s="68">
        <v>2</v>
      </c>
      <c r="B918" s="68">
        <v>4966</v>
      </c>
      <c r="C918" s="69" t="s">
        <v>781</v>
      </c>
      <c r="D918" s="49">
        <v>1968</v>
      </c>
      <c r="E918" s="49" t="s">
        <v>782</v>
      </c>
      <c r="F918" s="46" t="s">
        <v>183</v>
      </c>
      <c r="G918" s="50">
        <v>402</v>
      </c>
      <c r="H918" s="50">
        <v>376.4</v>
      </c>
      <c r="I918" s="56">
        <v>10</v>
      </c>
      <c r="J918" s="50">
        <f>'Форма 2'!I3213</f>
        <v>219441.2</v>
      </c>
      <c r="K918" s="50">
        <v>0</v>
      </c>
      <c r="L918" s="50">
        <v>0</v>
      </c>
      <c r="M918" s="50">
        <v>0</v>
      </c>
      <c r="N918" s="50">
        <f>J918-K918-L918-M918-O918</f>
        <v>219441.2</v>
      </c>
      <c r="O918" s="50">
        <v>0</v>
      </c>
      <c r="P918" s="4">
        <f>J918/H918</f>
        <v>583</v>
      </c>
      <c r="Q918" s="4">
        <f>'Форма 2'!K3213</f>
        <v>583</v>
      </c>
      <c r="R918" s="4" t="s">
        <v>493</v>
      </c>
      <c r="S918" s="19">
        <v>1</v>
      </c>
    </row>
    <row r="919" spans="1:19" ht="15.75" customHeight="1" x14ac:dyDescent="0.35">
      <c r="A919" s="68">
        <f>A918+1</f>
        <v>3</v>
      </c>
      <c r="B919" s="79">
        <v>4971</v>
      </c>
      <c r="C919" s="80" t="s">
        <v>611</v>
      </c>
      <c r="D919" s="49">
        <v>1967</v>
      </c>
      <c r="E919" s="49" t="s">
        <v>434</v>
      </c>
      <c r="F919" s="49" t="s">
        <v>155</v>
      </c>
      <c r="G919" s="50">
        <v>685.5</v>
      </c>
      <c r="H919" s="50">
        <v>436.6</v>
      </c>
      <c r="I919" s="56">
        <v>10</v>
      </c>
      <c r="J919" s="4">
        <f>'Форма 2'!I3217</f>
        <v>2978485.2</v>
      </c>
      <c r="K919" s="4">
        <v>0</v>
      </c>
      <c r="L919" s="4">
        <v>0</v>
      </c>
      <c r="M919" s="4">
        <v>0</v>
      </c>
      <c r="N919" s="50">
        <f>J919-K919-L919-M919-O919</f>
        <v>2978485.2</v>
      </c>
      <c r="O919" s="4">
        <v>0</v>
      </c>
      <c r="P919" s="4">
        <f>J919/H919</f>
        <v>6822</v>
      </c>
      <c r="Q919" s="4">
        <f>'Форма 2'!K3217</f>
        <v>6822</v>
      </c>
      <c r="R919" s="26" t="s">
        <v>493</v>
      </c>
      <c r="S919" s="5">
        <v>1</v>
      </c>
    </row>
    <row r="920" spans="1:19" ht="15.75" customHeight="1" x14ac:dyDescent="0.35">
      <c r="A920" s="228" t="s">
        <v>56</v>
      </c>
      <c r="B920" s="228"/>
      <c r="C920" s="228"/>
      <c r="D920" s="18" t="s">
        <v>13</v>
      </c>
      <c r="E920" s="4" t="s">
        <v>13</v>
      </c>
      <c r="F920" s="4" t="s">
        <v>13</v>
      </c>
      <c r="G920" s="50">
        <f>G921</f>
        <v>1636.05</v>
      </c>
      <c r="H920" s="50">
        <f t="shared" ref="H920:O920" si="151">H921</f>
        <v>1541.55</v>
      </c>
      <c r="I920" s="56">
        <f t="shared" si="151"/>
        <v>57</v>
      </c>
      <c r="J920" s="50">
        <f t="shared" si="151"/>
        <v>5749632.2400000002</v>
      </c>
      <c r="K920" s="50">
        <f t="shared" si="151"/>
        <v>0</v>
      </c>
      <c r="L920" s="50">
        <f t="shared" si="151"/>
        <v>0</v>
      </c>
      <c r="M920" s="50">
        <f t="shared" si="151"/>
        <v>0</v>
      </c>
      <c r="N920" s="50">
        <f t="shared" si="151"/>
        <v>5749632.2400000002</v>
      </c>
      <c r="O920" s="50">
        <f t="shared" si="151"/>
        <v>0</v>
      </c>
      <c r="P920" s="4" t="s">
        <v>13</v>
      </c>
      <c r="Q920" s="4" t="s">
        <v>13</v>
      </c>
      <c r="R920" s="4" t="s">
        <v>13</v>
      </c>
      <c r="S920" s="19" t="s">
        <v>13</v>
      </c>
    </row>
    <row r="921" spans="1:19" ht="15.75" customHeight="1" x14ac:dyDescent="0.35">
      <c r="A921" s="65">
        <v>1</v>
      </c>
      <c r="B921" s="65">
        <v>7383</v>
      </c>
      <c r="C921" s="48" t="s">
        <v>463</v>
      </c>
      <c r="D921" s="49">
        <v>1982</v>
      </c>
      <c r="E921" s="49" t="s">
        <v>74</v>
      </c>
      <c r="F921" s="49" t="s">
        <v>155</v>
      </c>
      <c r="G921" s="50">
        <v>1636.05</v>
      </c>
      <c r="H921" s="4">
        <v>1541.55</v>
      </c>
      <c r="I921" s="56">
        <v>57</v>
      </c>
      <c r="J921" s="4">
        <f>'Форма 2'!I3223</f>
        <v>5749632.2400000002</v>
      </c>
      <c r="K921" s="4">
        <v>0</v>
      </c>
      <c r="L921" s="4">
        <v>0</v>
      </c>
      <c r="M921" s="4">
        <v>0</v>
      </c>
      <c r="N921" s="4">
        <f>J921-K921-L921-M921-O921</f>
        <v>5749632.2400000002</v>
      </c>
      <c r="O921" s="4">
        <v>0</v>
      </c>
      <c r="P921" s="4">
        <f>J921/H921</f>
        <v>3729.77</v>
      </c>
      <c r="Q921" s="4">
        <f>'Форма 2'!K3223</f>
        <v>4728</v>
      </c>
      <c r="R921" s="26" t="s">
        <v>493</v>
      </c>
      <c r="S921" s="5">
        <v>1</v>
      </c>
    </row>
    <row r="922" spans="1:19" ht="15.75" customHeight="1" x14ac:dyDescent="0.35">
      <c r="A922" s="232" t="s">
        <v>54</v>
      </c>
      <c r="B922" s="232"/>
      <c r="C922" s="232"/>
      <c r="D922" s="18" t="s">
        <v>13</v>
      </c>
      <c r="E922" s="4" t="s">
        <v>13</v>
      </c>
      <c r="F922" s="4" t="s">
        <v>13</v>
      </c>
      <c r="G922" s="4">
        <f>SUM(G923:G927)</f>
        <v>7792.31</v>
      </c>
      <c r="H922" s="4">
        <f t="shared" ref="H922:O922" si="152">SUM(H923:H927)</f>
        <v>7027.88</v>
      </c>
      <c r="I922" s="19">
        <f t="shared" si="152"/>
        <v>357</v>
      </c>
      <c r="J922" s="4">
        <f t="shared" si="152"/>
        <v>31563143.960000001</v>
      </c>
      <c r="K922" s="4">
        <f t="shared" si="152"/>
        <v>0</v>
      </c>
      <c r="L922" s="4">
        <f t="shared" si="152"/>
        <v>0</v>
      </c>
      <c r="M922" s="4">
        <f t="shared" si="152"/>
        <v>0</v>
      </c>
      <c r="N922" s="4">
        <f t="shared" si="152"/>
        <v>31563143.960000001</v>
      </c>
      <c r="O922" s="4">
        <f t="shared" si="152"/>
        <v>0</v>
      </c>
      <c r="P922" s="4" t="s">
        <v>13</v>
      </c>
      <c r="Q922" s="4" t="s">
        <v>13</v>
      </c>
      <c r="R922" s="4" t="s">
        <v>13</v>
      </c>
      <c r="S922" s="19" t="s">
        <v>13</v>
      </c>
    </row>
    <row r="923" spans="1:19" ht="15.75" customHeight="1" x14ac:dyDescent="0.35">
      <c r="A923" s="58">
        <v>1</v>
      </c>
      <c r="B923" s="81">
        <v>6870</v>
      </c>
      <c r="C923" s="69" t="s">
        <v>612</v>
      </c>
      <c r="D923" s="49">
        <v>1983</v>
      </c>
      <c r="E923" s="112" t="s">
        <v>74</v>
      </c>
      <c r="F923" s="49" t="s">
        <v>155</v>
      </c>
      <c r="G923" s="50">
        <v>2678.9</v>
      </c>
      <c r="H923" s="4">
        <v>2436</v>
      </c>
      <c r="I923" s="56">
        <v>139</v>
      </c>
      <c r="J923" s="52">
        <f>'Форма 2'!I3227</f>
        <v>7897512</v>
      </c>
      <c r="K923" s="52">
        <v>0</v>
      </c>
      <c r="L923" s="52">
        <v>0</v>
      </c>
      <c r="M923" s="52">
        <v>0</v>
      </c>
      <c r="N923" s="52">
        <f>J923-K923-L923-M923-O923</f>
        <v>7897512</v>
      </c>
      <c r="O923" s="4">
        <f>0</f>
        <v>0</v>
      </c>
      <c r="P923" s="4">
        <f>J923/H923</f>
        <v>3242</v>
      </c>
      <c r="Q923" s="4">
        <f>'Форма 2'!K3227</f>
        <v>3242</v>
      </c>
      <c r="R923" s="82" t="s">
        <v>493</v>
      </c>
      <c r="S923" s="5">
        <v>1</v>
      </c>
    </row>
    <row r="924" spans="1:19" x14ac:dyDescent="0.35">
      <c r="A924" s="65">
        <f>A923+1</f>
        <v>2</v>
      </c>
      <c r="B924" s="81">
        <v>6890</v>
      </c>
      <c r="C924" s="83" t="s">
        <v>762</v>
      </c>
      <c r="D924" s="49">
        <v>1985</v>
      </c>
      <c r="E924" s="49" t="s">
        <v>434</v>
      </c>
      <c r="F924" s="49" t="s">
        <v>155</v>
      </c>
      <c r="G924" s="50">
        <v>2952.38</v>
      </c>
      <c r="H924" s="4">
        <v>2688.38</v>
      </c>
      <c r="I924" s="56">
        <v>96</v>
      </c>
      <c r="J924" s="4">
        <f>'Форма 2'!I3230</f>
        <v>14823420.960000001</v>
      </c>
      <c r="K924" s="52">
        <v>0</v>
      </c>
      <c r="L924" s="52">
        <v>0</v>
      </c>
      <c r="M924" s="52">
        <v>0</v>
      </c>
      <c r="N924" s="52">
        <f>J924-K924-L924-M924-O924</f>
        <v>14823420.960000001</v>
      </c>
      <c r="O924" s="4">
        <f>0</f>
        <v>0</v>
      </c>
      <c r="P924" s="4">
        <f>J924/H924</f>
        <v>5513.89</v>
      </c>
      <c r="Q924" s="4">
        <f>'Форма 2'!K3230</f>
        <v>5592</v>
      </c>
      <c r="R924" s="82" t="s">
        <v>493</v>
      </c>
      <c r="S924" s="5">
        <v>1</v>
      </c>
    </row>
    <row r="925" spans="1:19" ht="15.75" customHeight="1" x14ac:dyDescent="0.35">
      <c r="A925" s="65">
        <f>A924+1</f>
        <v>3</v>
      </c>
      <c r="B925" s="88">
        <v>6834</v>
      </c>
      <c r="C925" s="83" t="s">
        <v>616</v>
      </c>
      <c r="D925" s="49">
        <v>1985</v>
      </c>
      <c r="E925" s="112" t="s">
        <v>74</v>
      </c>
      <c r="F925" s="49" t="s">
        <v>155</v>
      </c>
      <c r="G925" s="50">
        <v>382.7</v>
      </c>
      <c r="H925" s="4">
        <v>341.7</v>
      </c>
      <c r="I925" s="56">
        <v>28</v>
      </c>
      <c r="J925" s="4">
        <f>'Форма 2'!I3235</f>
        <v>2414452.2000000002</v>
      </c>
      <c r="K925" s="52">
        <v>0</v>
      </c>
      <c r="L925" s="52">
        <v>0</v>
      </c>
      <c r="M925" s="52">
        <v>0</v>
      </c>
      <c r="N925" s="52">
        <f>J925-K925-L925-M925-O925</f>
        <v>2414452.2000000002</v>
      </c>
      <c r="O925" s="4">
        <f>0</f>
        <v>0</v>
      </c>
      <c r="P925" s="4">
        <f>J925/H925</f>
        <v>7066</v>
      </c>
      <c r="Q925" s="4">
        <f>'Форма 2'!K3235</f>
        <v>7066</v>
      </c>
      <c r="R925" s="82" t="s">
        <v>493</v>
      </c>
      <c r="S925" s="5">
        <v>1</v>
      </c>
    </row>
    <row r="926" spans="1:19" x14ac:dyDescent="0.35">
      <c r="A926" s="65">
        <f>A925+1</f>
        <v>4</v>
      </c>
      <c r="B926" s="88">
        <v>6835</v>
      </c>
      <c r="C926" s="83" t="s">
        <v>617</v>
      </c>
      <c r="D926" s="49">
        <v>1992</v>
      </c>
      <c r="E926" s="112" t="s">
        <v>74</v>
      </c>
      <c r="F926" s="49" t="s">
        <v>155</v>
      </c>
      <c r="G926" s="50">
        <v>396.8</v>
      </c>
      <c r="H926" s="4">
        <v>356.8</v>
      </c>
      <c r="I926" s="56">
        <v>26</v>
      </c>
      <c r="J926" s="4">
        <f>'Форма 2'!I3238</f>
        <v>2521148.7999999998</v>
      </c>
      <c r="K926" s="52">
        <v>0</v>
      </c>
      <c r="L926" s="52">
        <v>0</v>
      </c>
      <c r="M926" s="52">
        <v>0</v>
      </c>
      <c r="N926" s="52">
        <f>J926-K926-L926-M926-O926</f>
        <v>2521148.7999999998</v>
      </c>
      <c r="O926" s="4">
        <f>0</f>
        <v>0</v>
      </c>
      <c r="P926" s="4">
        <f>J926/H926</f>
        <v>7066</v>
      </c>
      <c r="Q926" s="4">
        <f>'Форма 2'!K3238</f>
        <v>7066</v>
      </c>
      <c r="R926" s="82" t="s">
        <v>493</v>
      </c>
      <c r="S926" s="5">
        <v>1</v>
      </c>
    </row>
    <row r="927" spans="1:19" x14ac:dyDescent="0.35">
      <c r="A927" s="65">
        <f>A926+1</f>
        <v>5</v>
      </c>
      <c r="B927" s="14">
        <v>7095</v>
      </c>
      <c r="C927" s="83" t="s">
        <v>618</v>
      </c>
      <c r="D927" s="49">
        <v>1989</v>
      </c>
      <c r="E927" s="112" t="s">
        <v>74</v>
      </c>
      <c r="F927" s="49" t="s">
        <v>155</v>
      </c>
      <c r="G927" s="50">
        <v>1381.53</v>
      </c>
      <c r="H927" s="4">
        <v>1205</v>
      </c>
      <c r="I927" s="56">
        <v>68</v>
      </c>
      <c r="J927" s="4">
        <f>'Форма 2'!I3241</f>
        <v>3906610</v>
      </c>
      <c r="K927" s="52">
        <v>0</v>
      </c>
      <c r="L927" s="52">
        <v>0</v>
      </c>
      <c r="M927" s="52">
        <v>0</v>
      </c>
      <c r="N927" s="52">
        <f>J927-K927-L927-M927-O927</f>
        <v>3906610</v>
      </c>
      <c r="O927" s="4">
        <f>0</f>
        <v>0</v>
      </c>
      <c r="P927" s="4">
        <f>J927/H927</f>
        <v>3242</v>
      </c>
      <c r="Q927" s="4">
        <f>'Форма 2'!K3241</f>
        <v>3242</v>
      </c>
      <c r="R927" s="82" t="s">
        <v>493</v>
      </c>
      <c r="S927" s="5">
        <v>1</v>
      </c>
    </row>
    <row r="928" spans="1:19" ht="15.75" customHeight="1" x14ac:dyDescent="0.35">
      <c r="A928" s="228" t="s">
        <v>55</v>
      </c>
      <c r="B928" s="228"/>
      <c r="C928" s="228"/>
      <c r="D928" s="18" t="s">
        <v>13</v>
      </c>
      <c r="E928" s="4" t="s">
        <v>13</v>
      </c>
      <c r="F928" s="4" t="s">
        <v>13</v>
      </c>
      <c r="G928" s="50">
        <f>G930+G929</f>
        <v>875.9</v>
      </c>
      <c r="H928" s="50">
        <f t="shared" ref="H928:O928" si="153">H930+H929</f>
        <v>794</v>
      </c>
      <c r="I928" s="50">
        <f t="shared" si="153"/>
        <v>37</v>
      </c>
      <c r="J928" s="50">
        <f t="shared" si="153"/>
        <v>6180041.0999999996</v>
      </c>
      <c r="K928" s="50">
        <f t="shared" si="153"/>
        <v>0</v>
      </c>
      <c r="L928" s="50">
        <f t="shared" si="153"/>
        <v>0</v>
      </c>
      <c r="M928" s="50">
        <f t="shared" si="153"/>
        <v>0</v>
      </c>
      <c r="N928" s="50">
        <f t="shared" si="153"/>
        <v>6180041.0999999996</v>
      </c>
      <c r="O928" s="50">
        <f t="shared" si="153"/>
        <v>0</v>
      </c>
      <c r="P928" s="4" t="s">
        <v>13</v>
      </c>
      <c r="Q928" s="4" t="s">
        <v>13</v>
      </c>
      <c r="R928" s="4" t="s">
        <v>13</v>
      </c>
      <c r="S928" s="19" t="s">
        <v>13</v>
      </c>
    </row>
    <row r="929" spans="1:20" ht="15.75" customHeight="1" x14ac:dyDescent="0.35">
      <c r="A929" s="65">
        <v>1</v>
      </c>
      <c r="B929" s="65">
        <v>7161</v>
      </c>
      <c r="C929" s="48" t="s">
        <v>620</v>
      </c>
      <c r="D929" s="49">
        <v>1956</v>
      </c>
      <c r="E929" s="46" t="s">
        <v>74</v>
      </c>
      <c r="F929" s="46" t="s">
        <v>155</v>
      </c>
      <c r="G929" s="50">
        <v>181.5</v>
      </c>
      <c r="H929" s="4">
        <v>173.3</v>
      </c>
      <c r="I929" s="56">
        <v>10</v>
      </c>
      <c r="J929" s="4">
        <f>'Форма 2'!I3245</f>
        <v>1794174.9</v>
      </c>
      <c r="K929" s="4">
        <v>0</v>
      </c>
      <c r="L929" s="4">
        <v>0</v>
      </c>
      <c r="M929" s="4">
        <v>0</v>
      </c>
      <c r="N929" s="4">
        <f>J929-O929</f>
        <v>1794174.9</v>
      </c>
      <c r="O929" s="4">
        <v>0</v>
      </c>
      <c r="P929" s="4">
        <f>J929/H929</f>
        <v>10353</v>
      </c>
      <c r="Q929" s="4">
        <f>'Форма 2'!K3245</f>
        <v>10353</v>
      </c>
      <c r="R929" s="26" t="s">
        <v>493</v>
      </c>
      <c r="S929" s="5">
        <v>1</v>
      </c>
    </row>
    <row r="930" spans="1:20" ht="15.75" customHeight="1" x14ac:dyDescent="0.35">
      <c r="A930" s="65">
        <f>A929+1</f>
        <v>2</v>
      </c>
      <c r="B930" s="21">
        <v>7203</v>
      </c>
      <c r="C930" s="48" t="s">
        <v>622</v>
      </c>
      <c r="D930" s="49">
        <v>1965</v>
      </c>
      <c r="E930" s="49" t="s">
        <v>74</v>
      </c>
      <c r="F930" s="49" t="s">
        <v>155</v>
      </c>
      <c r="G930" s="50">
        <v>694.4</v>
      </c>
      <c r="H930" s="4">
        <v>620.70000000000005</v>
      </c>
      <c r="I930" s="56">
        <v>27</v>
      </c>
      <c r="J930" s="4">
        <f>'Форма 2'!I3248</f>
        <v>4385866.2</v>
      </c>
      <c r="K930" s="4">
        <v>0</v>
      </c>
      <c r="L930" s="4">
        <v>0</v>
      </c>
      <c r="M930" s="4">
        <v>0</v>
      </c>
      <c r="N930" s="50">
        <f>J930-O930</f>
        <v>4385866.2</v>
      </c>
      <c r="O930" s="50">
        <v>0</v>
      </c>
      <c r="P930" s="4">
        <f>J930/H930</f>
        <v>7066</v>
      </c>
      <c r="Q930" s="4">
        <f>'Форма 2'!K3248</f>
        <v>7066</v>
      </c>
      <c r="R930" s="26" t="s">
        <v>493</v>
      </c>
      <c r="S930" s="5">
        <v>1</v>
      </c>
    </row>
    <row r="931" spans="1:20" ht="15.75" customHeight="1" x14ac:dyDescent="0.35"/>
    <row r="932" spans="1:20" ht="15.75" customHeight="1" x14ac:dyDescent="0.35"/>
    <row r="933" spans="1:20" ht="15.75" customHeight="1" x14ac:dyDescent="0.35"/>
    <row r="934" spans="1:20" ht="15.75" customHeight="1" x14ac:dyDescent="0.35"/>
    <row r="935" spans="1:20" ht="15.75" customHeight="1" x14ac:dyDescent="0.35"/>
    <row r="936" spans="1:20" ht="15.75" customHeight="1" x14ac:dyDescent="0.35"/>
    <row r="937" spans="1:20" ht="15.75" customHeight="1" x14ac:dyDescent="0.35"/>
    <row r="938" spans="1:20" ht="15.75" customHeight="1" x14ac:dyDescent="0.35"/>
    <row r="939" spans="1:20" ht="15.75" customHeight="1" x14ac:dyDescent="0.35">
      <c r="T939" s="2"/>
    </row>
    <row r="940" spans="1:20" ht="15.75" customHeight="1" x14ac:dyDescent="0.35"/>
    <row r="941" spans="1:20" ht="15.75" customHeight="1" x14ac:dyDescent="0.35"/>
    <row r="942" spans="1:20" ht="15.75" customHeight="1" x14ac:dyDescent="0.35"/>
    <row r="943" spans="1:20" ht="15.75" customHeight="1" x14ac:dyDescent="0.35"/>
    <row r="944" spans="1:20" ht="15.75" customHeight="1" x14ac:dyDescent="0.35"/>
    <row r="945" ht="15.75" customHeight="1" x14ac:dyDescent="0.35"/>
    <row r="946" ht="15.75" customHeight="1" x14ac:dyDescent="0.35"/>
    <row r="947" ht="15.75" customHeight="1" x14ac:dyDescent="0.35"/>
    <row r="948" ht="15.75" customHeight="1" x14ac:dyDescent="0.35"/>
  </sheetData>
  <autoFilter ref="A8:BG930"/>
  <customSheetViews>
    <customSheetView guid="{114D0552-1D3C-4C9A-AF28-55BD1176DD7C}" scale="80" showPageBreaks="1" fitToPage="1" printArea="1" showAutoFilter="1" view="pageBreakPreview" topLeftCell="A28">
      <selection activeCell="A52" sqref="A52:IV52"/>
      <pageMargins left="0.19685039370078741" right="0.19685039370078741" top="0.78740157480314965" bottom="0.39370078740157483" header="0.31496062992125984" footer="0.31496062992125984"/>
      <printOptions horizontalCentered="1"/>
      <pageSetup paperSize="9" scale="46" fitToHeight="0" orientation="landscape" r:id="rId1"/>
      <autoFilter ref="B1:Z1"/>
    </customSheetView>
    <customSheetView guid="{CC3EEC02-30D2-4905-AE21-71EA71520321}" scale="80" showPageBreaks="1" fitToPage="1" filter="1" showAutoFilter="1" view="pageBreakPreview" topLeftCell="A97">
      <selection activeCell="U113" sqref="U113"/>
      <pageMargins left="0.19685039370078741" right="0.19685039370078741" top="0.78740157480314965" bottom="0.39370078740157483" header="0.31496062992125984" footer="0.31496062992125984"/>
      <printOptions horizontalCentered="1"/>
      <pageSetup paperSize="9" scale="44" fitToHeight="0" orientation="landscape" r:id="rId2"/>
      <autoFilter ref="B1:Y1">
        <filterColumn colId="7">
          <filters>
            <filter val="Х"/>
          </filters>
        </filterColumn>
      </autoFilter>
    </customSheetView>
    <customSheetView guid="{3511D8A4-2A8D-4563-8DF1-C381EEDBF68F}" scale="80" showPageBreaks="1" fitToPage="1" printArea="1" filter="1" showAutoFilter="1" view="pageBreakPreview">
      <selection activeCell="B4" sqref="A4:M65"/>
      <pageMargins left="0.19685039370078741" right="0.19685039370078741" top="0.78740157480314965" bottom="0.39370078740157483" header="0.31496062992125984" footer="0.31496062992125984"/>
      <printOptions horizontalCentered="1"/>
      <pageSetup paperSize="9" scale="47" fitToHeight="0" orientation="landscape" r:id="rId3"/>
      <autoFilter ref="B1:Y1">
        <filterColumn colId="7">
          <filters>
            <filter val="Х"/>
          </filters>
        </filterColumn>
      </autoFilter>
    </customSheetView>
  </customSheetViews>
  <mergeCells count="86">
    <mergeCell ref="A343:C343"/>
    <mergeCell ref="A323:C323"/>
    <mergeCell ref="A338:C338"/>
    <mergeCell ref="O1:S1"/>
    <mergeCell ref="A2:S2"/>
    <mergeCell ref="A229:C229"/>
    <mergeCell ref="A269:C269"/>
    <mergeCell ref="A272:C272"/>
    <mergeCell ref="A319:C319"/>
    <mergeCell ref="A303:C303"/>
    <mergeCell ref="A297:C297"/>
    <mergeCell ref="A291:C291"/>
    <mergeCell ref="A294:C294"/>
    <mergeCell ref="A314:C314"/>
    <mergeCell ref="A197:C197"/>
    <mergeCell ref="A4:A7"/>
    <mergeCell ref="A300:C300"/>
    <mergeCell ref="A340:C340"/>
    <mergeCell ref="A316:C316"/>
    <mergeCell ref="A11:C11"/>
    <mergeCell ref="A14:C14"/>
    <mergeCell ref="A32:C32"/>
    <mergeCell ref="A28:C28"/>
    <mergeCell ref="A102:C102"/>
    <mergeCell ref="A3:R3"/>
    <mergeCell ref="A35:C35"/>
    <mergeCell ref="A85:C85"/>
    <mergeCell ref="A263:C263"/>
    <mergeCell ref="A265:C265"/>
    <mergeCell ref="H4:H6"/>
    <mergeCell ref="G4:G6"/>
    <mergeCell ref="I4:I6"/>
    <mergeCell ref="B4:B7"/>
    <mergeCell ref="E4:E7"/>
    <mergeCell ref="F4:F7"/>
    <mergeCell ref="D4:D7"/>
    <mergeCell ref="A103:C103"/>
    <mergeCell ref="A163:C163"/>
    <mergeCell ref="A10:C10"/>
    <mergeCell ref="C4:C7"/>
    <mergeCell ref="S4:S7"/>
    <mergeCell ref="J4:O4"/>
    <mergeCell ref="K5:O5"/>
    <mergeCell ref="Q4:Q6"/>
    <mergeCell ref="P4:P6"/>
    <mergeCell ref="R4:R7"/>
    <mergeCell ref="J5:J6"/>
    <mergeCell ref="A928:C928"/>
    <mergeCell ref="A807:C807"/>
    <mergeCell ref="A896:C896"/>
    <mergeCell ref="A898:C898"/>
    <mergeCell ref="A903:C903"/>
    <mergeCell ref="A916:C916"/>
    <mergeCell ref="A914:C914"/>
    <mergeCell ref="A920:C920"/>
    <mergeCell ref="A922:C922"/>
    <mergeCell ref="A901:C901"/>
    <mergeCell ref="A854:C854"/>
    <mergeCell ref="A877:C877"/>
    <mergeCell ref="A820:C820"/>
    <mergeCell ref="A821:C821"/>
    <mergeCell ref="A842:C842"/>
    <mergeCell ref="A911:C911"/>
    <mergeCell ref="A754:C754"/>
    <mergeCell ref="A729:C729"/>
    <mergeCell ref="A731:C731"/>
    <mergeCell ref="A735:C735"/>
    <mergeCell ref="A738:C738"/>
    <mergeCell ref="A704:C704"/>
    <mergeCell ref="A707:C707"/>
    <mergeCell ref="A417:C417"/>
    <mergeCell ref="A700:C700"/>
    <mergeCell ref="A439:C439"/>
    <mergeCell ref="A698:C698"/>
    <mergeCell ref="A566:C566"/>
    <mergeCell ref="A651:C651"/>
    <mergeCell ref="A440:C440"/>
    <mergeCell ref="A517:C517"/>
    <mergeCell ref="A776:C776"/>
    <mergeCell ref="A756:C756"/>
    <mergeCell ref="A761:C761"/>
    <mergeCell ref="A764:C764"/>
    <mergeCell ref="A771:C771"/>
    <mergeCell ref="A769:C769"/>
    <mergeCell ref="A760:C760"/>
    <mergeCell ref="A773:C773"/>
  </mergeCells>
  <dataValidations disablePrompts="1" count="1">
    <dataValidation type="decimal" allowBlank="1" showInputMessage="1" showErrorMessage="1" sqref="WJA375:WJA376 WSW375:WSW376 GK375:GK376 QG375:QG376 AAC375:AAC376 AJY375:AJY376 ATU375:ATU376 BDQ375:BDQ376 BNM375:BNM376 BXI375:BXI376 CHE375:CHE376 CRA375:CRA376 DAW375:DAW376 DKS375:DKS376 DUO375:DUO376 EEK375:EEK376 EOG375:EOG376 EYC375:EYC376 FHY375:FHY376 FRU375:FRU376 GBQ375:GBQ376 GLM375:GLM376 GVI375:GVI376 HFE375:HFE376 HPA375:HPA376 HYW375:HYW376 IIS375:IIS376 ISO375:ISO376 JCK375:JCK376 JMG375:JMG376 JWC375:JWC376 KFY375:KFY376 KPU375:KPU376 KZQ375:KZQ376 LJM375:LJM376 LTI375:LTI376 MDE375:MDE376 MNA375:MNA376 MWW375:MWW376 NGS375:NGS376 NQO375:NQO376 OAK375:OAK376 OKG375:OKG376 OUC375:OUC376 PDY375:PDY376 PNU375:PNU376 PXQ375:PXQ376 QHM375:QHM376 QRI375:QRI376 RBE375:RBE376 RLA375:RLA376 RUW375:RUW376 SES375:SES376 SOO375:SOO376 SYK375:SYK376 TIG375:TIG376 TSC375:TSC376 UBY375:UBY376 ULU375:ULU376 UVQ375:UVQ376 VFM375:VFM376 VPI375:VPI376 VZE375:VZE376 G286:G287 G715">
      <formula1>-1000000</formula1>
      <formula2>1000000</formula2>
    </dataValidation>
  </dataValidations>
  <printOptions horizontalCentered="1"/>
  <pageMargins left="0.19685039370078741" right="0.19685039370078741" top="0.78740157480314965" bottom="0.39370078740157483" header="0.31496062992125984" footer="0.31496062992125984"/>
  <pageSetup paperSize="9" scale="50" fitToHeight="16" orientation="landscape"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HG3363"/>
  <sheetViews>
    <sheetView view="pageBreakPreview" zoomScale="70" zoomScaleNormal="69" zoomScaleSheetLayoutView="70" workbookViewId="0">
      <selection activeCell="A3" sqref="A3"/>
    </sheetView>
  </sheetViews>
  <sheetFormatPr defaultColWidth="9.1796875" defaultRowHeight="15.5" x14ac:dyDescent="0.35"/>
  <cols>
    <col min="1" max="1" width="7.453125" style="129" customWidth="1"/>
    <col min="2" max="2" width="7.453125" style="123" customWidth="1"/>
    <col min="3" max="3" width="47.54296875" style="7" customWidth="1"/>
    <col min="4" max="4" width="15.1796875" style="123" customWidth="1"/>
    <col min="5" max="5" width="10.54296875" style="226" customWidth="1"/>
    <col min="6" max="6" width="13" style="226" customWidth="1"/>
    <col min="7" max="7" width="33.453125" style="123" customWidth="1"/>
    <col min="8" max="8" width="44.7265625" style="195" customWidth="1"/>
    <col min="9" max="9" width="24.1796875" style="123" customWidth="1"/>
    <col min="10" max="11" width="16.1796875" style="123" customWidth="1"/>
    <col min="12" max="16384" width="9.1796875" style="123"/>
  </cols>
  <sheetData>
    <row r="1" spans="1:11" ht="45.75" customHeight="1" x14ac:dyDescent="0.35">
      <c r="A1" s="356" t="s">
        <v>62</v>
      </c>
      <c r="B1" s="356"/>
      <c r="C1" s="356"/>
      <c r="D1" s="356"/>
      <c r="E1" s="356"/>
      <c r="F1" s="356"/>
      <c r="G1" s="356"/>
      <c r="H1" s="356"/>
      <c r="I1" s="356"/>
      <c r="J1" s="356"/>
      <c r="K1" s="356"/>
    </row>
    <row r="2" spans="1:11" x14ac:dyDescent="0.35">
      <c r="A2" s="124"/>
      <c r="B2" s="125"/>
      <c r="C2" s="126"/>
      <c r="D2" s="124"/>
      <c r="E2" s="127"/>
      <c r="F2" s="127"/>
      <c r="G2" s="125"/>
      <c r="H2" s="128"/>
      <c r="I2" s="128"/>
      <c r="J2" s="124"/>
      <c r="K2" s="124"/>
    </row>
    <row r="3" spans="1:11" s="130" customFormat="1" ht="77.5" x14ac:dyDescent="0.35">
      <c r="A3" s="146" t="s">
        <v>25</v>
      </c>
      <c r="B3" s="146" t="s">
        <v>32</v>
      </c>
      <c r="C3" s="153" t="s">
        <v>1</v>
      </c>
      <c r="D3" s="153" t="s">
        <v>19</v>
      </c>
      <c r="E3" s="194" t="s">
        <v>61</v>
      </c>
      <c r="F3" s="194" t="s">
        <v>2</v>
      </c>
      <c r="G3" s="153" t="s">
        <v>20</v>
      </c>
      <c r="H3" s="153" t="s">
        <v>21</v>
      </c>
      <c r="I3" s="155" t="s">
        <v>22</v>
      </c>
      <c r="J3" s="155" t="s">
        <v>23</v>
      </c>
      <c r="K3" s="155" t="s">
        <v>24</v>
      </c>
    </row>
    <row r="4" spans="1:11" x14ac:dyDescent="0.35">
      <c r="A4" s="146">
        <v>1</v>
      </c>
      <c r="B4" s="146">
        <v>2</v>
      </c>
      <c r="C4" s="146">
        <v>3</v>
      </c>
      <c r="D4" s="146">
        <v>4</v>
      </c>
      <c r="E4" s="192">
        <v>5</v>
      </c>
      <c r="F4" s="192">
        <v>6</v>
      </c>
      <c r="G4" s="192">
        <v>7</v>
      </c>
      <c r="H4" s="131">
        <v>8</v>
      </c>
      <c r="I4" s="146">
        <v>9</v>
      </c>
      <c r="J4" s="146">
        <v>10</v>
      </c>
      <c r="K4" s="146">
        <v>11</v>
      </c>
    </row>
    <row r="5" spans="1:11" x14ac:dyDescent="0.35">
      <c r="A5" s="132" t="s">
        <v>28</v>
      </c>
      <c r="B5" s="133"/>
      <c r="C5" s="134"/>
      <c r="D5" s="181">
        <f>D6+D12+D48+D56+D63+D277+D377+D1050+D1054+D1066+D1072+D1131+D1137+D1143+D1149+D1155+D1188+D1192</f>
        <v>860470.56</v>
      </c>
      <c r="E5" s="135"/>
      <c r="F5" s="135"/>
      <c r="G5" s="136"/>
      <c r="H5" s="136"/>
      <c r="I5" s="137">
        <f>I6+I12+I48+I56+I63+I277+I377+I1050+I1054+I1066+I1072+I1131+I1137+I1143+I1149+I1155+I1188+I1192</f>
        <v>893868402.92999995</v>
      </c>
      <c r="J5" s="137"/>
      <c r="K5" s="137"/>
    </row>
    <row r="6" spans="1:11" x14ac:dyDescent="0.35">
      <c r="A6" s="138" t="s">
        <v>16</v>
      </c>
      <c r="B6" s="139"/>
      <c r="C6" s="140"/>
      <c r="D6" s="181">
        <f>D7+D9</f>
        <v>1011.4</v>
      </c>
      <c r="E6" s="181"/>
      <c r="F6" s="181"/>
      <c r="G6" s="136"/>
      <c r="H6" s="136"/>
      <c r="I6" s="181">
        <f>I7+I9</f>
        <v>1910632</v>
      </c>
      <c r="J6" s="181"/>
      <c r="K6" s="181"/>
    </row>
    <row r="7" spans="1:11" x14ac:dyDescent="0.35">
      <c r="A7" s="270">
        <v>1</v>
      </c>
      <c r="B7" s="278">
        <v>4743</v>
      </c>
      <c r="C7" s="278" t="s">
        <v>151</v>
      </c>
      <c r="D7" s="273">
        <v>498</v>
      </c>
      <c r="E7" s="267" t="s">
        <v>633</v>
      </c>
      <c r="F7" s="267">
        <v>2</v>
      </c>
      <c r="G7" s="270" t="s">
        <v>71</v>
      </c>
      <c r="H7" s="136" t="s">
        <v>72</v>
      </c>
      <c r="I7" s="181">
        <f>SUM(I8:I8)</f>
        <v>88146</v>
      </c>
      <c r="J7" s="181">
        <f>SUM(J8:J8)</f>
        <v>177</v>
      </c>
      <c r="K7" s="181">
        <f>SUM(K8:K8)</f>
        <v>177</v>
      </c>
    </row>
    <row r="8" spans="1:11" ht="46.5" x14ac:dyDescent="0.35">
      <c r="A8" s="271">
        <v>5</v>
      </c>
      <c r="B8" s="279"/>
      <c r="C8" s="279"/>
      <c r="D8" s="275"/>
      <c r="E8" s="269"/>
      <c r="F8" s="269"/>
      <c r="G8" s="271"/>
      <c r="H8" s="136" t="s">
        <v>673</v>
      </c>
      <c r="I8" s="181">
        <f>K8*D7</f>
        <v>88146</v>
      </c>
      <c r="J8" s="181">
        <f>I8/D7</f>
        <v>177</v>
      </c>
      <c r="K8" s="181">
        <f>163+14</f>
        <v>177</v>
      </c>
    </row>
    <row r="9" spans="1:11" x14ac:dyDescent="0.35">
      <c r="A9" s="270">
        <f>A7+1</f>
        <v>2</v>
      </c>
      <c r="B9" s="278">
        <v>4745</v>
      </c>
      <c r="C9" s="278" t="s">
        <v>154</v>
      </c>
      <c r="D9" s="273">
        <v>513.4</v>
      </c>
      <c r="E9" s="267" t="s">
        <v>633</v>
      </c>
      <c r="F9" s="267">
        <v>2</v>
      </c>
      <c r="G9" s="270" t="s">
        <v>71</v>
      </c>
      <c r="H9" s="136" t="s">
        <v>72</v>
      </c>
      <c r="I9" s="181">
        <f>SUM(I10:I11)</f>
        <v>1822486</v>
      </c>
      <c r="J9" s="181">
        <f>SUM(J10:J11)</f>
        <v>3549.84</v>
      </c>
      <c r="K9" s="181">
        <f>SUM(K10:K11)</f>
        <v>7539</v>
      </c>
    </row>
    <row r="10" spans="1:11" x14ac:dyDescent="0.35">
      <c r="A10" s="271">
        <v>5</v>
      </c>
      <c r="B10" s="279"/>
      <c r="C10" s="279"/>
      <c r="D10" s="274"/>
      <c r="E10" s="268"/>
      <c r="F10" s="268"/>
      <c r="G10" s="271"/>
      <c r="H10" s="136" t="s">
        <v>635</v>
      </c>
      <c r="I10" s="181">
        <v>1784301.94</v>
      </c>
      <c r="J10" s="181">
        <f>I10/D9+0.01</f>
        <v>3475.47</v>
      </c>
      <c r="K10" s="181">
        <v>7381</v>
      </c>
    </row>
    <row r="11" spans="1:11" x14ac:dyDescent="0.35">
      <c r="A11" s="272">
        <v>6</v>
      </c>
      <c r="B11" s="285"/>
      <c r="C11" s="285"/>
      <c r="D11" s="275"/>
      <c r="E11" s="269"/>
      <c r="F11" s="269"/>
      <c r="G11" s="272"/>
      <c r="H11" s="136" t="s">
        <v>75</v>
      </c>
      <c r="I11" s="181">
        <f>I10*0.0214</f>
        <v>38184.06</v>
      </c>
      <c r="J11" s="181">
        <f>I11/D9</f>
        <v>74.37</v>
      </c>
      <c r="K11" s="181">
        <v>158</v>
      </c>
    </row>
    <row r="12" spans="1:11" x14ac:dyDescent="0.35">
      <c r="A12" s="142" t="s">
        <v>33</v>
      </c>
      <c r="B12" s="143"/>
      <c r="C12" s="144"/>
      <c r="D12" s="166">
        <f>D13+D15+D18+D21+D24+D26+D28+D31+D34+D37+D39+D42+D45</f>
        <v>17526.62</v>
      </c>
      <c r="E12" s="192"/>
      <c r="F12" s="192"/>
      <c r="G12" s="166"/>
      <c r="H12" s="137"/>
      <c r="I12" s="181">
        <f>I13+I15+I18+I21+I24+I26+I28+I31+I34+I37+I39+I42+I45</f>
        <v>25094106.350000001</v>
      </c>
      <c r="J12" s="181"/>
      <c r="K12" s="181"/>
    </row>
    <row r="13" spans="1:11" s="145" customFormat="1" x14ac:dyDescent="0.35">
      <c r="A13" s="270">
        <v>1</v>
      </c>
      <c r="B13" s="278">
        <v>4395</v>
      </c>
      <c r="C13" s="278" t="s">
        <v>156</v>
      </c>
      <c r="D13" s="273">
        <v>846</v>
      </c>
      <c r="E13" s="273" t="s">
        <v>79</v>
      </c>
      <c r="F13" s="282">
        <v>2</v>
      </c>
      <c r="G13" s="270" t="s">
        <v>71</v>
      </c>
      <c r="H13" s="136" t="s">
        <v>72</v>
      </c>
      <c r="I13" s="181">
        <f>I14</f>
        <v>85404.68</v>
      </c>
      <c r="J13" s="181">
        <f>J14</f>
        <v>100.95</v>
      </c>
      <c r="K13" s="181">
        <f>K14</f>
        <v>178</v>
      </c>
    </row>
    <row r="14" spans="1:11" s="145" customFormat="1" ht="46.5" x14ac:dyDescent="0.35">
      <c r="A14" s="271">
        <v>29</v>
      </c>
      <c r="B14" s="279"/>
      <c r="C14" s="279"/>
      <c r="D14" s="274"/>
      <c r="E14" s="274"/>
      <c r="F14" s="283"/>
      <c r="G14" s="271"/>
      <c r="H14" s="136" t="s">
        <v>673</v>
      </c>
      <c r="I14" s="181">
        <f>74406.68+D13*13</f>
        <v>85404.68</v>
      </c>
      <c r="J14" s="181">
        <f>I14/D13</f>
        <v>100.95</v>
      </c>
      <c r="K14" s="181">
        <f>164+14</f>
        <v>178</v>
      </c>
    </row>
    <row r="15" spans="1:11" s="145" customFormat="1" x14ac:dyDescent="0.35">
      <c r="A15" s="270">
        <v>2</v>
      </c>
      <c r="B15" s="278">
        <v>4504</v>
      </c>
      <c r="C15" s="278" t="s">
        <v>636</v>
      </c>
      <c r="D15" s="273">
        <v>988.9</v>
      </c>
      <c r="E15" s="273" t="s">
        <v>74</v>
      </c>
      <c r="F15" s="282">
        <v>2</v>
      </c>
      <c r="G15" s="270" t="s">
        <v>71</v>
      </c>
      <c r="H15" s="136" t="s">
        <v>72</v>
      </c>
      <c r="I15" s="181">
        <f>I16+I17</f>
        <v>5224890.63</v>
      </c>
      <c r="J15" s="181">
        <f>J16+J17</f>
        <v>5283.54</v>
      </c>
      <c r="K15" s="181">
        <f>K16+K17</f>
        <v>7066</v>
      </c>
    </row>
    <row r="16" spans="1:11" s="145" customFormat="1" x14ac:dyDescent="0.35">
      <c r="A16" s="271">
        <v>9</v>
      </c>
      <c r="B16" s="279"/>
      <c r="C16" s="279"/>
      <c r="D16" s="274"/>
      <c r="E16" s="274"/>
      <c r="F16" s="283"/>
      <c r="G16" s="271"/>
      <c r="H16" s="136" t="s">
        <v>73</v>
      </c>
      <c r="I16" s="181">
        <v>5141947.66</v>
      </c>
      <c r="J16" s="181">
        <f>I16/D15+0.01</f>
        <v>5199.67</v>
      </c>
      <c r="K16" s="181">
        <v>6918</v>
      </c>
    </row>
    <row r="17" spans="1:11" s="145" customFormat="1" x14ac:dyDescent="0.35">
      <c r="A17" s="272">
        <v>10</v>
      </c>
      <c r="B17" s="285"/>
      <c r="C17" s="285"/>
      <c r="D17" s="275"/>
      <c r="E17" s="275"/>
      <c r="F17" s="284"/>
      <c r="G17" s="272"/>
      <c r="H17" s="136" t="s">
        <v>75</v>
      </c>
      <c r="I17" s="181">
        <v>82942.97</v>
      </c>
      <c r="J17" s="181">
        <f>I17/D15</f>
        <v>83.87</v>
      </c>
      <c r="K17" s="181">
        <v>148</v>
      </c>
    </row>
    <row r="18" spans="1:11" s="145" customFormat="1" x14ac:dyDescent="0.35">
      <c r="A18" s="270">
        <f>A15+1</f>
        <v>3</v>
      </c>
      <c r="B18" s="278">
        <v>4559</v>
      </c>
      <c r="C18" s="278" t="s">
        <v>158</v>
      </c>
      <c r="D18" s="273">
        <v>887.4</v>
      </c>
      <c r="E18" s="273" t="s">
        <v>74</v>
      </c>
      <c r="F18" s="282">
        <v>2</v>
      </c>
      <c r="G18" s="270" t="s">
        <v>71</v>
      </c>
      <c r="H18" s="136" t="s">
        <v>72</v>
      </c>
      <c r="I18" s="181">
        <f>I19+I20</f>
        <v>3994513.54</v>
      </c>
      <c r="J18" s="181">
        <f>J19+J20</f>
        <v>4501.37</v>
      </c>
      <c r="K18" s="181">
        <f>K19+K20</f>
        <v>7066</v>
      </c>
    </row>
    <row r="19" spans="1:11" s="145" customFormat="1" x14ac:dyDescent="0.35">
      <c r="A19" s="271">
        <v>15</v>
      </c>
      <c r="B19" s="279"/>
      <c r="C19" s="279"/>
      <c r="D19" s="274"/>
      <c r="E19" s="274"/>
      <c r="F19" s="283"/>
      <c r="G19" s="271"/>
      <c r="H19" s="136" t="s">
        <v>73</v>
      </c>
      <c r="I19" s="181">
        <v>3922562.54</v>
      </c>
      <c r="J19" s="181">
        <f>I19/D18</f>
        <v>4420.29</v>
      </c>
      <c r="K19" s="181">
        <v>6918</v>
      </c>
    </row>
    <row r="20" spans="1:11" s="145" customFormat="1" x14ac:dyDescent="0.35">
      <c r="A20" s="272">
        <v>16</v>
      </c>
      <c r="B20" s="285"/>
      <c r="C20" s="285"/>
      <c r="D20" s="275"/>
      <c r="E20" s="275"/>
      <c r="F20" s="284"/>
      <c r="G20" s="272"/>
      <c r="H20" s="136" t="s">
        <v>75</v>
      </c>
      <c r="I20" s="181">
        <v>71951</v>
      </c>
      <c r="J20" s="181">
        <f>I20/D18</f>
        <v>81.08</v>
      </c>
      <c r="K20" s="181">
        <v>148</v>
      </c>
    </row>
    <row r="21" spans="1:11" s="145" customFormat="1" x14ac:dyDescent="0.35">
      <c r="A21" s="270">
        <f>A18+1</f>
        <v>4</v>
      </c>
      <c r="B21" s="320">
        <v>4560</v>
      </c>
      <c r="C21" s="278" t="s">
        <v>159</v>
      </c>
      <c r="D21" s="273">
        <v>1535.88</v>
      </c>
      <c r="E21" s="273" t="s">
        <v>74</v>
      </c>
      <c r="F21" s="282">
        <v>3</v>
      </c>
      <c r="G21" s="270" t="s">
        <v>71</v>
      </c>
      <c r="H21" s="136" t="s">
        <v>72</v>
      </c>
      <c r="I21" s="181">
        <f>I22+I23</f>
        <v>2306895.33</v>
      </c>
      <c r="J21" s="181">
        <f>J22+J23</f>
        <v>1502</v>
      </c>
      <c r="K21" s="181">
        <f>K22+K23</f>
        <v>4793</v>
      </c>
    </row>
    <row r="22" spans="1:11" s="145" customFormat="1" ht="46.5" x14ac:dyDescent="0.35">
      <c r="A22" s="271"/>
      <c r="B22" s="321"/>
      <c r="C22" s="279"/>
      <c r="D22" s="274"/>
      <c r="E22" s="274"/>
      <c r="F22" s="283"/>
      <c r="G22" s="271"/>
      <c r="H22" s="136" t="s">
        <v>673</v>
      </c>
      <c r="I22" s="181">
        <f>154052.33+D21*13</f>
        <v>174018.77</v>
      </c>
      <c r="J22" s="181">
        <f>I22/D21</f>
        <v>113.3</v>
      </c>
      <c r="K22" s="181">
        <f>151+13</f>
        <v>164</v>
      </c>
    </row>
    <row r="23" spans="1:11" s="145" customFormat="1" x14ac:dyDescent="0.35">
      <c r="A23" s="271"/>
      <c r="B23" s="321"/>
      <c r="C23" s="279"/>
      <c r="D23" s="274"/>
      <c r="E23" s="274"/>
      <c r="F23" s="283"/>
      <c r="G23" s="271"/>
      <c r="H23" s="136" t="s">
        <v>635</v>
      </c>
      <c r="I23" s="181">
        <f>K23*D21*0.3</f>
        <v>2132876.56</v>
      </c>
      <c r="J23" s="181">
        <f>I23/D21</f>
        <v>1388.7</v>
      </c>
      <c r="K23" s="181">
        <v>4629</v>
      </c>
    </row>
    <row r="24" spans="1:11" s="145" customFormat="1" x14ac:dyDescent="0.35">
      <c r="A24" s="270">
        <f>A21+1</f>
        <v>5</v>
      </c>
      <c r="B24" s="278">
        <v>4405</v>
      </c>
      <c r="C24" s="278" t="s">
        <v>162</v>
      </c>
      <c r="D24" s="273">
        <v>1765.93</v>
      </c>
      <c r="E24" s="273" t="s">
        <v>74</v>
      </c>
      <c r="F24" s="282">
        <v>3</v>
      </c>
      <c r="G24" s="270" t="s">
        <v>71</v>
      </c>
      <c r="H24" s="136" t="s">
        <v>72</v>
      </c>
      <c r="I24" s="181">
        <f>I25</f>
        <v>155158.57</v>
      </c>
      <c r="J24" s="181">
        <f>J25</f>
        <v>87.86</v>
      </c>
      <c r="K24" s="181">
        <f>K25</f>
        <v>164</v>
      </c>
    </row>
    <row r="25" spans="1:11" s="145" customFormat="1" ht="46.5" x14ac:dyDescent="0.35">
      <c r="A25" s="271">
        <v>29</v>
      </c>
      <c r="B25" s="279"/>
      <c r="C25" s="279"/>
      <c r="D25" s="274"/>
      <c r="E25" s="274"/>
      <c r="F25" s="283"/>
      <c r="G25" s="271"/>
      <c r="H25" s="136" t="s">
        <v>673</v>
      </c>
      <c r="I25" s="181">
        <f>132201.48+D24*13</f>
        <v>155158.57</v>
      </c>
      <c r="J25" s="181">
        <f>I25/D24</f>
        <v>87.86</v>
      </c>
      <c r="K25" s="181">
        <f>151+13</f>
        <v>164</v>
      </c>
    </row>
    <row r="26" spans="1:11" s="145" customFormat="1" x14ac:dyDescent="0.35">
      <c r="A26" s="270">
        <f>A24+1</f>
        <v>6</v>
      </c>
      <c r="B26" s="278">
        <v>4569</v>
      </c>
      <c r="C26" s="278" t="s">
        <v>163</v>
      </c>
      <c r="D26" s="273">
        <v>4033.01</v>
      </c>
      <c r="E26" s="273" t="s">
        <v>74</v>
      </c>
      <c r="F26" s="282">
        <v>5</v>
      </c>
      <c r="G26" s="270" t="s">
        <v>71</v>
      </c>
      <c r="H26" s="136" t="s">
        <v>72</v>
      </c>
      <c r="I26" s="181">
        <f>I27</f>
        <v>259929.11</v>
      </c>
      <c r="J26" s="181">
        <f>J27</f>
        <v>64.45</v>
      </c>
      <c r="K26" s="181">
        <f>K27</f>
        <v>164</v>
      </c>
    </row>
    <row r="27" spans="1:11" s="145" customFormat="1" ht="46.5" x14ac:dyDescent="0.35">
      <c r="A27" s="271">
        <v>29</v>
      </c>
      <c r="B27" s="279"/>
      <c r="C27" s="279"/>
      <c r="D27" s="274"/>
      <c r="E27" s="274"/>
      <c r="F27" s="283"/>
      <c r="G27" s="271"/>
      <c r="H27" s="136" t="s">
        <v>673</v>
      </c>
      <c r="I27" s="181">
        <f>207499.98+D26*13</f>
        <v>259929.11</v>
      </c>
      <c r="J27" s="181">
        <f>I27/D26</f>
        <v>64.45</v>
      </c>
      <c r="K27" s="181">
        <f>151+13</f>
        <v>164</v>
      </c>
    </row>
    <row r="28" spans="1:11" s="145" customFormat="1" x14ac:dyDescent="0.35">
      <c r="A28" s="270">
        <f>A26+1</f>
        <v>7</v>
      </c>
      <c r="B28" s="278">
        <v>4590</v>
      </c>
      <c r="C28" s="278" t="s">
        <v>164</v>
      </c>
      <c r="D28" s="273">
        <v>429.9</v>
      </c>
      <c r="E28" s="273" t="s">
        <v>79</v>
      </c>
      <c r="F28" s="282">
        <v>2</v>
      </c>
      <c r="G28" s="270" t="s">
        <v>71</v>
      </c>
      <c r="H28" s="136" t="s">
        <v>72</v>
      </c>
      <c r="I28" s="181">
        <f>I29+I30</f>
        <v>2389740.4900000002</v>
      </c>
      <c r="J28" s="181">
        <f>J29+J30</f>
        <v>5558.83</v>
      </c>
      <c r="K28" s="181">
        <f>K29+K30</f>
        <v>7066</v>
      </c>
    </row>
    <row r="29" spans="1:11" s="145" customFormat="1" x14ac:dyDescent="0.35">
      <c r="A29" s="271">
        <v>25</v>
      </c>
      <c r="B29" s="279"/>
      <c r="C29" s="279"/>
      <c r="D29" s="274"/>
      <c r="E29" s="274"/>
      <c r="F29" s="283"/>
      <c r="G29" s="271"/>
      <c r="H29" s="136" t="s">
        <v>73</v>
      </c>
      <c r="I29" s="181">
        <v>2351804.35</v>
      </c>
      <c r="J29" s="181">
        <f>I29/D28+0.01</f>
        <v>5470.59</v>
      </c>
      <c r="K29" s="181">
        <v>6918</v>
      </c>
    </row>
    <row r="30" spans="1:11" s="145" customFormat="1" x14ac:dyDescent="0.35">
      <c r="A30" s="272">
        <v>26</v>
      </c>
      <c r="B30" s="285"/>
      <c r="C30" s="285"/>
      <c r="D30" s="275"/>
      <c r="E30" s="275"/>
      <c r="F30" s="284"/>
      <c r="G30" s="272"/>
      <c r="H30" s="136" t="s">
        <v>75</v>
      </c>
      <c r="I30" s="181">
        <v>37936.14</v>
      </c>
      <c r="J30" s="181">
        <f>I30/D28</f>
        <v>88.24</v>
      </c>
      <c r="K30" s="181">
        <v>148</v>
      </c>
    </row>
    <row r="31" spans="1:11" s="145" customFormat="1" ht="20" customHeight="1" x14ac:dyDescent="0.35">
      <c r="A31" s="270">
        <f>A28+1</f>
        <v>8</v>
      </c>
      <c r="B31" s="278">
        <v>4433</v>
      </c>
      <c r="C31" s="278" t="s">
        <v>637</v>
      </c>
      <c r="D31" s="273">
        <v>493.5</v>
      </c>
      <c r="E31" s="273" t="s">
        <v>633</v>
      </c>
      <c r="F31" s="282">
        <v>2</v>
      </c>
      <c r="G31" s="165"/>
      <c r="H31" s="136" t="s">
        <v>72</v>
      </c>
      <c r="I31" s="181">
        <f>I32+I33</f>
        <v>2209136.2000000002</v>
      </c>
      <c r="J31" s="181">
        <f>J32+J33</f>
        <v>4476.47</v>
      </c>
      <c r="K31" s="181">
        <f>K32+K33</f>
        <v>7066</v>
      </c>
    </row>
    <row r="32" spans="1:11" s="145" customFormat="1" x14ac:dyDescent="0.35">
      <c r="A32" s="271">
        <v>29</v>
      </c>
      <c r="B32" s="279"/>
      <c r="C32" s="279"/>
      <c r="D32" s="274"/>
      <c r="E32" s="274"/>
      <c r="F32" s="283"/>
      <c r="G32" s="277" t="s">
        <v>71</v>
      </c>
      <c r="H32" s="136" t="s">
        <v>73</v>
      </c>
      <c r="I32" s="181">
        <v>2175876.38</v>
      </c>
      <c r="J32" s="181">
        <f>I32/D31</f>
        <v>4409.07</v>
      </c>
      <c r="K32" s="181">
        <v>6918</v>
      </c>
    </row>
    <row r="33" spans="1:11" s="145" customFormat="1" x14ac:dyDescent="0.35">
      <c r="A33" s="271"/>
      <c r="B33" s="279"/>
      <c r="C33" s="279"/>
      <c r="D33" s="274"/>
      <c r="E33" s="274"/>
      <c r="F33" s="283"/>
      <c r="G33" s="277"/>
      <c r="H33" s="136" t="s">
        <v>75</v>
      </c>
      <c r="I33" s="181">
        <v>33259.82</v>
      </c>
      <c r="J33" s="181">
        <f>I33/D31</f>
        <v>67.400000000000006</v>
      </c>
      <c r="K33" s="181">
        <v>148</v>
      </c>
    </row>
    <row r="34" spans="1:11" s="145" customFormat="1" ht="25" customHeight="1" x14ac:dyDescent="0.35">
      <c r="A34" s="270">
        <f>A31+1</f>
        <v>9</v>
      </c>
      <c r="B34" s="278">
        <v>4588</v>
      </c>
      <c r="C34" s="278" t="s">
        <v>638</v>
      </c>
      <c r="D34" s="273">
        <v>517.29999999999995</v>
      </c>
      <c r="E34" s="273" t="s">
        <v>79</v>
      </c>
      <c r="F34" s="282">
        <v>2</v>
      </c>
      <c r="G34" s="270" t="s">
        <v>71</v>
      </c>
      <c r="H34" s="136" t="s">
        <v>72</v>
      </c>
      <c r="I34" s="181">
        <f>I35+I36</f>
        <v>2453590.9300000002</v>
      </c>
      <c r="J34" s="181">
        <f>J35+J36</f>
        <v>4743.07</v>
      </c>
      <c r="K34" s="181">
        <f>K35+K36</f>
        <v>7066</v>
      </c>
    </row>
    <row r="35" spans="1:11" s="145" customFormat="1" ht="25" customHeight="1" x14ac:dyDescent="0.35">
      <c r="A35" s="271">
        <v>43</v>
      </c>
      <c r="B35" s="279"/>
      <c r="C35" s="279"/>
      <c r="D35" s="274"/>
      <c r="E35" s="274"/>
      <c r="F35" s="283"/>
      <c r="G35" s="271"/>
      <c r="H35" s="136" t="s">
        <v>73</v>
      </c>
      <c r="I35" s="181">
        <v>2416650.7000000002</v>
      </c>
      <c r="J35" s="181">
        <f>I35/D34</f>
        <v>4671.66</v>
      </c>
      <c r="K35" s="181">
        <v>6918</v>
      </c>
    </row>
    <row r="36" spans="1:11" s="145" customFormat="1" ht="25" customHeight="1" x14ac:dyDescent="0.35">
      <c r="A36" s="272">
        <v>44</v>
      </c>
      <c r="B36" s="285"/>
      <c r="C36" s="285"/>
      <c r="D36" s="275"/>
      <c r="E36" s="275"/>
      <c r="F36" s="284"/>
      <c r="G36" s="272"/>
      <c r="H36" s="136" t="s">
        <v>75</v>
      </c>
      <c r="I36" s="181">
        <v>36940.230000000003</v>
      </c>
      <c r="J36" s="181">
        <f>I36/D34</f>
        <v>71.41</v>
      </c>
      <c r="K36" s="181">
        <v>148</v>
      </c>
    </row>
    <row r="37" spans="1:11" s="145" customFormat="1" ht="16" customHeight="1" x14ac:dyDescent="0.35">
      <c r="A37" s="270">
        <f>A34+1</f>
        <v>10</v>
      </c>
      <c r="B37" s="320">
        <v>4589</v>
      </c>
      <c r="C37" s="278" t="s">
        <v>167</v>
      </c>
      <c r="D37" s="273">
        <v>4046.4</v>
      </c>
      <c r="E37" s="273" t="s">
        <v>74</v>
      </c>
      <c r="F37" s="282">
        <v>5</v>
      </c>
      <c r="G37" s="270" t="s">
        <v>71</v>
      </c>
      <c r="H37" s="136" t="s">
        <v>72</v>
      </c>
      <c r="I37" s="181">
        <f>I38</f>
        <v>270106.13</v>
      </c>
      <c r="J37" s="181">
        <f>J38</f>
        <v>66.75</v>
      </c>
      <c r="K37" s="181">
        <f>K38</f>
        <v>164</v>
      </c>
    </row>
    <row r="38" spans="1:11" s="145" customFormat="1" ht="46.5" x14ac:dyDescent="0.35">
      <c r="A38" s="271"/>
      <c r="B38" s="321"/>
      <c r="C38" s="279"/>
      <c r="D38" s="274"/>
      <c r="E38" s="274"/>
      <c r="F38" s="283"/>
      <c r="G38" s="271"/>
      <c r="H38" s="136" t="s">
        <v>673</v>
      </c>
      <c r="I38" s="181">
        <f>217502.93+D37*13</f>
        <v>270106.13</v>
      </c>
      <c r="J38" s="181">
        <f>I38/D37</f>
        <v>66.75</v>
      </c>
      <c r="K38" s="181">
        <f>151+13</f>
        <v>164</v>
      </c>
    </row>
    <row r="39" spans="1:11" s="145" customFormat="1" x14ac:dyDescent="0.35">
      <c r="A39" s="270">
        <f>A37+1</f>
        <v>11</v>
      </c>
      <c r="B39" s="320">
        <v>4540</v>
      </c>
      <c r="C39" s="278" t="s">
        <v>168</v>
      </c>
      <c r="D39" s="273">
        <v>892.04</v>
      </c>
      <c r="E39" s="273" t="s">
        <v>74</v>
      </c>
      <c r="F39" s="282">
        <v>2</v>
      </c>
      <c r="G39" s="270" t="s">
        <v>71</v>
      </c>
      <c r="H39" s="136" t="s">
        <v>72</v>
      </c>
      <c r="I39" s="181">
        <f>I40+I41</f>
        <v>1942612.46</v>
      </c>
      <c r="J39" s="181">
        <f>J40+J41</f>
        <v>2177.7199999999998</v>
      </c>
      <c r="K39" s="181">
        <f>K40+K41</f>
        <v>7082</v>
      </c>
    </row>
    <row r="40" spans="1:11" s="145" customFormat="1" ht="46.5" x14ac:dyDescent="0.35">
      <c r="A40" s="271"/>
      <c r="B40" s="321"/>
      <c r="C40" s="279"/>
      <c r="D40" s="274"/>
      <c r="E40" s="274"/>
      <c r="F40" s="283"/>
      <c r="G40" s="271"/>
      <c r="H40" s="136" t="s">
        <v>673</v>
      </c>
      <c r="I40" s="181">
        <f>79676.12+D39*13</f>
        <v>91272.639999999999</v>
      </c>
      <c r="J40" s="181">
        <f>I40/D39</f>
        <v>102.32</v>
      </c>
      <c r="K40" s="181">
        <f>151+13</f>
        <v>164</v>
      </c>
    </row>
    <row r="41" spans="1:11" s="145" customFormat="1" x14ac:dyDescent="0.35">
      <c r="A41" s="271"/>
      <c r="B41" s="321"/>
      <c r="C41" s="279"/>
      <c r="D41" s="274"/>
      <c r="E41" s="274"/>
      <c r="F41" s="283"/>
      <c r="G41" s="271"/>
      <c r="H41" s="136" t="s">
        <v>635</v>
      </c>
      <c r="I41" s="181">
        <f>K41*D39*0.3</f>
        <v>1851339.82</v>
      </c>
      <c r="J41" s="181">
        <f>I41/D39</f>
        <v>2075.4</v>
      </c>
      <c r="K41" s="181">
        <v>6918</v>
      </c>
    </row>
    <row r="42" spans="1:11" s="145" customFormat="1" x14ac:dyDescent="0.35">
      <c r="A42" s="270">
        <f>A39+1</f>
        <v>12</v>
      </c>
      <c r="B42" s="278">
        <v>4625</v>
      </c>
      <c r="C42" s="278" t="s">
        <v>639</v>
      </c>
      <c r="D42" s="273">
        <v>368.98</v>
      </c>
      <c r="E42" s="273" t="s">
        <v>74</v>
      </c>
      <c r="F42" s="282">
        <v>2</v>
      </c>
      <c r="G42" s="270" t="s">
        <v>71</v>
      </c>
      <c r="H42" s="136" t="s">
        <v>72</v>
      </c>
      <c r="I42" s="181">
        <f>I43+I44</f>
        <v>2215557.98</v>
      </c>
      <c r="J42" s="181">
        <f>J43+J44</f>
        <v>6004.55</v>
      </c>
      <c r="K42" s="181">
        <f>K43+K44</f>
        <v>7066</v>
      </c>
    </row>
    <row r="43" spans="1:11" s="145" customFormat="1" x14ac:dyDescent="0.35">
      <c r="A43" s="271">
        <v>47</v>
      </c>
      <c r="B43" s="279"/>
      <c r="C43" s="279"/>
      <c r="D43" s="274"/>
      <c r="E43" s="274"/>
      <c r="F43" s="283"/>
      <c r="G43" s="271"/>
      <c r="H43" s="136" t="s">
        <v>73</v>
      </c>
      <c r="I43" s="181">
        <v>2186171</v>
      </c>
      <c r="J43" s="181">
        <f>I43/D42+0.01</f>
        <v>5924.91</v>
      </c>
      <c r="K43" s="181">
        <v>6918</v>
      </c>
    </row>
    <row r="44" spans="1:11" s="145" customFormat="1" x14ac:dyDescent="0.35">
      <c r="A44" s="272">
        <v>48</v>
      </c>
      <c r="B44" s="285"/>
      <c r="C44" s="285"/>
      <c r="D44" s="275"/>
      <c r="E44" s="275"/>
      <c r="F44" s="284"/>
      <c r="G44" s="272"/>
      <c r="H44" s="136" t="s">
        <v>75</v>
      </c>
      <c r="I44" s="181">
        <v>29386.98</v>
      </c>
      <c r="J44" s="181">
        <f>I44/D42</f>
        <v>79.64</v>
      </c>
      <c r="K44" s="181">
        <v>148</v>
      </c>
    </row>
    <row r="45" spans="1:11" s="145" customFormat="1" x14ac:dyDescent="0.35">
      <c r="A45" s="270">
        <f>A42+1</f>
        <v>13</v>
      </c>
      <c r="B45" s="320">
        <v>4641</v>
      </c>
      <c r="C45" s="279" t="s">
        <v>170</v>
      </c>
      <c r="D45" s="273">
        <v>721.38</v>
      </c>
      <c r="E45" s="273" t="s">
        <v>74</v>
      </c>
      <c r="F45" s="282">
        <v>2</v>
      </c>
      <c r="G45" s="270" t="s">
        <v>71</v>
      </c>
      <c r="H45" s="136" t="s">
        <v>72</v>
      </c>
      <c r="I45" s="181">
        <f>SUM(I46:I47)</f>
        <v>1586570.3</v>
      </c>
      <c r="J45" s="181">
        <f>SUM(J46:J47)</f>
        <v>2199.35</v>
      </c>
      <c r="K45" s="181">
        <f>SUM(K46:K47)</f>
        <v>7082</v>
      </c>
    </row>
    <row r="46" spans="1:11" s="145" customFormat="1" ht="46.5" x14ac:dyDescent="0.35">
      <c r="A46" s="271"/>
      <c r="B46" s="321"/>
      <c r="C46" s="279"/>
      <c r="D46" s="274"/>
      <c r="E46" s="274"/>
      <c r="F46" s="283"/>
      <c r="G46" s="271"/>
      <c r="H46" s="136" t="s">
        <v>673</v>
      </c>
      <c r="I46" s="181">
        <f>80040.31+D45*13</f>
        <v>89418.25</v>
      </c>
      <c r="J46" s="181">
        <f>I46/D45</f>
        <v>123.95</v>
      </c>
      <c r="K46" s="181">
        <f>151+13</f>
        <v>164</v>
      </c>
    </row>
    <row r="47" spans="1:11" s="145" customFormat="1" x14ac:dyDescent="0.35">
      <c r="A47" s="271"/>
      <c r="B47" s="321"/>
      <c r="C47" s="279"/>
      <c r="D47" s="274"/>
      <c r="E47" s="274"/>
      <c r="F47" s="283"/>
      <c r="G47" s="272"/>
      <c r="H47" s="136" t="s">
        <v>635</v>
      </c>
      <c r="I47" s="181">
        <f>D45*K47*0.3</f>
        <v>1497152.05</v>
      </c>
      <c r="J47" s="181">
        <f>I47/D45</f>
        <v>2075.4</v>
      </c>
      <c r="K47" s="181">
        <v>6918</v>
      </c>
    </row>
    <row r="48" spans="1:11" x14ac:dyDescent="0.35">
      <c r="A48" s="142" t="s">
        <v>35</v>
      </c>
      <c r="B48" s="143"/>
      <c r="C48" s="144"/>
      <c r="D48" s="166">
        <f>D49+D51+D53</f>
        <v>1873</v>
      </c>
      <c r="E48" s="192"/>
      <c r="F48" s="192"/>
      <c r="G48" s="166"/>
      <c r="H48" s="137"/>
      <c r="I48" s="181">
        <f>I49+I51+I53</f>
        <v>4205719.07</v>
      </c>
      <c r="J48" s="181"/>
      <c r="K48" s="181"/>
    </row>
    <row r="49" spans="1:11" x14ac:dyDescent="0.35">
      <c r="A49" s="270">
        <v>1</v>
      </c>
      <c r="B49" s="278">
        <v>6680</v>
      </c>
      <c r="C49" s="278" t="s">
        <v>171</v>
      </c>
      <c r="D49" s="273">
        <v>329.1</v>
      </c>
      <c r="E49" s="282" t="s">
        <v>633</v>
      </c>
      <c r="F49" s="282">
        <v>2</v>
      </c>
      <c r="G49" s="270" t="s">
        <v>71</v>
      </c>
      <c r="H49" s="136" t="s">
        <v>72</v>
      </c>
      <c r="I49" s="181">
        <f>I50</f>
        <v>58250.7</v>
      </c>
      <c r="J49" s="181">
        <f>J50</f>
        <v>177</v>
      </c>
      <c r="K49" s="181">
        <f>K50</f>
        <v>177</v>
      </c>
    </row>
    <row r="50" spans="1:11" ht="46.5" x14ac:dyDescent="0.35">
      <c r="A50" s="271">
        <v>55</v>
      </c>
      <c r="B50" s="279"/>
      <c r="C50" s="279"/>
      <c r="D50" s="274"/>
      <c r="E50" s="283"/>
      <c r="F50" s="284"/>
      <c r="G50" s="271"/>
      <c r="H50" s="136" t="s">
        <v>673</v>
      </c>
      <c r="I50" s="181">
        <f>K50*D49</f>
        <v>58250.7</v>
      </c>
      <c r="J50" s="181">
        <f>I50/D49</f>
        <v>177</v>
      </c>
      <c r="K50" s="181">
        <f>163+14</f>
        <v>177</v>
      </c>
    </row>
    <row r="51" spans="1:11" x14ac:dyDescent="0.35">
      <c r="A51" s="270">
        <f>A49+1</f>
        <v>2</v>
      </c>
      <c r="B51" s="278">
        <v>6692</v>
      </c>
      <c r="C51" s="278" t="s">
        <v>172</v>
      </c>
      <c r="D51" s="273">
        <v>329.6</v>
      </c>
      <c r="E51" s="282" t="s">
        <v>633</v>
      </c>
      <c r="F51" s="282">
        <v>2</v>
      </c>
      <c r="G51" s="270" t="s">
        <v>71</v>
      </c>
      <c r="H51" s="136" t="s">
        <v>72</v>
      </c>
      <c r="I51" s="181">
        <f>I52</f>
        <v>58339.199999999997</v>
      </c>
      <c r="J51" s="181">
        <f>J52</f>
        <v>177</v>
      </c>
      <c r="K51" s="181">
        <f>K52</f>
        <v>177</v>
      </c>
    </row>
    <row r="52" spans="1:11" ht="46.5" x14ac:dyDescent="0.35">
      <c r="A52" s="271">
        <v>55</v>
      </c>
      <c r="B52" s="279"/>
      <c r="C52" s="279"/>
      <c r="D52" s="274"/>
      <c r="E52" s="283"/>
      <c r="F52" s="284"/>
      <c r="G52" s="271"/>
      <c r="H52" s="136" t="s">
        <v>673</v>
      </c>
      <c r="I52" s="181">
        <f>K52*D51</f>
        <v>58339.199999999997</v>
      </c>
      <c r="J52" s="181">
        <f>I52/D51</f>
        <v>177</v>
      </c>
      <c r="K52" s="181">
        <f>163+14</f>
        <v>177</v>
      </c>
    </row>
    <row r="53" spans="1:11" x14ac:dyDescent="0.35">
      <c r="A53" s="270">
        <f>A51+1</f>
        <v>3</v>
      </c>
      <c r="B53" s="278">
        <v>6704</v>
      </c>
      <c r="C53" s="278" t="s">
        <v>173</v>
      </c>
      <c r="D53" s="273">
        <v>1214.3</v>
      </c>
      <c r="E53" s="282" t="s">
        <v>74</v>
      </c>
      <c r="F53" s="282">
        <v>3</v>
      </c>
      <c r="G53" s="270" t="s">
        <v>71</v>
      </c>
      <c r="H53" s="136" t="s">
        <v>72</v>
      </c>
      <c r="I53" s="181">
        <f>I54+I55</f>
        <v>4089129.17</v>
      </c>
      <c r="J53" s="181">
        <f>J54+J55</f>
        <v>3367.48</v>
      </c>
      <c r="K53" s="181">
        <f>K54+K55</f>
        <v>5354</v>
      </c>
    </row>
    <row r="54" spans="1:11" x14ac:dyDescent="0.35">
      <c r="A54" s="271">
        <v>55</v>
      </c>
      <c r="B54" s="279"/>
      <c r="C54" s="279"/>
      <c r="D54" s="274"/>
      <c r="E54" s="283"/>
      <c r="F54" s="283"/>
      <c r="G54" s="271"/>
      <c r="H54" s="136" t="s">
        <v>73</v>
      </c>
      <c r="I54" s="181">
        <v>4033137.34</v>
      </c>
      <c r="J54" s="181">
        <f>I54/D53</f>
        <v>3321.37</v>
      </c>
      <c r="K54" s="181">
        <v>5242</v>
      </c>
    </row>
    <row r="55" spans="1:11" x14ac:dyDescent="0.35">
      <c r="A55" s="272">
        <v>56</v>
      </c>
      <c r="B55" s="285"/>
      <c r="C55" s="285"/>
      <c r="D55" s="275"/>
      <c r="E55" s="284"/>
      <c r="F55" s="284"/>
      <c r="G55" s="272"/>
      <c r="H55" s="136" t="s">
        <v>75</v>
      </c>
      <c r="I55" s="181">
        <v>55991.83</v>
      </c>
      <c r="J55" s="181">
        <f>I55/D53</f>
        <v>46.11</v>
      </c>
      <c r="K55" s="181">
        <v>112</v>
      </c>
    </row>
    <row r="56" spans="1:11" x14ac:dyDescent="0.35">
      <c r="A56" s="142" t="s">
        <v>38</v>
      </c>
      <c r="B56" s="143"/>
      <c r="C56" s="144"/>
      <c r="D56" s="166">
        <f>D57+D60</f>
        <v>958.8</v>
      </c>
      <c r="E56" s="192"/>
      <c r="F56" s="192"/>
      <c r="G56" s="146"/>
      <c r="H56" s="131"/>
      <c r="I56" s="181">
        <f>I57+I60</f>
        <v>3338631.39</v>
      </c>
      <c r="J56" s="181"/>
      <c r="K56" s="181"/>
    </row>
    <row r="57" spans="1:11" x14ac:dyDescent="0.35">
      <c r="A57" s="270">
        <v>1</v>
      </c>
      <c r="B57" s="270">
        <v>5035</v>
      </c>
      <c r="C57" s="278" t="s">
        <v>174</v>
      </c>
      <c r="D57" s="273">
        <v>473.5</v>
      </c>
      <c r="E57" s="282" t="s">
        <v>633</v>
      </c>
      <c r="F57" s="282">
        <v>2</v>
      </c>
      <c r="G57" s="270" t="s">
        <v>71</v>
      </c>
      <c r="H57" s="136" t="s">
        <v>72</v>
      </c>
      <c r="I57" s="181">
        <f>I58+I59</f>
        <v>2178133.5</v>
      </c>
      <c r="J57" s="181">
        <f>J58+J59</f>
        <v>4600.07</v>
      </c>
      <c r="K57" s="181">
        <f>K58+K59</f>
        <v>7539</v>
      </c>
    </row>
    <row r="58" spans="1:11" x14ac:dyDescent="0.35">
      <c r="A58" s="271">
        <v>61</v>
      </c>
      <c r="B58" s="271"/>
      <c r="C58" s="279"/>
      <c r="D58" s="274"/>
      <c r="E58" s="283"/>
      <c r="F58" s="283"/>
      <c r="G58" s="271"/>
      <c r="H58" s="136" t="s">
        <v>73</v>
      </c>
      <c r="I58" s="181">
        <v>2145531.46</v>
      </c>
      <c r="J58" s="181">
        <f>I58/D57</f>
        <v>4531.22</v>
      </c>
      <c r="K58" s="181">
        <v>7381</v>
      </c>
    </row>
    <row r="59" spans="1:11" x14ac:dyDescent="0.35">
      <c r="A59" s="272">
        <v>62</v>
      </c>
      <c r="B59" s="272"/>
      <c r="C59" s="285"/>
      <c r="D59" s="275"/>
      <c r="E59" s="284"/>
      <c r="F59" s="284"/>
      <c r="G59" s="272"/>
      <c r="H59" s="136" t="s">
        <v>75</v>
      </c>
      <c r="I59" s="181">
        <v>32602.04</v>
      </c>
      <c r="J59" s="181">
        <f>I59/D57</f>
        <v>68.849999999999994</v>
      </c>
      <c r="K59" s="181">
        <v>158</v>
      </c>
    </row>
    <row r="60" spans="1:11" x14ac:dyDescent="0.35">
      <c r="A60" s="277">
        <f>A57+1</f>
        <v>2</v>
      </c>
      <c r="B60" s="270">
        <v>5036</v>
      </c>
      <c r="C60" s="339" t="s">
        <v>175</v>
      </c>
      <c r="D60" s="273">
        <v>485.3</v>
      </c>
      <c r="E60" s="282" t="s">
        <v>633</v>
      </c>
      <c r="F60" s="282">
        <v>2</v>
      </c>
      <c r="G60" s="270" t="s">
        <v>71</v>
      </c>
      <c r="H60" s="136" t="s">
        <v>72</v>
      </c>
      <c r="I60" s="181">
        <f>I61+I62</f>
        <v>1160497.8899999999</v>
      </c>
      <c r="J60" s="181">
        <f>J61+J62</f>
        <v>2391.3000000000002</v>
      </c>
      <c r="K60" s="181">
        <f>K61+K62</f>
        <v>7558</v>
      </c>
    </row>
    <row r="61" spans="1:11" ht="46.5" x14ac:dyDescent="0.35">
      <c r="A61" s="277"/>
      <c r="B61" s="271"/>
      <c r="C61" s="340"/>
      <c r="D61" s="274"/>
      <c r="E61" s="283"/>
      <c r="F61" s="283"/>
      <c r="G61" s="271"/>
      <c r="H61" s="136" t="s">
        <v>673</v>
      </c>
      <c r="I61" s="181">
        <f>D60*K61</f>
        <v>85898.1</v>
      </c>
      <c r="J61" s="181">
        <f>I61/D60</f>
        <v>177</v>
      </c>
      <c r="K61" s="181">
        <f>163+14</f>
        <v>177</v>
      </c>
    </row>
    <row r="62" spans="1:11" x14ac:dyDescent="0.35">
      <c r="A62" s="277"/>
      <c r="B62" s="272"/>
      <c r="C62" s="341"/>
      <c r="D62" s="275"/>
      <c r="E62" s="284"/>
      <c r="F62" s="284"/>
      <c r="G62" s="272"/>
      <c r="H62" s="136" t="s">
        <v>73</v>
      </c>
      <c r="I62" s="181">
        <f>D60*K62*0.3</f>
        <v>1074599.79</v>
      </c>
      <c r="J62" s="181">
        <f>I62/D60</f>
        <v>2214.3000000000002</v>
      </c>
      <c r="K62" s="181">
        <v>7381</v>
      </c>
    </row>
    <row r="63" spans="1:11" s="152" customFormat="1" x14ac:dyDescent="0.35">
      <c r="A63" s="147" t="s">
        <v>45</v>
      </c>
      <c r="B63" s="147"/>
      <c r="C63" s="148"/>
      <c r="D63" s="149">
        <f>D64+D67+D74+D77+D84+D88+D91+D94+D100+D102+D105+D108+D115+D118+D120+D123+D128+D131+D134+D137+D141+D144+D147+D150+D152+D155+D158+D162+D164+D168+D172+D179+D182+D210+D214+D218+D237+D239+D242+D246+D249+D252+D255+D258+D260+D263+D267+D271+D275</f>
        <v>125577.43</v>
      </c>
      <c r="E63" s="149"/>
      <c r="F63" s="150"/>
      <c r="G63" s="153"/>
      <c r="H63" s="151"/>
      <c r="I63" s="35">
        <f>I64+I67+I74+I77+I84+I88+I91+I94+I100+I102+I105+I108+I115+I118+I120+I123+I128+I131+I134+I137+I141+I144+I147+I150+I152+I155+I158+I162+I164+I168+I172+I179+I182+I210+I214+I218+I237+I239+I242+I246+I249+I252+I255+I258+I260+I263+I267+I271+I275</f>
        <v>151519126.25</v>
      </c>
      <c r="J63" s="35"/>
      <c r="K63" s="35"/>
    </row>
    <row r="64" spans="1:11" s="152" customFormat="1" x14ac:dyDescent="0.3">
      <c r="A64" s="265">
        <v>1</v>
      </c>
      <c r="B64" s="265">
        <v>5969</v>
      </c>
      <c r="C64" s="266" t="s">
        <v>640</v>
      </c>
      <c r="D64" s="295">
        <v>4710.6000000000004</v>
      </c>
      <c r="E64" s="295" t="s">
        <v>79</v>
      </c>
      <c r="F64" s="296">
        <v>3</v>
      </c>
      <c r="G64" s="265" t="s">
        <v>71</v>
      </c>
      <c r="H64" s="151" t="s">
        <v>72</v>
      </c>
      <c r="I64" s="35">
        <f>I65+I66</f>
        <v>9824964.8800000008</v>
      </c>
      <c r="J64" s="35">
        <f>J65+J66</f>
        <v>2085.71</v>
      </c>
      <c r="K64" s="35">
        <f>K65+K66</f>
        <v>4728</v>
      </c>
    </row>
    <row r="65" spans="1:11" s="152" customFormat="1" x14ac:dyDescent="0.3">
      <c r="A65" s="265">
        <v>65</v>
      </c>
      <c r="B65" s="265"/>
      <c r="C65" s="266"/>
      <c r="D65" s="295"/>
      <c r="E65" s="295"/>
      <c r="F65" s="296"/>
      <c r="G65" s="265"/>
      <c r="H65" s="151" t="s">
        <v>73</v>
      </c>
      <c r="I65" s="35">
        <v>9706017.6799999997</v>
      </c>
      <c r="J65" s="35">
        <f>I65/D64</f>
        <v>2060.46</v>
      </c>
      <c r="K65" s="35">
        <v>4629</v>
      </c>
    </row>
    <row r="66" spans="1:11" s="152" customFormat="1" x14ac:dyDescent="0.3">
      <c r="A66" s="265">
        <v>66</v>
      </c>
      <c r="B66" s="265"/>
      <c r="C66" s="266"/>
      <c r="D66" s="295"/>
      <c r="E66" s="295"/>
      <c r="F66" s="296"/>
      <c r="G66" s="265"/>
      <c r="H66" s="151" t="s">
        <v>75</v>
      </c>
      <c r="I66" s="35">
        <v>118947.2</v>
      </c>
      <c r="J66" s="35">
        <f>I66/D64</f>
        <v>25.25</v>
      </c>
      <c r="K66" s="35">
        <v>99</v>
      </c>
    </row>
    <row r="67" spans="1:11" s="152" customFormat="1" x14ac:dyDescent="0.3">
      <c r="A67" s="259">
        <f>A64+1</f>
        <v>2</v>
      </c>
      <c r="B67" s="259">
        <v>5981</v>
      </c>
      <c r="C67" s="262" t="s">
        <v>177</v>
      </c>
      <c r="D67" s="256">
        <v>3619.5</v>
      </c>
      <c r="E67" s="256" t="s">
        <v>74</v>
      </c>
      <c r="F67" s="280">
        <v>4</v>
      </c>
      <c r="G67" s="156"/>
      <c r="H67" s="151" t="s">
        <v>72</v>
      </c>
      <c r="I67" s="35">
        <f>SUM(I68:I73)</f>
        <v>3560356.34</v>
      </c>
      <c r="J67" s="35">
        <f>SUM(J68:J73)</f>
        <v>983.66</v>
      </c>
      <c r="K67" s="35">
        <f>SUM(K68:K73)</f>
        <v>3121</v>
      </c>
    </row>
    <row r="68" spans="1:11" s="152" customFormat="1" ht="46.5" x14ac:dyDescent="0.3">
      <c r="A68" s="260"/>
      <c r="B68" s="260"/>
      <c r="C68" s="263"/>
      <c r="D68" s="257"/>
      <c r="E68" s="257"/>
      <c r="F68" s="281"/>
      <c r="G68" s="259" t="s">
        <v>77</v>
      </c>
      <c r="H68" s="151" t="s">
        <v>634</v>
      </c>
      <c r="I68" s="35">
        <f>37495.98+D67*2</f>
        <v>44734.98</v>
      </c>
      <c r="J68" s="35">
        <f>I68/D67</f>
        <v>12.36</v>
      </c>
      <c r="K68" s="35">
        <f>19+2</f>
        <v>21</v>
      </c>
    </row>
    <row r="69" spans="1:11" s="152" customFormat="1" x14ac:dyDescent="0.3">
      <c r="A69" s="260"/>
      <c r="B69" s="260"/>
      <c r="C69" s="263"/>
      <c r="D69" s="257"/>
      <c r="E69" s="257"/>
      <c r="F69" s="281"/>
      <c r="G69" s="260"/>
      <c r="H69" s="151" t="s">
        <v>73</v>
      </c>
      <c r="I69" s="35">
        <f>D67*K69*30/100</f>
        <v>502748.55</v>
      </c>
      <c r="J69" s="35">
        <f>I69/D67</f>
        <v>138.9</v>
      </c>
      <c r="K69" s="35">
        <v>463</v>
      </c>
    </row>
    <row r="70" spans="1:11" s="152" customFormat="1" ht="46.5" x14ac:dyDescent="0.3">
      <c r="A70" s="260"/>
      <c r="B70" s="260"/>
      <c r="C70" s="263"/>
      <c r="D70" s="257"/>
      <c r="E70" s="257"/>
      <c r="F70" s="281"/>
      <c r="G70" s="259" t="s">
        <v>78</v>
      </c>
      <c r="H70" s="151" t="s">
        <v>634</v>
      </c>
      <c r="I70" s="35">
        <f>30678.53+D67*1</f>
        <v>34298.03</v>
      </c>
      <c r="J70" s="35">
        <f>I70/D67</f>
        <v>9.48</v>
      </c>
      <c r="K70" s="35">
        <f>16+1</f>
        <v>17</v>
      </c>
    </row>
    <row r="71" spans="1:11" s="152" customFormat="1" x14ac:dyDescent="0.3">
      <c r="A71" s="260"/>
      <c r="B71" s="260"/>
      <c r="C71" s="263"/>
      <c r="D71" s="257"/>
      <c r="E71" s="257"/>
      <c r="F71" s="281"/>
      <c r="G71" s="260"/>
      <c r="H71" s="151" t="s">
        <v>73</v>
      </c>
      <c r="I71" s="35">
        <f>D67*K71*30/100</f>
        <v>444112.65</v>
      </c>
      <c r="J71" s="35">
        <f>I71/D67</f>
        <v>122.7</v>
      </c>
      <c r="K71" s="35">
        <v>409</v>
      </c>
    </row>
    <row r="72" spans="1:11" s="152" customFormat="1" ht="46.5" x14ac:dyDescent="0.3">
      <c r="A72" s="260"/>
      <c r="B72" s="260"/>
      <c r="C72" s="263"/>
      <c r="D72" s="257"/>
      <c r="E72" s="257"/>
      <c r="F72" s="281"/>
      <c r="G72" s="259" t="s">
        <v>76</v>
      </c>
      <c r="H72" s="151" t="s">
        <v>634</v>
      </c>
      <c r="I72" s="35">
        <f>208209.48+D67*7</f>
        <v>233545.98</v>
      </c>
      <c r="J72" s="35">
        <f>I72/D67</f>
        <v>64.52</v>
      </c>
      <c r="K72" s="35">
        <f>85+7</f>
        <v>92</v>
      </c>
    </row>
    <row r="73" spans="1:11" s="152" customFormat="1" x14ac:dyDescent="0.3">
      <c r="A73" s="260"/>
      <c r="B73" s="260"/>
      <c r="C73" s="263"/>
      <c r="D73" s="257"/>
      <c r="E73" s="257"/>
      <c r="F73" s="281"/>
      <c r="G73" s="260"/>
      <c r="H73" s="151" t="s">
        <v>73</v>
      </c>
      <c r="I73" s="35">
        <f>D67*K73*30/100</f>
        <v>2300916.15</v>
      </c>
      <c r="J73" s="35">
        <f>I73/D67</f>
        <v>635.70000000000005</v>
      </c>
      <c r="K73" s="35">
        <v>2119</v>
      </c>
    </row>
    <row r="74" spans="1:11" s="152" customFormat="1" x14ac:dyDescent="0.3">
      <c r="A74" s="265">
        <f>A67+1</f>
        <v>3</v>
      </c>
      <c r="B74" s="265">
        <v>5996</v>
      </c>
      <c r="C74" s="266" t="s">
        <v>179</v>
      </c>
      <c r="D74" s="295">
        <v>4076.9</v>
      </c>
      <c r="E74" s="295" t="s">
        <v>74</v>
      </c>
      <c r="F74" s="296">
        <v>5</v>
      </c>
      <c r="G74" s="265" t="s">
        <v>71</v>
      </c>
      <c r="H74" s="151" t="s">
        <v>72</v>
      </c>
      <c r="I74" s="35">
        <f>I75+I76</f>
        <v>9245950.6999999993</v>
      </c>
      <c r="J74" s="35">
        <f>J75+J76</f>
        <v>2267.89</v>
      </c>
      <c r="K74" s="35">
        <f>K75+K76</f>
        <v>2831</v>
      </c>
    </row>
    <row r="75" spans="1:11" s="152" customFormat="1" x14ac:dyDescent="0.3">
      <c r="A75" s="265">
        <v>65</v>
      </c>
      <c r="B75" s="265"/>
      <c r="C75" s="266"/>
      <c r="D75" s="295"/>
      <c r="E75" s="295"/>
      <c r="F75" s="296"/>
      <c r="G75" s="265"/>
      <c r="H75" s="151" t="s">
        <v>73</v>
      </c>
      <c r="I75" s="35">
        <v>9137425.4900000002</v>
      </c>
      <c r="J75" s="35">
        <f>I75/D74</f>
        <v>2241.27</v>
      </c>
      <c r="K75" s="35">
        <v>2772</v>
      </c>
    </row>
    <row r="76" spans="1:11" s="152" customFormat="1" x14ac:dyDescent="0.3">
      <c r="A76" s="265">
        <v>66</v>
      </c>
      <c r="B76" s="265"/>
      <c r="C76" s="266"/>
      <c r="D76" s="295"/>
      <c r="E76" s="295"/>
      <c r="F76" s="296"/>
      <c r="G76" s="265"/>
      <c r="H76" s="151" t="s">
        <v>75</v>
      </c>
      <c r="I76" s="35">
        <v>108525.21</v>
      </c>
      <c r="J76" s="35">
        <f>I76/D74</f>
        <v>26.62</v>
      </c>
      <c r="K76" s="35">
        <v>59</v>
      </c>
    </row>
    <row r="77" spans="1:11" s="152" customFormat="1" x14ac:dyDescent="0.3">
      <c r="A77" s="259">
        <f>A74+1</f>
        <v>4</v>
      </c>
      <c r="B77" s="259">
        <v>6025</v>
      </c>
      <c r="C77" s="262" t="s">
        <v>180</v>
      </c>
      <c r="D77" s="256">
        <v>3396.7</v>
      </c>
      <c r="E77" s="259" t="s">
        <v>74</v>
      </c>
      <c r="F77" s="259">
        <v>5</v>
      </c>
      <c r="G77" s="156"/>
      <c r="H77" s="151" t="s">
        <v>72</v>
      </c>
      <c r="I77" s="35">
        <f>SUM(I78:I83)</f>
        <v>8550752.3300000001</v>
      </c>
      <c r="J77" s="35">
        <f>SUM(J78:J83)</f>
        <v>2517.37</v>
      </c>
      <c r="K77" s="35">
        <f>SUM(K78:K83)</f>
        <v>3055</v>
      </c>
    </row>
    <row r="78" spans="1:11" s="152" customFormat="1" x14ac:dyDescent="0.3">
      <c r="A78" s="260"/>
      <c r="B78" s="260"/>
      <c r="C78" s="263"/>
      <c r="D78" s="257"/>
      <c r="E78" s="260"/>
      <c r="F78" s="260"/>
      <c r="G78" s="259" t="s">
        <v>76</v>
      </c>
      <c r="H78" s="151" t="s">
        <v>73</v>
      </c>
      <c r="I78" s="35">
        <v>7148459.6399999997</v>
      </c>
      <c r="J78" s="35">
        <f>I78/D77+0.01</f>
        <v>2104.54</v>
      </c>
      <c r="K78" s="35">
        <v>2119</v>
      </c>
    </row>
    <row r="79" spans="1:11" s="152" customFormat="1" x14ac:dyDescent="0.3">
      <c r="A79" s="260"/>
      <c r="B79" s="260"/>
      <c r="C79" s="263"/>
      <c r="D79" s="257"/>
      <c r="E79" s="260"/>
      <c r="F79" s="260"/>
      <c r="G79" s="261"/>
      <c r="H79" s="151" t="s">
        <v>75</v>
      </c>
      <c r="I79" s="35">
        <v>0</v>
      </c>
      <c r="J79" s="35">
        <v>0</v>
      </c>
      <c r="K79" s="35">
        <v>45</v>
      </c>
    </row>
    <row r="80" spans="1:11" s="152" customFormat="1" x14ac:dyDescent="0.3">
      <c r="A80" s="260"/>
      <c r="B80" s="260"/>
      <c r="C80" s="263"/>
      <c r="D80" s="257"/>
      <c r="E80" s="260"/>
      <c r="F80" s="260"/>
      <c r="G80" s="259" t="s">
        <v>77</v>
      </c>
      <c r="H80" s="151" t="s">
        <v>73</v>
      </c>
      <c r="I80" s="35">
        <v>404393.95</v>
      </c>
      <c r="J80" s="35">
        <f>I80/D77</f>
        <v>119.05</v>
      </c>
      <c r="K80" s="35">
        <v>463</v>
      </c>
    </row>
    <row r="81" spans="1:11" s="152" customFormat="1" x14ac:dyDescent="0.3">
      <c r="A81" s="260"/>
      <c r="B81" s="260"/>
      <c r="C81" s="263"/>
      <c r="D81" s="257"/>
      <c r="E81" s="260"/>
      <c r="F81" s="260"/>
      <c r="G81" s="261"/>
      <c r="H81" s="151" t="s">
        <v>75</v>
      </c>
      <c r="I81" s="35">
        <v>0</v>
      </c>
      <c r="J81" s="35">
        <v>0</v>
      </c>
      <c r="K81" s="35">
        <v>10</v>
      </c>
    </row>
    <row r="82" spans="1:11" s="152" customFormat="1" x14ac:dyDescent="0.3">
      <c r="A82" s="260"/>
      <c r="B82" s="260"/>
      <c r="C82" s="263"/>
      <c r="D82" s="257"/>
      <c r="E82" s="260"/>
      <c r="F82" s="260"/>
      <c r="G82" s="259" t="s">
        <v>78</v>
      </c>
      <c r="H82" s="151" t="s">
        <v>73</v>
      </c>
      <c r="I82" s="35">
        <v>997898.74</v>
      </c>
      <c r="J82" s="35">
        <f>I82/D77</f>
        <v>293.77999999999997</v>
      </c>
      <c r="K82" s="35">
        <v>409</v>
      </c>
    </row>
    <row r="83" spans="1:11" s="152" customFormat="1" x14ac:dyDescent="0.3">
      <c r="A83" s="261"/>
      <c r="B83" s="261"/>
      <c r="C83" s="264"/>
      <c r="D83" s="258"/>
      <c r="E83" s="261"/>
      <c r="F83" s="261"/>
      <c r="G83" s="260"/>
      <c r="H83" s="157" t="s">
        <v>75</v>
      </c>
      <c r="I83" s="158">
        <v>0</v>
      </c>
      <c r="J83" s="158">
        <v>0</v>
      </c>
      <c r="K83" s="158">
        <v>9</v>
      </c>
    </row>
    <row r="84" spans="1:11" s="152" customFormat="1" x14ac:dyDescent="0.3">
      <c r="A84" s="259">
        <f>A77+1</f>
        <v>5</v>
      </c>
      <c r="B84" s="259">
        <v>6042</v>
      </c>
      <c r="C84" s="262" t="s">
        <v>181</v>
      </c>
      <c r="D84" s="256">
        <v>2322.8000000000002</v>
      </c>
      <c r="E84" s="259" t="s">
        <v>74</v>
      </c>
      <c r="F84" s="259">
        <v>9</v>
      </c>
      <c r="G84" s="259" t="s">
        <v>641</v>
      </c>
      <c r="H84" s="151" t="s">
        <v>72</v>
      </c>
      <c r="I84" s="35">
        <f>SUM(I85:I87)</f>
        <v>1733403</v>
      </c>
      <c r="J84" s="35">
        <f>SUM(J85:J87)</f>
        <v>746.26</v>
      </c>
      <c r="K84" s="35">
        <f>SUM(K85:K87)</f>
        <v>762</v>
      </c>
    </row>
    <row r="85" spans="1:11" s="152" customFormat="1" ht="46.5" x14ac:dyDescent="0.3">
      <c r="A85" s="260"/>
      <c r="B85" s="260"/>
      <c r="C85" s="263"/>
      <c r="D85" s="257"/>
      <c r="E85" s="260"/>
      <c r="F85" s="260"/>
      <c r="G85" s="260"/>
      <c r="H85" s="151" t="s">
        <v>634</v>
      </c>
      <c r="I85" s="35">
        <v>24580</v>
      </c>
      <c r="J85" s="35">
        <f>I85/D84</f>
        <v>10.58</v>
      </c>
      <c r="K85" s="35">
        <f>I85/D84</f>
        <v>10.58</v>
      </c>
    </row>
    <row r="86" spans="1:11" s="152" customFormat="1" x14ac:dyDescent="0.3">
      <c r="A86" s="260"/>
      <c r="B86" s="260"/>
      <c r="C86" s="263"/>
      <c r="D86" s="257"/>
      <c r="E86" s="260"/>
      <c r="F86" s="260"/>
      <c r="G86" s="260"/>
      <c r="H86" s="151" t="s">
        <v>642</v>
      </c>
      <c r="I86" s="35">
        <v>1708823</v>
      </c>
      <c r="J86" s="35">
        <f>I86/D84+0.01</f>
        <v>735.68</v>
      </c>
      <c r="K86" s="35">
        <f>1708823/D84+0.01</f>
        <v>735.68</v>
      </c>
    </row>
    <row r="87" spans="1:11" s="152" customFormat="1" x14ac:dyDescent="0.3">
      <c r="A87" s="261"/>
      <c r="B87" s="261"/>
      <c r="C87" s="264"/>
      <c r="D87" s="258"/>
      <c r="E87" s="261"/>
      <c r="F87" s="261"/>
      <c r="G87" s="261"/>
      <c r="H87" s="151" t="s">
        <v>75</v>
      </c>
      <c r="I87" s="35">
        <v>0</v>
      </c>
      <c r="J87" s="35">
        <v>0</v>
      </c>
      <c r="K87" s="35">
        <f>36569/D84</f>
        <v>15.74</v>
      </c>
    </row>
    <row r="88" spans="1:11" s="152" customFormat="1" x14ac:dyDescent="0.3">
      <c r="A88" s="259">
        <f>A84+1</f>
        <v>6</v>
      </c>
      <c r="B88" s="259">
        <v>5833</v>
      </c>
      <c r="C88" s="262" t="s">
        <v>184</v>
      </c>
      <c r="D88" s="256">
        <v>2041.3</v>
      </c>
      <c r="E88" s="256" t="s">
        <v>74</v>
      </c>
      <c r="F88" s="280">
        <v>4</v>
      </c>
      <c r="G88" s="259" t="s">
        <v>71</v>
      </c>
      <c r="H88" s="151" t="s">
        <v>72</v>
      </c>
      <c r="I88" s="35">
        <f>I89+I90</f>
        <v>3035853.05</v>
      </c>
      <c r="J88" s="35">
        <f>J89+J90</f>
        <v>1487.22</v>
      </c>
      <c r="K88" s="35">
        <f>K89+K90</f>
        <v>4793</v>
      </c>
    </row>
    <row r="89" spans="1:11" s="152" customFormat="1" ht="46.5" x14ac:dyDescent="0.3">
      <c r="A89" s="260"/>
      <c r="B89" s="260"/>
      <c r="C89" s="263"/>
      <c r="D89" s="257"/>
      <c r="E89" s="257"/>
      <c r="F89" s="281"/>
      <c r="G89" s="260"/>
      <c r="H89" s="151" t="s">
        <v>673</v>
      </c>
      <c r="I89" s="35">
        <f>174562.84+D88*13</f>
        <v>201099.74</v>
      </c>
      <c r="J89" s="35">
        <f>I89/D88</f>
        <v>98.52</v>
      </c>
      <c r="K89" s="35">
        <f>151+13</f>
        <v>164</v>
      </c>
    </row>
    <row r="90" spans="1:11" s="152" customFormat="1" x14ac:dyDescent="0.3">
      <c r="A90" s="260"/>
      <c r="B90" s="260"/>
      <c r="C90" s="263"/>
      <c r="D90" s="257"/>
      <c r="E90" s="257"/>
      <c r="F90" s="281"/>
      <c r="G90" s="260"/>
      <c r="H90" s="151" t="s">
        <v>73</v>
      </c>
      <c r="I90" s="35">
        <f>D88*K90*30/100</f>
        <v>2834753.31</v>
      </c>
      <c r="J90" s="35">
        <f>I90/D88</f>
        <v>1388.7</v>
      </c>
      <c r="K90" s="35">
        <v>4629</v>
      </c>
    </row>
    <row r="91" spans="1:11" s="152" customFormat="1" x14ac:dyDescent="0.3">
      <c r="A91" s="259">
        <f>A88+1</f>
        <v>7</v>
      </c>
      <c r="B91" s="259">
        <v>5842</v>
      </c>
      <c r="C91" s="262" t="s">
        <v>185</v>
      </c>
      <c r="D91" s="256">
        <v>911.5</v>
      </c>
      <c r="E91" s="256" t="s">
        <v>79</v>
      </c>
      <c r="F91" s="280">
        <v>2</v>
      </c>
      <c r="G91" s="259" t="s">
        <v>71</v>
      </c>
      <c r="H91" s="151" t="s">
        <v>72</v>
      </c>
      <c r="I91" s="35">
        <f>I92+I93</f>
        <v>2000669.61</v>
      </c>
      <c r="J91" s="35">
        <f>J92+J93</f>
        <v>2194.92</v>
      </c>
      <c r="K91" s="35">
        <f>K92+K93</f>
        <v>7096</v>
      </c>
    </row>
    <row r="92" spans="1:11" s="152" customFormat="1" ht="46.5" x14ac:dyDescent="0.3">
      <c r="A92" s="260"/>
      <c r="B92" s="260"/>
      <c r="C92" s="263"/>
      <c r="D92" s="257"/>
      <c r="E92" s="257"/>
      <c r="F92" s="281"/>
      <c r="G92" s="260"/>
      <c r="H92" s="151" t="s">
        <v>673</v>
      </c>
      <c r="I92" s="35">
        <f>96181.51+D91*14</f>
        <v>108942.51</v>
      </c>
      <c r="J92" s="35">
        <f>I92/D91</f>
        <v>119.52</v>
      </c>
      <c r="K92" s="35">
        <f>164+14</f>
        <v>178</v>
      </c>
    </row>
    <row r="93" spans="1:11" s="152" customFormat="1" x14ac:dyDescent="0.3">
      <c r="A93" s="261"/>
      <c r="B93" s="261"/>
      <c r="C93" s="264"/>
      <c r="D93" s="258"/>
      <c r="E93" s="258"/>
      <c r="F93" s="294"/>
      <c r="G93" s="261"/>
      <c r="H93" s="151" t="s">
        <v>73</v>
      </c>
      <c r="I93" s="35">
        <f>D91*K93*30/100</f>
        <v>1891727.1</v>
      </c>
      <c r="J93" s="35">
        <f>I93/D91</f>
        <v>2075.4</v>
      </c>
      <c r="K93" s="35">
        <v>6918</v>
      </c>
    </row>
    <row r="94" spans="1:11" s="152" customFormat="1" x14ac:dyDescent="0.3">
      <c r="A94" s="259">
        <f>A91+1</f>
        <v>8</v>
      </c>
      <c r="B94" s="259">
        <v>5862</v>
      </c>
      <c r="C94" s="262" t="s">
        <v>186</v>
      </c>
      <c r="D94" s="256">
        <v>2376.8000000000002</v>
      </c>
      <c r="E94" s="256" t="s">
        <v>74</v>
      </c>
      <c r="F94" s="280">
        <v>4</v>
      </c>
      <c r="G94" s="156"/>
      <c r="H94" s="151" t="s">
        <v>72</v>
      </c>
      <c r="I94" s="35">
        <f>SUM(I95:I99)</f>
        <v>315143.13</v>
      </c>
      <c r="J94" s="35">
        <f>SUM(J95:J99)</f>
        <v>132.59</v>
      </c>
      <c r="K94" s="35">
        <f>SUM(K95:K99)</f>
        <v>226</v>
      </c>
    </row>
    <row r="95" spans="1:11" s="152" customFormat="1" ht="46.5" x14ac:dyDescent="0.3">
      <c r="A95" s="260"/>
      <c r="B95" s="260"/>
      <c r="C95" s="263"/>
      <c r="D95" s="257"/>
      <c r="E95" s="257"/>
      <c r="F95" s="281"/>
      <c r="G95" s="155" t="s">
        <v>76</v>
      </c>
      <c r="H95" s="151" t="s">
        <v>634</v>
      </c>
      <c r="I95" s="35">
        <f>137167.74+D94*9</f>
        <v>158558.94</v>
      </c>
      <c r="J95" s="35">
        <f>I95/D94</f>
        <v>66.709999999999994</v>
      </c>
      <c r="K95" s="35">
        <f>108+9</f>
        <v>117</v>
      </c>
    </row>
    <row r="96" spans="1:11" s="152" customFormat="1" ht="46.5" x14ac:dyDescent="0.3">
      <c r="A96" s="260"/>
      <c r="B96" s="260"/>
      <c r="C96" s="263"/>
      <c r="D96" s="257"/>
      <c r="E96" s="257"/>
      <c r="F96" s="281"/>
      <c r="G96" s="155" t="s">
        <v>89</v>
      </c>
      <c r="H96" s="159" t="s">
        <v>634</v>
      </c>
      <c r="I96" s="35">
        <f>34755.38+D94*2</f>
        <v>39508.980000000003</v>
      </c>
      <c r="J96" s="35">
        <f>I96/D94</f>
        <v>16.62</v>
      </c>
      <c r="K96" s="35">
        <f>18+2</f>
        <v>20</v>
      </c>
    </row>
    <row r="97" spans="1:11" s="152" customFormat="1" ht="132.5" customHeight="1" x14ac:dyDescent="0.3">
      <c r="A97" s="260"/>
      <c r="B97" s="260"/>
      <c r="C97" s="263"/>
      <c r="D97" s="257"/>
      <c r="E97" s="257"/>
      <c r="F97" s="281"/>
      <c r="G97" s="155" t="s">
        <v>643</v>
      </c>
      <c r="H97" s="159" t="s">
        <v>634</v>
      </c>
      <c r="I97" s="35">
        <f>40405.6+D94*4</f>
        <v>49912.800000000003</v>
      </c>
      <c r="J97" s="35">
        <f>I97/D94</f>
        <v>21</v>
      </c>
      <c r="K97" s="35">
        <f>47+4</f>
        <v>51</v>
      </c>
    </row>
    <row r="98" spans="1:11" s="152" customFormat="1" ht="46.5" x14ac:dyDescent="0.3">
      <c r="A98" s="260"/>
      <c r="B98" s="260"/>
      <c r="C98" s="263"/>
      <c r="D98" s="257"/>
      <c r="E98" s="257"/>
      <c r="F98" s="281"/>
      <c r="G98" s="155" t="s">
        <v>77</v>
      </c>
      <c r="H98" s="151" t="s">
        <v>634</v>
      </c>
      <c r="I98" s="35">
        <f>36335.16+D94*2</f>
        <v>41088.76</v>
      </c>
      <c r="J98" s="35">
        <f>I98/D94</f>
        <v>17.29</v>
      </c>
      <c r="K98" s="35">
        <f>19+2</f>
        <v>21</v>
      </c>
    </row>
    <row r="99" spans="1:11" s="152" customFormat="1" ht="46.5" x14ac:dyDescent="0.3">
      <c r="A99" s="260"/>
      <c r="B99" s="260"/>
      <c r="C99" s="263"/>
      <c r="D99" s="257"/>
      <c r="E99" s="257"/>
      <c r="F99" s="281"/>
      <c r="G99" s="153" t="s">
        <v>78</v>
      </c>
      <c r="H99" s="151" t="s">
        <v>634</v>
      </c>
      <c r="I99" s="35">
        <f>23696.85+D94*1</f>
        <v>26073.65</v>
      </c>
      <c r="J99" s="35">
        <f>I99/D94</f>
        <v>10.97</v>
      </c>
      <c r="K99" s="35">
        <f>16+1</f>
        <v>17</v>
      </c>
    </row>
    <row r="100" spans="1:11" s="152" customFormat="1" x14ac:dyDescent="0.3">
      <c r="A100" s="259">
        <f>A94+1</f>
        <v>9</v>
      </c>
      <c r="B100" s="259">
        <v>5869</v>
      </c>
      <c r="C100" s="262" t="s">
        <v>188</v>
      </c>
      <c r="D100" s="256">
        <v>2371.4299999999998</v>
      </c>
      <c r="E100" s="256" t="s">
        <v>74</v>
      </c>
      <c r="F100" s="280">
        <v>4</v>
      </c>
      <c r="G100" s="259" t="s">
        <v>78</v>
      </c>
      <c r="H100" s="151" t="s">
        <v>72</v>
      </c>
      <c r="I100" s="35">
        <f>I101</f>
        <v>179497.86</v>
      </c>
      <c r="J100" s="35">
        <f>J101</f>
        <v>75.69</v>
      </c>
      <c r="K100" s="35">
        <f>K101</f>
        <v>409</v>
      </c>
    </row>
    <row r="101" spans="1:11" s="152" customFormat="1" x14ac:dyDescent="0.3">
      <c r="A101" s="260"/>
      <c r="B101" s="260"/>
      <c r="C101" s="263"/>
      <c r="D101" s="257"/>
      <c r="E101" s="257"/>
      <c r="F101" s="281"/>
      <c r="G101" s="260"/>
      <c r="H101" s="151" t="s">
        <v>73</v>
      </c>
      <c r="I101" s="35">
        <f>598326.21*0.3</f>
        <v>179497.86</v>
      </c>
      <c r="J101" s="35">
        <f>I101/D100</f>
        <v>75.69</v>
      </c>
      <c r="K101" s="35">
        <v>409</v>
      </c>
    </row>
    <row r="102" spans="1:11" s="152" customFormat="1" x14ac:dyDescent="0.3">
      <c r="A102" s="259">
        <f>A100+1</f>
        <v>10</v>
      </c>
      <c r="B102" s="259">
        <v>5874</v>
      </c>
      <c r="C102" s="262" t="s">
        <v>190</v>
      </c>
      <c r="D102" s="256">
        <v>2947.8</v>
      </c>
      <c r="E102" s="256" t="s">
        <v>74</v>
      </c>
      <c r="F102" s="280">
        <v>4</v>
      </c>
      <c r="G102" s="259" t="s">
        <v>71</v>
      </c>
      <c r="H102" s="151" t="s">
        <v>72</v>
      </c>
      <c r="I102" s="35">
        <f>I103+I104</f>
        <v>4335978.1399999997</v>
      </c>
      <c r="J102" s="35">
        <f>J103+J104</f>
        <v>1470.92</v>
      </c>
      <c r="K102" s="35">
        <f>K103+K104</f>
        <v>4793</v>
      </c>
    </row>
    <row r="103" spans="1:11" s="152" customFormat="1" ht="46.5" x14ac:dyDescent="0.3">
      <c r="A103" s="260"/>
      <c r="B103" s="260"/>
      <c r="C103" s="263"/>
      <c r="D103" s="257"/>
      <c r="E103" s="257"/>
      <c r="F103" s="281"/>
      <c r="G103" s="260"/>
      <c r="H103" s="151" t="s">
        <v>673</v>
      </c>
      <c r="I103" s="35">
        <f>204046.88+D102*13</f>
        <v>242368.28</v>
      </c>
      <c r="J103" s="35">
        <f>I103/D102</f>
        <v>82.22</v>
      </c>
      <c r="K103" s="35">
        <f>151+13</f>
        <v>164</v>
      </c>
    </row>
    <row r="104" spans="1:11" s="152" customFormat="1" x14ac:dyDescent="0.3">
      <c r="A104" s="260"/>
      <c r="B104" s="260"/>
      <c r="C104" s="263"/>
      <c r="D104" s="257"/>
      <c r="E104" s="257"/>
      <c r="F104" s="281"/>
      <c r="G104" s="260"/>
      <c r="H104" s="151" t="s">
        <v>73</v>
      </c>
      <c r="I104" s="35">
        <f>D102*K104*30/100</f>
        <v>4093609.86</v>
      </c>
      <c r="J104" s="35">
        <f>I104/D102</f>
        <v>1388.7</v>
      </c>
      <c r="K104" s="35">
        <v>4629</v>
      </c>
    </row>
    <row r="105" spans="1:11" s="152" customFormat="1" x14ac:dyDescent="0.3">
      <c r="A105" s="259">
        <f>A102+1</f>
        <v>11</v>
      </c>
      <c r="B105" s="259">
        <v>5877</v>
      </c>
      <c r="C105" s="262" t="s">
        <v>644</v>
      </c>
      <c r="D105" s="256">
        <v>887.8</v>
      </c>
      <c r="E105" s="259" t="s">
        <v>79</v>
      </c>
      <c r="F105" s="259">
        <v>2</v>
      </c>
      <c r="G105" s="155"/>
      <c r="H105" s="151" t="s">
        <v>72</v>
      </c>
      <c r="I105" s="35">
        <f>I106+I107</f>
        <v>33736.400000000001</v>
      </c>
      <c r="J105" s="35">
        <f>J106+J107</f>
        <v>38</v>
      </c>
      <c r="K105" s="35">
        <f>K106+K107</f>
        <v>38</v>
      </c>
    </row>
    <row r="106" spans="1:11" s="152" customFormat="1" ht="46.5" x14ac:dyDescent="0.3">
      <c r="A106" s="260"/>
      <c r="B106" s="260"/>
      <c r="C106" s="263"/>
      <c r="D106" s="257"/>
      <c r="E106" s="260"/>
      <c r="F106" s="260"/>
      <c r="G106" s="155" t="s">
        <v>77</v>
      </c>
      <c r="H106" s="151" t="s">
        <v>634</v>
      </c>
      <c r="I106" s="35">
        <f>D105*K106</f>
        <v>17756</v>
      </c>
      <c r="J106" s="35">
        <f>I106/D105</f>
        <v>20</v>
      </c>
      <c r="K106" s="35">
        <f>18+2</f>
        <v>20</v>
      </c>
    </row>
    <row r="107" spans="1:11" s="152" customFormat="1" ht="46.5" x14ac:dyDescent="0.3">
      <c r="A107" s="261"/>
      <c r="B107" s="261"/>
      <c r="C107" s="264"/>
      <c r="D107" s="258"/>
      <c r="E107" s="261"/>
      <c r="F107" s="261"/>
      <c r="G107" s="155" t="s">
        <v>78</v>
      </c>
      <c r="H107" s="151" t="s">
        <v>634</v>
      </c>
      <c r="I107" s="35">
        <f>D105*K107</f>
        <v>15980.4</v>
      </c>
      <c r="J107" s="35">
        <f>I107/D105</f>
        <v>18</v>
      </c>
      <c r="K107" s="35">
        <f>17+1</f>
        <v>18</v>
      </c>
    </row>
    <row r="108" spans="1:11" s="152" customFormat="1" x14ac:dyDescent="0.3">
      <c r="A108" s="259">
        <f>A105+1</f>
        <v>12</v>
      </c>
      <c r="B108" s="259">
        <v>5881</v>
      </c>
      <c r="C108" s="262" t="s">
        <v>192</v>
      </c>
      <c r="D108" s="256">
        <v>5440.4</v>
      </c>
      <c r="E108" s="256" t="s">
        <v>74</v>
      </c>
      <c r="F108" s="300">
        <v>5</v>
      </c>
      <c r="G108" s="156"/>
      <c r="H108" s="151" t="s">
        <v>72</v>
      </c>
      <c r="I108" s="35">
        <f>I109+I110+I111+I112+I113+I114</f>
        <v>12437220.060000001</v>
      </c>
      <c r="J108" s="35">
        <f>J109+J110+J111+J112+J113+J114</f>
        <v>2286.09</v>
      </c>
      <c r="K108" s="35">
        <f>K109+K110+K111+K112+K113+K114</f>
        <v>3055</v>
      </c>
    </row>
    <row r="109" spans="1:11" s="152" customFormat="1" x14ac:dyDescent="0.3">
      <c r="A109" s="260"/>
      <c r="B109" s="260"/>
      <c r="C109" s="263"/>
      <c r="D109" s="257"/>
      <c r="E109" s="257"/>
      <c r="F109" s="301"/>
      <c r="G109" s="259" t="s">
        <v>76</v>
      </c>
      <c r="H109" s="151" t="s">
        <v>73</v>
      </c>
      <c r="I109" s="35">
        <v>9854710.9100000001</v>
      </c>
      <c r="J109" s="35">
        <f>I109/D108+0.01</f>
        <v>1811.4</v>
      </c>
      <c r="K109" s="35">
        <v>2119</v>
      </c>
    </row>
    <row r="110" spans="1:11" s="152" customFormat="1" x14ac:dyDescent="0.3">
      <c r="A110" s="260"/>
      <c r="B110" s="260"/>
      <c r="C110" s="263"/>
      <c r="D110" s="257"/>
      <c r="E110" s="257"/>
      <c r="F110" s="301"/>
      <c r="G110" s="261"/>
      <c r="H110" s="151" t="s">
        <v>75</v>
      </c>
      <c r="I110" s="35">
        <v>0</v>
      </c>
      <c r="J110" s="35">
        <v>0</v>
      </c>
      <c r="K110" s="35">
        <v>45</v>
      </c>
    </row>
    <row r="111" spans="1:11" s="152" customFormat="1" x14ac:dyDescent="0.3">
      <c r="A111" s="260"/>
      <c r="B111" s="260"/>
      <c r="C111" s="263"/>
      <c r="D111" s="257"/>
      <c r="E111" s="257"/>
      <c r="F111" s="301"/>
      <c r="G111" s="259" t="s">
        <v>77</v>
      </c>
      <c r="H111" s="151" t="s">
        <v>73</v>
      </c>
      <c r="I111" s="35">
        <v>651568.86</v>
      </c>
      <c r="J111" s="35">
        <f>I111/D108</f>
        <v>119.76</v>
      </c>
      <c r="K111" s="35">
        <v>463</v>
      </c>
    </row>
    <row r="112" spans="1:11" s="152" customFormat="1" x14ac:dyDescent="0.3">
      <c r="A112" s="260"/>
      <c r="B112" s="260"/>
      <c r="C112" s="263"/>
      <c r="D112" s="257"/>
      <c r="E112" s="257"/>
      <c r="F112" s="301"/>
      <c r="G112" s="261"/>
      <c r="H112" s="151" t="s">
        <v>75</v>
      </c>
      <c r="I112" s="35">
        <v>0</v>
      </c>
      <c r="J112" s="35">
        <v>0</v>
      </c>
      <c r="K112" s="35">
        <v>10</v>
      </c>
    </row>
    <row r="113" spans="1:11" s="152" customFormat="1" x14ac:dyDescent="0.3">
      <c r="A113" s="260"/>
      <c r="B113" s="260"/>
      <c r="C113" s="263"/>
      <c r="D113" s="257"/>
      <c r="E113" s="257"/>
      <c r="F113" s="301"/>
      <c r="G113" s="259" t="s">
        <v>78</v>
      </c>
      <c r="H113" s="151" t="s">
        <v>73</v>
      </c>
      <c r="I113" s="35">
        <v>1930940.29</v>
      </c>
      <c r="J113" s="35">
        <f>I113/D108</f>
        <v>354.93</v>
      </c>
      <c r="K113" s="35">
        <v>409</v>
      </c>
    </row>
    <row r="114" spans="1:11" s="152" customFormat="1" x14ac:dyDescent="0.3">
      <c r="A114" s="261"/>
      <c r="B114" s="261"/>
      <c r="C114" s="264"/>
      <c r="D114" s="258"/>
      <c r="E114" s="258"/>
      <c r="F114" s="302"/>
      <c r="G114" s="261"/>
      <c r="H114" s="151" t="s">
        <v>75</v>
      </c>
      <c r="I114" s="35">
        <v>0</v>
      </c>
      <c r="J114" s="35">
        <v>0</v>
      </c>
      <c r="K114" s="35">
        <v>9</v>
      </c>
    </row>
    <row r="115" spans="1:11" s="152" customFormat="1" x14ac:dyDescent="0.3">
      <c r="A115" s="259">
        <f>A108+1</f>
        <v>13</v>
      </c>
      <c r="B115" s="259">
        <v>5913</v>
      </c>
      <c r="C115" s="262" t="s">
        <v>193</v>
      </c>
      <c r="D115" s="256">
        <v>659.4</v>
      </c>
      <c r="E115" s="256" t="s">
        <v>74</v>
      </c>
      <c r="F115" s="280">
        <v>2</v>
      </c>
      <c r="G115" s="259" t="s">
        <v>71</v>
      </c>
      <c r="H115" s="151" t="s">
        <v>72</v>
      </c>
      <c r="I115" s="35">
        <f>I116+I117</f>
        <v>1465131.83</v>
      </c>
      <c r="J115" s="35">
        <f>J116+J117</f>
        <v>2221.92</v>
      </c>
      <c r="K115" s="35">
        <f>K116+K117</f>
        <v>7082</v>
      </c>
    </row>
    <row r="116" spans="1:11" s="152" customFormat="1" ht="46.5" x14ac:dyDescent="0.3">
      <c r="A116" s="260"/>
      <c r="B116" s="260"/>
      <c r="C116" s="263"/>
      <c r="D116" s="257"/>
      <c r="E116" s="257"/>
      <c r="F116" s="281"/>
      <c r="G116" s="260"/>
      <c r="H116" s="151" t="s">
        <v>673</v>
      </c>
      <c r="I116" s="35">
        <f>88040.87+D115*13</f>
        <v>96613.07</v>
      </c>
      <c r="J116" s="35">
        <f>I116/D115</f>
        <v>146.52000000000001</v>
      </c>
      <c r="K116" s="35">
        <f>151+13</f>
        <v>164</v>
      </c>
    </row>
    <row r="117" spans="1:11" s="152" customFormat="1" x14ac:dyDescent="0.3">
      <c r="A117" s="261"/>
      <c r="B117" s="261"/>
      <c r="C117" s="264"/>
      <c r="D117" s="258"/>
      <c r="E117" s="258"/>
      <c r="F117" s="294"/>
      <c r="G117" s="261"/>
      <c r="H117" s="151" t="s">
        <v>73</v>
      </c>
      <c r="I117" s="35">
        <f>D115*K117*30/100</f>
        <v>1368518.76</v>
      </c>
      <c r="J117" s="35">
        <f>I117/D115</f>
        <v>2075.4</v>
      </c>
      <c r="K117" s="35">
        <v>6918</v>
      </c>
    </row>
    <row r="118" spans="1:11" s="152" customFormat="1" x14ac:dyDescent="0.3">
      <c r="A118" s="259">
        <f>A115+1</f>
        <v>14</v>
      </c>
      <c r="B118" s="259">
        <v>5941</v>
      </c>
      <c r="C118" s="262" t="s">
        <v>194</v>
      </c>
      <c r="D118" s="256">
        <v>527.29999999999995</v>
      </c>
      <c r="E118" s="256" t="s">
        <v>633</v>
      </c>
      <c r="F118" s="280">
        <v>2</v>
      </c>
      <c r="G118" s="259" t="s">
        <v>71</v>
      </c>
      <c r="H118" s="151" t="s">
        <v>72</v>
      </c>
      <c r="I118" s="35">
        <f>I119</f>
        <v>81882.490000000005</v>
      </c>
      <c r="J118" s="35">
        <f>J119</f>
        <v>155.29</v>
      </c>
      <c r="K118" s="35">
        <f>K119</f>
        <v>178</v>
      </c>
    </row>
    <row r="119" spans="1:11" s="152" customFormat="1" ht="46.5" x14ac:dyDescent="0.3">
      <c r="A119" s="260"/>
      <c r="B119" s="260"/>
      <c r="C119" s="263"/>
      <c r="D119" s="257"/>
      <c r="E119" s="257"/>
      <c r="F119" s="281"/>
      <c r="G119" s="260"/>
      <c r="H119" s="151" t="s">
        <v>673</v>
      </c>
      <c r="I119" s="35">
        <v>81882.490000000005</v>
      </c>
      <c r="J119" s="35">
        <f>I119/D118</f>
        <v>155.29</v>
      </c>
      <c r="K119" s="35">
        <f>164+14</f>
        <v>178</v>
      </c>
    </row>
    <row r="120" spans="1:11" s="152" customFormat="1" x14ac:dyDescent="0.3">
      <c r="A120" s="259">
        <f>A118+1</f>
        <v>15</v>
      </c>
      <c r="B120" s="259">
        <v>5947</v>
      </c>
      <c r="C120" s="262" t="s">
        <v>195</v>
      </c>
      <c r="D120" s="256">
        <v>501.3</v>
      </c>
      <c r="E120" s="256" t="s">
        <v>633</v>
      </c>
      <c r="F120" s="280">
        <v>2</v>
      </c>
      <c r="G120" s="259" t="s">
        <v>71</v>
      </c>
      <c r="H120" s="151" t="s">
        <v>72</v>
      </c>
      <c r="I120" s="35">
        <f>I121+I122</f>
        <v>1129629.42</v>
      </c>
      <c r="J120" s="35">
        <f>J121+J122</f>
        <v>2253.4</v>
      </c>
      <c r="K120" s="35">
        <f>K121+K122</f>
        <v>7096</v>
      </c>
    </row>
    <row r="121" spans="1:11" s="152" customFormat="1" ht="46.5" x14ac:dyDescent="0.3">
      <c r="A121" s="260"/>
      <c r="B121" s="260"/>
      <c r="C121" s="263"/>
      <c r="D121" s="257"/>
      <c r="E121" s="257"/>
      <c r="F121" s="281"/>
      <c r="G121" s="260"/>
      <c r="H121" s="151" t="s">
        <v>673</v>
      </c>
      <c r="I121" s="35">
        <f>K121*D120</f>
        <v>89231.4</v>
      </c>
      <c r="J121" s="35">
        <f>I121/D120</f>
        <v>178</v>
      </c>
      <c r="K121" s="35">
        <f>164+14</f>
        <v>178</v>
      </c>
    </row>
    <row r="122" spans="1:11" s="152" customFormat="1" x14ac:dyDescent="0.3">
      <c r="A122" s="261"/>
      <c r="B122" s="261"/>
      <c r="C122" s="264"/>
      <c r="D122" s="258"/>
      <c r="E122" s="258"/>
      <c r="F122" s="294"/>
      <c r="G122" s="261"/>
      <c r="H122" s="151" t="s">
        <v>73</v>
      </c>
      <c r="I122" s="35">
        <f>D120*K122*30/100</f>
        <v>1040398.02</v>
      </c>
      <c r="J122" s="35">
        <f>I122/D120</f>
        <v>2075.4</v>
      </c>
      <c r="K122" s="35">
        <v>6918</v>
      </c>
    </row>
    <row r="123" spans="1:11" s="152" customFormat="1" x14ac:dyDescent="0.3">
      <c r="A123" s="259">
        <f>A120+1</f>
        <v>16</v>
      </c>
      <c r="B123" s="259">
        <v>6071</v>
      </c>
      <c r="C123" s="262" t="s">
        <v>196</v>
      </c>
      <c r="D123" s="256">
        <v>615.65</v>
      </c>
      <c r="E123" s="256" t="s">
        <v>79</v>
      </c>
      <c r="F123" s="280">
        <v>2</v>
      </c>
      <c r="G123" s="156"/>
      <c r="H123" s="151" t="s">
        <v>72</v>
      </c>
      <c r="I123" s="35">
        <f>SUM(I124:I127)</f>
        <v>184818.13</v>
      </c>
      <c r="J123" s="35">
        <f>SUM(J124:J127)</f>
        <v>300.2</v>
      </c>
      <c r="K123" s="35">
        <f>SUM(K124:K127)</f>
        <v>912</v>
      </c>
    </row>
    <row r="124" spans="1:11" s="152" customFormat="1" ht="46.5" x14ac:dyDescent="0.3">
      <c r="A124" s="260"/>
      <c r="B124" s="260"/>
      <c r="C124" s="263"/>
      <c r="D124" s="257"/>
      <c r="E124" s="257"/>
      <c r="F124" s="281"/>
      <c r="G124" s="259" t="s">
        <v>77</v>
      </c>
      <c r="H124" s="151" t="s">
        <v>634</v>
      </c>
      <c r="I124" s="35">
        <f>D123*K124</f>
        <v>12313</v>
      </c>
      <c r="J124" s="35">
        <f>I124/D123</f>
        <v>20</v>
      </c>
      <c r="K124" s="35">
        <f>18+2</f>
        <v>20</v>
      </c>
    </row>
    <row r="125" spans="1:11" s="152" customFormat="1" x14ac:dyDescent="0.3">
      <c r="A125" s="260"/>
      <c r="B125" s="260"/>
      <c r="C125" s="263"/>
      <c r="D125" s="257"/>
      <c r="E125" s="257"/>
      <c r="F125" s="281"/>
      <c r="G125" s="261"/>
      <c r="H125" s="151" t="s">
        <v>73</v>
      </c>
      <c r="I125" s="35">
        <f>D123*K125*30/100</f>
        <v>83482.14</v>
      </c>
      <c r="J125" s="35">
        <f>I125/D123</f>
        <v>135.6</v>
      </c>
      <c r="K125" s="35">
        <v>452</v>
      </c>
    </row>
    <row r="126" spans="1:11" s="152" customFormat="1" ht="46.5" x14ac:dyDescent="0.3">
      <c r="A126" s="260"/>
      <c r="B126" s="260"/>
      <c r="C126" s="263"/>
      <c r="D126" s="257"/>
      <c r="E126" s="257"/>
      <c r="F126" s="281"/>
      <c r="G126" s="259" t="s">
        <v>78</v>
      </c>
      <c r="H126" s="151" t="s">
        <v>634</v>
      </c>
      <c r="I126" s="35">
        <f>D123*K126</f>
        <v>11081.7</v>
      </c>
      <c r="J126" s="35">
        <f>I126/D123</f>
        <v>18</v>
      </c>
      <c r="K126" s="35">
        <f>17+1</f>
        <v>18</v>
      </c>
    </row>
    <row r="127" spans="1:11" s="152" customFormat="1" x14ac:dyDescent="0.3">
      <c r="A127" s="261"/>
      <c r="B127" s="261"/>
      <c r="C127" s="264"/>
      <c r="D127" s="258"/>
      <c r="E127" s="258"/>
      <c r="F127" s="294"/>
      <c r="G127" s="261"/>
      <c r="H127" s="151" t="s">
        <v>73</v>
      </c>
      <c r="I127" s="35">
        <f>D123*K127*30/100</f>
        <v>77941.289999999994</v>
      </c>
      <c r="J127" s="35">
        <f>I127/D123</f>
        <v>126.6</v>
      </c>
      <c r="K127" s="35">
        <v>422</v>
      </c>
    </row>
    <row r="128" spans="1:11" s="152" customFormat="1" x14ac:dyDescent="0.3">
      <c r="A128" s="259">
        <f>A123+1</f>
        <v>17</v>
      </c>
      <c r="B128" s="259">
        <v>6072</v>
      </c>
      <c r="C128" s="262" t="s">
        <v>198</v>
      </c>
      <c r="D128" s="256">
        <v>534.9</v>
      </c>
      <c r="E128" s="256" t="s">
        <v>79</v>
      </c>
      <c r="F128" s="280">
        <v>2</v>
      </c>
      <c r="G128" s="259" t="s">
        <v>71</v>
      </c>
      <c r="H128" s="151" t="s">
        <v>72</v>
      </c>
      <c r="I128" s="35">
        <f>I129+I130</f>
        <v>1205343.6599999999</v>
      </c>
      <c r="J128" s="35">
        <f>J129+J130</f>
        <v>2253.4</v>
      </c>
      <c r="K128" s="35">
        <f>K129+K130</f>
        <v>7096</v>
      </c>
    </row>
    <row r="129" spans="1:11" s="152" customFormat="1" ht="46.5" x14ac:dyDescent="0.3">
      <c r="A129" s="260"/>
      <c r="B129" s="260"/>
      <c r="C129" s="263"/>
      <c r="D129" s="257"/>
      <c r="E129" s="257"/>
      <c r="F129" s="281"/>
      <c r="G129" s="260"/>
      <c r="H129" s="151" t="s">
        <v>673</v>
      </c>
      <c r="I129" s="35">
        <f>87723.6+D128*14</f>
        <v>95212.2</v>
      </c>
      <c r="J129" s="35">
        <f>I129/D128</f>
        <v>178</v>
      </c>
      <c r="K129" s="35">
        <f>164+14</f>
        <v>178</v>
      </c>
    </row>
    <row r="130" spans="1:11" s="152" customFormat="1" ht="25" customHeight="1" x14ac:dyDescent="0.3">
      <c r="A130" s="261"/>
      <c r="B130" s="261"/>
      <c r="C130" s="264"/>
      <c r="D130" s="258"/>
      <c r="E130" s="258"/>
      <c r="F130" s="294"/>
      <c r="G130" s="261"/>
      <c r="H130" s="151" t="s">
        <v>73</v>
      </c>
      <c r="I130" s="35">
        <f>D128*K130*30/100</f>
        <v>1110131.46</v>
      </c>
      <c r="J130" s="35">
        <f>I130/D128</f>
        <v>2075.4</v>
      </c>
      <c r="K130" s="35">
        <v>6918</v>
      </c>
    </row>
    <row r="131" spans="1:11" s="152" customFormat="1" ht="25" customHeight="1" x14ac:dyDescent="0.3">
      <c r="A131" s="259">
        <f>A128+1</f>
        <v>18</v>
      </c>
      <c r="B131" s="259">
        <v>6074</v>
      </c>
      <c r="C131" s="262" t="s">
        <v>199</v>
      </c>
      <c r="D131" s="256">
        <v>599.02</v>
      </c>
      <c r="E131" s="256" t="s">
        <v>79</v>
      </c>
      <c r="F131" s="280">
        <v>2</v>
      </c>
      <c r="G131" s="259" t="s">
        <v>71</v>
      </c>
      <c r="H131" s="151" t="s">
        <v>72</v>
      </c>
      <c r="I131" s="35">
        <f>I132+I133</f>
        <v>1349831.67</v>
      </c>
      <c r="J131" s="35">
        <f>J132+J133</f>
        <v>2253.4</v>
      </c>
      <c r="K131" s="35">
        <f>K132+K133</f>
        <v>7096</v>
      </c>
    </row>
    <row r="132" spans="1:11" s="152" customFormat="1" ht="46.5" x14ac:dyDescent="0.3">
      <c r="A132" s="260"/>
      <c r="B132" s="260"/>
      <c r="C132" s="263"/>
      <c r="D132" s="257"/>
      <c r="E132" s="257"/>
      <c r="F132" s="281"/>
      <c r="G132" s="260"/>
      <c r="H132" s="151" t="s">
        <v>673</v>
      </c>
      <c r="I132" s="35">
        <f>D131*K132</f>
        <v>106625.56</v>
      </c>
      <c r="J132" s="35">
        <f>I132/D131</f>
        <v>178</v>
      </c>
      <c r="K132" s="35">
        <f>164+14</f>
        <v>178</v>
      </c>
    </row>
    <row r="133" spans="1:11" s="152" customFormat="1" x14ac:dyDescent="0.3">
      <c r="A133" s="261"/>
      <c r="B133" s="261"/>
      <c r="C133" s="264"/>
      <c r="D133" s="258"/>
      <c r="E133" s="258"/>
      <c r="F133" s="294"/>
      <c r="G133" s="261"/>
      <c r="H133" s="151" t="s">
        <v>73</v>
      </c>
      <c r="I133" s="35">
        <f>D131*K133*30/100</f>
        <v>1243206.1100000001</v>
      </c>
      <c r="J133" s="35">
        <f>I133/D131</f>
        <v>2075.4</v>
      </c>
      <c r="K133" s="35">
        <v>6918</v>
      </c>
    </row>
    <row r="134" spans="1:11" s="152" customFormat="1" x14ac:dyDescent="0.3">
      <c r="A134" s="259">
        <f>A131+1</f>
        <v>19</v>
      </c>
      <c r="B134" s="259">
        <v>6076</v>
      </c>
      <c r="C134" s="262" t="s">
        <v>200</v>
      </c>
      <c r="D134" s="256">
        <v>529.9</v>
      </c>
      <c r="E134" s="256" t="s">
        <v>79</v>
      </c>
      <c r="F134" s="280">
        <v>2</v>
      </c>
      <c r="G134" s="259" t="s">
        <v>71</v>
      </c>
      <c r="H134" s="151" t="s">
        <v>72</v>
      </c>
      <c r="I134" s="35">
        <f>I135+I136</f>
        <v>1194076.6599999999</v>
      </c>
      <c r="J134" s="35">
        <f>J135+J136</f>
        <v>2253.4</v>
      </c>
      <c r="K134" s="35">
        <f>K135+K136</f>
        <v>7096</v>
      </c>
    </row>
    <row r="135" spans="1:11" s="152" customFormat="1" ht="46.5" x14ac:dyDescent="0.3">
      <c r="A135" s="260"/>
      <c r="B135" s="260"/>
      <c r="C135" s="263"/>
      <c r="D135" s="257"/>
      <c r="E135" s="257"/>
      <c r="F135" s="281"/>
      <c r="G135" s="260"/>
      <c r="H135" s="151" t="s">
        <v>673</v>
      </c>
      <c r="I135" s="35">
        <f>D134*K135</f>
        <v>94322.2</v>
      </c>
      <c r="J135" s="35">
        <f>I135/D134</f>
        <v>178</v>
      </c>
      <c r="K135" s="35">
        <f>164+14</f>
        <v>178</v>
      </c>
    </row>
    <row r="136" spans="1:11" s="152" customFormat="1" x14ac:dyDescent="0.3">
      <c r="A136" s="261"/>
      <c r="B136" s="261"/>
      <c r="C136" s="264"/>
      <c r="D136" s="258"/>
      <c r="E136" s="258"/>
      <c r="F136" s="294"/>
      <c r="G136" s="261"/>
      <c r="H136" s="151" t="s">
        <v>73</v>
      </c>
      <c r="I136" s="35">
        <f>D134*K136*30/100</f>
        <v>1099754.46</v>
      </c>
      <c r="J136" s="35">
        <f>I136/D134</f>
        <v>2075.4</v>
      </c>
      <c r="K136" s="35">
        <v>6918</v>
      </c>
    </row>
    <row r="137" spans="1:11" s="152" customFormat="1" x14ac:dyDescent="0.3">
      <c r="A137" s="259">
        <f>A134+1</f>
        <v>20</v>
      </c>
      <c r="B137" s="259">
        <v>6087</v>
      </c>
      <c r="C137" s="262" t="s">
        <v>201</v>
      </c>
      <c r="D137" s="256">
        <v>2447.1999999999998</v>
      </c>
      <c r="E137" s="259" t="s">
        <v>74</v>
      </c>
      <c r="F137" s="280">
        <v>5</v>
      </c>
      <c r="G137" s="156"/>
      <c r="H137" s="151" t="s">
        <v>72</v>
      </c>
      <c r="I137" s="35">
        <f>I138+I139+I140</f>
        <v>141937.60000000001</v>
      </c>
      <c r="J137" s="35">
        <f>J138+J139+J140</f>
        <v>58</v>
      </c>
      <c r="K137" s="35">
        <f>K138+K139+K140</f>
        <v>58</v>
      </c>
    </row>
    <row r="138" spans="1:11" s="152" customFormat="1" ht="46.5" x14ac:dyDescent="0.3">
      <c r="A138" s="260"/>
      <c r="B138" s="260"/>
      <c r="C138" s="263"/>
      <c r="D138" s="257"/>
      <c r="E138" s="260"/>
      <c r="F138" s="281"/>
      <c r="G138" s="155" t="s">
        <v>89</v>
      </c>
      <c r="H138" s="151" t="s">
        <v>634</v>
      </c>
      <c r="I138" s="35">
        <f>D137*K138</f>
        <v>48944</v>
      </c>
      <c r="J138" s="35">
        <f>I138/D137</f>
        <v>20</v>
      </c>
      <c r="K138" s="35">
        <f>18+2</f>
        <v>20</v>
      </c>
    </row>
    <row r="139" spans="1:11" s="152" customFormat="1" ht="46.5" x14ac:dyDescent="0.3">
      <c r="A139" s="260"/>
      <c r="B139" s="260"/>
      <c r="C139" s="263"/>
      <c r="D139" s="257"/>
      <c r="E139" s="260"/>
      <c r="F139" s="281"/>
      <c r="G139" s="155" t="s">
        <v>77</v>
      </c>
      <c r="H139" s="151" t="s">
        <v>634</v>
      </c>
      <c r="I139" s="35">
        <f>D137*K139</f>
        <v>51391.199999999997</v>
      </c>
      <c r="J139" s="35">
        <f>I139/D137</f>
        <v>21</v>
      </c>
      <c r="K139" s="35">
        <f>19+2</f>
        <v>21</v>
      </c>
    </row>
    <row r="140" spans="1:11" s="152" customFormat="1" ht="46.5" x14ac:dyDescent="0.3">
      <c r="A140" s="260"/>
      <c r="B140" s="260"/>
      <c r="C140" s="263"/>
      <c r="D140" s="257"/>
      <c r="E140" s="260"/>
      <c r="F140" s="281"/>
      <c r="G140" s="155" t="s">
        <v>78</v>
      </c>
      <c r="H140" s="151" t="s">
        <v>634</v>
      </c>
      <c r="I140" s="35">
        <f>D137*K140</f>
        <v>41602.400000000001</v>
      </c>
      <c r="J140" s="35">
        <f>I140/D137</f>
        <v>17</v>
      </c>
      <c r="K140" s="35">
        <f>16+1</f>
        <v>17</v>
      </c>
    </row>
    <row r="141" spans="1:11" s="152" customFormat="1" x14ac:dyDescent="0.3">
      <c r="A141" s="259">
        <f>A137+1</f>
        <v>21</v>
      </c>
      <c r="B141" s="259">
        <v>6139</v>
      </c>
      <c r="C141" s="262" t="s">
        <v>203</v>
      </c>
      <c r="D141" s="256">
        <v>2152.6</v>
      </c>
      <c r="E141" s="256" t="s">
        <v>74</v>
      </c>
      <c r="F141" s="280">
        <v>3</v>
      </c>
      <c r="G141" s="259" t="s">
        <v>71</v>
      </c>
      <c r="H141" s="151" t="s">
        <v>72</v>
      </c>
      <c r="I141" s="35">
        <f>I142+I143</f>
        <v>3189866.53</v>
      </c>
      <c r="J141" s="35">
        <f>J142+J143</f>
        <v>1481.87</v>
      </c>
      <c r="K141" s="35">
        <f>K142+K143</f>
        <v>4793</v>
      </c>
    </row>
    <row r="142" spans="1:11" s="152" customFormat="1" ht="46.5" x14ac:dyDescent="0.3">
      <c r="A142" s="260"/>
      <c r="B142" s="260"/>
      <c r="C142" s="263"/>
      <c r="D142" s="257"/>
      <c r="E142" s="257"/>
      <c r="F142" s="281"/>
      <c r="G142" s="260"/>
      <c r="H142" s="151" t="s">
        <v>673</v>
      </c>
      <c r="I142" s="35">
        <f>172567.11+D141*13</f>
        <v>200550.91</v>
      </c>
      <c r="J142" s="35">
        <f>I142/D141</f>
        <v>93.17</v>
      </c>
      <c r="K142" s="35">
        <f>151+13</f>
        <v>164</v>
      </c>
    </row>
    <row r="143" spans="1:11" s="152" customFormat="1" x14ac:dyDescent="0.3">
      <c r="A143" s="261"/>
      <c r="B143" s="261"/>
      <c r="C143" s="264"/>
      <c r="D143" s="258"/>
      <c r="E143" s="258"/>
      <c r="F143" s="294"/>
      <c r="G143" s="261"/>
      <c r="H143" s="151" t="s">
        <v>73</v>
      </c>
      <c r="I143" s="35">
        <f>D141*K143*30/100</f>
        <v>2989315.62</v>
      </c>
      <c r="J143" s="35">
        <f>I143/D141</f>
        <v>1388.7</v>
      </c>
      <c r="K143" s="35">
        <v>4629</v>
      </c>
    </row>
    <row r="144" spans="1:11" s="152" customFormat="1" x14ac:dyDescent="0.3">
      <c r="A144" s="265">
        <f>A141+1</f>
        <v>22</v>
      </c>
      <c r="B144" s="265">
        <v>6141</v>
      </c>
      <c r="C144" s="266" t="s">
        <v>204</v>
      </c>
      <c r="D144" s="295">
        <v>2033.7</v>
      </c>
      <c r="E144" s="295" t="s">
        <v>79</v>
      </c>
      <c r="F144" s="296">
        <v>3</v>
      </c>
      <c r="G144" s="265" t="s">
        <v>71</v>
      </c>
      <c r="H144" s="151" t="s">
        <v>72</v>
      </c>
      <c r="I144" s="35">
        <f>I145+I146</f>
        <v>7587549.9699999997</v>
      </c>
      <c r="J144" s="35">
        <f>J145+J146</f>
        <v>3730.91</v>
      </c>
      <c r="K144" s="35">
        <f>K145+K146</f>
        <v>4728</v>
      </c>
    </row>
    <row r="145" spans="1:11" s="152" customFormat="1" x14ac:dyDescent="0.3">
      <c r="A145" s="265">
        <v>75</v>
      </c>
      <c r="B145" s="265"/>
      <c r="C145" s="266"/>
      <c r="D145" s="295"/>
      <c r="E145" s="295"/>
      <c r="F145" s="296"/>
      <c r="G145" s="265"/>
      <c r="H145" s="151" t="s">
        <v>73</v>
      </c>
      <c r="I145" s="35">
        <v>7428578.3899999997</v>
      </c>
      <c r="J145" s="35">
        <f>I145/D144</f>
        <v>3652.74</v>
      </c>
      <c r="K145" s="35">
        <v>4629</v>
      </c>
    </row>
    <row r="146" spans="1:11" s="152" customFormat="1" x14ac:dyDescent="0.3">
      <c r="A146" s="265">
        <v>76</v>
      </c>
      <c r="B146" s="265"/>
      <c r="C146" s="266"/>
      <c r="D146" s="295"/>
      <c r="E146" s="295"/>
      <c r="F146" s="296"/>
      <c r="G146" s="265"/>
      <c r="H146" s="151" t="s">
        <v>75</v>
      </c>
      <c r="I146" s="35">
        <v>158971.57999999999</v>
      </c>
      <c r="J146" s="35">
        <f>I146/D144</f>
        <v>78.17</v>
      </c>
      <c r="K146" s="35">
        <v>99</v>
      </c>
    </row>
    <row r="147" spans="1:11" s="152" customFormat="1" x14ac:dyDescent="0.3">
      <c r="A147" s="259">
        <f>A144+1</f>
        <v>23</v>
      </c>
      <c r="B147" s="259">
        <v>6147</v>
      </c>
      <c r="C147" s="262" t="s">
        <v>205</v>
      </c>
      <c r="D147" s="256">
        <v>2345.3000000000002</v>
      </c>
      <c r="E147" s="256" t="s">
        <v>79</v>
      </c>
      <c r="F147" s="280">
        <v>4</v>
      </c>
      <c r="G147" s="259" t="s">
        <v>71</v>
      </c>
      <c r="H147" s="151" t="s">
        <v>72</v>
      </c>
      <c r="I147" s="35">
        <f>I148+I149</f>
        <v>3471742.85</v>
      </c>
      <c r="J147" s="35">
        <f>J148+J149</f>
        <v>1480.3</v>
      </c>
      <c r="K147" s="35">
        <f>K148+K149</f>
        <v>4807</v>
      </c>
    </row>
    <row r="148" spans="1:11" s="152" customFormat="1" ht="46.5" x14ac:dyDescent="0.3">
      <c r="A148" s="260"/>
      <c r="B148" s="260"/>
      <c r="C148" s="263"/>
      <c r="D148" s="257"/>
      <c r="E148" s="257"/>
      <c r="F148" s="281"/>
      <c r="G148" s="260"/>
      <c r="H148" s="151" t="s">
        <v>673</v>
      </c>
      <c r="I148" s="35">
        <f>181990.54+D147*14</f>
        <v>214824.74</v>
      </c>
      <c r="J148" s="35">
        <f>I148/D147</f>
        <v>91.6</v>
      </c>
      <c r="K148" s="35">
        <f>164+14</f>
        <v>178</v>
      </c>
    </row>
    <row r="149" spans="1:11" s="152" customFormat="1" x14ac:dyDescent="0.3">
      <c r="A149" s="261"/>
      <c r="B149" s="261"/>
      <c r="C149" s="264"/>
      <c r="D149" s="258"/>
      <c r="E149" s="258"/>
      <c r="F149" s="294"/>
      <c r="G149" s="261"/>
      <c r="H149" s="151" t="s">
        <v>73</v>
      </c>
      <c r="I149" s="35">
        <f>D147*K149*30/100</f>
        <v>3256918.11</v>
      </c>
      <c r="J149" s="35">
        <f>I149/D147</f>
        <v>1388.7</v>
      </c>
      <c r="K149" s="35">
        <v>4629</v>
      </c>
    </row>
    <row r="150" spans="1:11" s="152" customFormat="1" x14ac:dyDescent="0.3">
      <c r="A150" s="259">
        <f>A147+1</f>
        <v>24</v>
      </c>
      <c r="B150" s="259">
        <v>6152</v>
      </c>
      <c r="C150" s="262" t="s">
        <v>206</v>
      </c>
      <c r="D150" s="256">
        <v>2611.6</v>
      </c>
      <c r="E150" s="256" t="s">
        <v>74</v>
      </c>
      <c r="F150" s="280">
        <v>4</v>
      </c>
      <c r="G150" s="259" t="s">
        <v>71</v>
      </c>
      <c r="H150" s="151" t="s">
        <v>72</v>
      </c>
      <c r="I150" s="35">
        <f>I151</f>
        <v>304691.3</v>
      </c>
      <c r="J150" s="35">
        <f>J151</f>
        <v>116.67</v>
      </c>
      <c r="K150" s="35">
        <f>K151</f>
        <v>164</v>
      </c>
    </row>
    <row r="151" spans="1:11" s="152" customFormat="1" ht="46.5" x14ac:dyDescent="0.3">
      <c r="A151" s="260"/>
      <c r="B151" s="260"/>
      <c r="C151" s="263"/>
      <c r="D151" s="257"/>
      <c r="E151" s="257"/>
      <c r="F151" s="281"/>
      <c r="G151" s="261"/>
      <c r="H151" s="151" t="s">
        <v>673</v>
      </c>
      <c r="I151" s="35">
        <v>304691.3</v>
      </c>
      <c r="J151" s="35">
        <f>I151/D150</f>
        <v>116.67</v>
      </c>
      <c r="K151" s="35">
        <f>151+13</f>
        <v>164</v>
      </c>
    </row>
    <row r="152" spans="1:11" s="152" customFormat="1" x14ac:dyDescent="0.3">
      <c r="A152" s="265">
        <f>A150+1</f>
        <v>25</v>
      </c>
      <c r="B152" s="265">
        <v>6173</v>
      </c>
      <c r="C152" s="266" t="s">
        <v>207</v>
      </c>
      <c r="D152" s="295">
        <v>4411.3599999999997</v>
      </c>
      <c r="E152" s="295" t="s">
        <v>645</v>
      </c>
      <c r="F152" s="296">
        <v>5</v>
      </c>
      <c r="G152" s="265" t="s">
        <v>71</v>
      </c>
      <c r="H152" s="151" t="s">
        <v>72</v>
      </c>
      <c r="I152" s="35">
        <f>I153+I154</f>
        <v>9260390.3000000007</v>
      </c>
      <c r="J152" s="35">
        <f>J153+J154</f>
        <v>2099.21</v>
      </c>
      <c r="K152" s="35">
        <f>K153+K154</f>
        <v>2831</v>
      </c>
    </row>
    <row r="153" spans="1:11" s="152" customFormat="1" x14ac:dyDescent="0.3">
      <c r="A153" s="265">
        <v>75</v>
      </c>
      <c r="B153" s="265"/>
      <c r="C153" s="266"/>
      <c r="D153" s="295"/>
      <c r="E153" s="295"/>
      <c r="F153" s="296"/>
      <c r="G153" s="265"/>
      <c r="H153" s="151" t="s">
        <v>73</v>
      </c>
      <c r="I153" s="35">
        <v>9066369.9800000004</v>
      </c>
      <c r="J153" s="35">
        <f>I153/D152</f>
        <v>2055.23</v>
      </c>
      <c r="K153" s="35">
        <v>2772</v>
      </c>
    </row>
    <row r="154" spans="1:11" s="152" customFormat="1" x14ac:dyDescent="0.3">
      <c r="A154" s="265">
        <v>76</v>
      </c>
      <c r="B154" s="265"/>
      <c r="C154" s="266"/>
      <c r="D154" s="295"/>
      <c r="E154" s="295"/>
      <c r="F154" s="296"/>
      <c r="G154" s="265"/>
      <c r="H154" s="151" t="s">
        <v>75</v>
      </c>
      <c r="I154" s="35">
        <f>I153*0.0214</f>
        <v>194020.32</v>
      </c>
      <c r="J154" s="35">
        <f>I154/D152</f>
        <v>43.98</v>
      </c>
      <c r="K154" s="35">
        <v>59</v>
      </c>
    </row>
    <row r="155" spans="1:11" s="152" customFormat="1" x14ac:dyDescent="0.3">
      <c r="A155" s="265">
        <f>A152+1</f>
        <v>26</v>
      </c>
      <c r="B155" s="265">
        <v>6177</v>
      </c>
      <c r="C155" s="266" t="s">
        <v>208</v>
      </c>
      <c r="D155" s="295">
        <v>4412.43</v>
      </c>
      <c r="E155" s="295" t="s">
        <v>645</v>
      </c>
      <c r="F155" s="296">
        <v>5</v>
      </c>
      <c r="G155" s="265" t="s">
        <v>71</v>
      </c>
      <c r="H155" s="151" t="s">
        <v>72</v>
      </c>
      <c r="I155" s="35">
        <f>I156+I157</f>
        <v>8877422.7300000004</v>
      </c>
      <c r="J155" s="35">
        <f>J156+J157</f>
        <v>2011.91</v>
      </c>
      <c r="K155" s="35">
        <f>K156+K157</f>
        <v>2831</v>
      </c>
    </row>
    <row r="156" spans="1:11" s="152" customFormat="1" x14ac:dyDescent="0.3">
      <c r="A156" s="265">
        <v>75</v>
      </c>
      <c r="B156" s="265"/>
      <c r="C156" s="266"/>
      <c r="D156" s="295"/>
      <c r="E156" s="295"/>
      <c r="F156" s="296"/>
      <c r="G156" s="265"/>
      <c r="H156" s="151" t="s">
        <v>73</v>
      </c>
      <c r="I156" s="35">
        <v>8691426.2100000009</v>
      </c>
      <c r="J156" s="35">
        <f>I156/D155</f>
        <v>1969.76</v>
      </c>
      <c r="K156" s="35">
        <v>2772</v>
      </c>
    </row>
    <row r="157" spans="1:11" s="152" customFormat="1" x14ac:dyDescent="0.3">
      <c r="A157" s="265">
        <v>76</v>
      </c>
      <c r="B157" s="265"/>
      <c r="C157" s="266"/>
      <c r="D157" s="295"/>
      <c r="E157" s="295"/>
      <c r="F157" s="296"/>
      <c r="G157" s="265"/>
      <c r="H157" s="151" t="s">
        <v>75</v>
      </c>
      <c r="I157" s="35">
        <f>I156*0.0214</f>
        <v>185996.52</v>
      </c>
      <c r="J157" s="35">
        <f>I157/D155</f>
        <v>42.15</v>
      </c>
      <c r="K157" s="35">
        <v>59</v>
      </c>
    </row>
    <row r="158" spans="1:11" s="152" customFormat="1" x14ac:dyDescent="0.3">
      <c r="A158" s="259">
        <f>A155+1</f>
        <v>27</v>
      </c>
      <c r="B158" s="259">
        <v>6187</v>
      </c>
      <c r="C158" s="262" t="s">
        <v>209</v>
      </c>
      <c r="D158" s="256">
        <v>8136.8</v>
      </c>
      <c r="E158" s="256" t="s">
        <v>645</v>
      </c>
      <c r="F158" s="280">
        <v>6</v>
      </c>
      <c r="G158" s="259" t="s">
        <v>646</v>
      </c>
      <c r="H158" s="151" t="s">
        <v>72</v>
      </c>
      <c r="I158" s="35">
        <f>I160+I159+I161</f>
        <v>1587200.3</v>
      </c>
      <c r="J158" s="35">
        <f>J160+J159+J161</f>
        <v>195.06</v>
      </c>
      <c r="K158" s="35">
        <f>K160+K159+K161</f>
        <v>217.53</v>
      </c>
    </row>
    <row r="159" spans="1:11" s="152" customFormat="1" ht="46.5" x14ac:dyDescent="0.3">
      <c r="A159" s="260"/>
      <c r="B159" s="260"/>
      <c r="C159" s="263"/>
      <c r="D159" s="257"/>
      <c r="E159" s="257"/>
      <c r="F159" s="281"/>
      <c r="G159" s="260"/>
      <c r="H159" s="151" t="s">
        <v>634</v>
      </c>
      <c r="I159" s="35">
        <v>0</v>
      </c>
      <c r="J159" s="137">
        <f>I159/D158</f>
        <v>0</v>
      </c>
      <c r="K159" s="137">
        <f>24580/D158</f>
        <v>3.02</v>
      </c>
    </row>
    <row r="160" spans="1:11" s="152" customFormat="1" x14ac:dyDescent="0.3">
      <c r="A160" s="260"/>
      <c r="B160" s="260"/>
      <c r="C160" s="263"/>
      <c r="D160" s="257"/>
      <c r="E160" s="257"/>
      <c r="F160" s="281"/>
      <c r="G160" s="260"/>
      <c r="H160" s="151" t="s">
        <v>642</v>
      </c>
      <c r="I160" s="35">
        <f>(59074+30904+1032799+222308)*1.18</f>
        <v>1587200.3</v>
      </c>
      <c r="J160" s="35">
        <f>I160/D158</f>
        <v>195.06</v>
      </c>
      <c r="K160" s="35">
        <f>1708823/D158+0.01</f>
        <v>210.02</v>
      </c>
    </row>
    <row r="161" spans="1:11" s="152" customFormat="1" x14ac:dyDescent="0.3">
      <c r="A161" s="261"/>
      <c r="B161" s="261"/>
      <c r="C161" s="264"/>
      <c r="D161" s="258"/>
      <c r="E161" s="258"/>
      <c r="F161" s="294"/>
      <c r="G161" s="261"/>
      <c r="H161" s="151" t="s">
        <v>75</v>
      </c>
      <c r="I161" s="35">
        <v>0</v>
      </c>
      <c r="J161" s="35">
        <v>0</v>
      </c>
      <c r="K161" s="35">
        <f>36569/D158</f>
        <v>4.49</v>
      </c>
    </row>
    <row r="162" spans="1:11" s="152" customFormat="1" x14ac:dyDescent="0.3">
      <c r="A162" s="259">
        <f>A158+1</f>
        <v>28</v>
      </c>
      <c r="B162" s="259">
        <v>6207</v>
      </c>
      <c r="C162" s="262" t="s">
        <v>210</v>
      </c>
      <c r="D162" s="256">
        <v>2063.3000000000002</v>
      </c>
      <c r="E162" s="256" t="s">
        <v>74</v>
      </c>
      <c r="F162" s="280">
        <v>4</v>
      </c>
      <c r="G162" s="259" t="s">
        <v>71</v>
      </c>
      <c r="H162" s="151" t="s">
        <v>72</v>
      </c>
      <c r="I162" s="35">
        <f>I163</f>
        <v>195621.91</v>
      </c>
      <c r="J162" s="35">
        <f>J163</f>
        <v>94.81</v>
      </c>
      <c r="K162" s="35">
        <f>K163</f>
        <v>164</v>
      </c>
    </row>
    <row r="163" spans="1:11" s="152" customFormat="1" ht="46.5" x14ac:dyDescent="0.3">
      <c r="A163" s="260"/>
      <c r="B163" s="260"/>
      <c r="C163" s="263"/>
      <c r="D163" s="257"/>
      <c r="E163" s="257"/>
      <c r="F163" s="281"/>
      <c r="G163" s="260"/>
      <c r="H163" s="151" t="s">
        <v>673</v>
      </c>
      <c r="I163" s="35">
        <f>168799.01+D162*13</f>
        <v>195621.91</v>
      </c>
      <c r="J163" s="35">
        <f>I163/D162</f>
        <v>94.81</v>
      </c>
      <c r="K163" s="35">
        <f>151+13</f>
        <v>164</v>
      </c>
    </row>
    <row r="164" spans="1:11" s="152" customFormat="1" x14ac:dyDescent="0.3">
      <c r="A164" s="259">
        <f>A162+1</f>
        <v>29</v>
      </c>
      <c r="B164" s="259">
        <v>6208</v>
      </c>
      <c r="C164" s="262" t="s">
        <v>211</v>
      </c>
      <c r="D164" s="256">
        <v>1569.5</v>
      </c>
      <c r="E164" s="259" t="s">
        <v>74</v>
      </c>
      <c r="F164" s="280">
        <v>3</v>
      </c>
      <c r="G164" s="156"/>
      <c r="H164" s="151" t="s">
        <v>72</v>
      </c>
      <c r="I164" s="35">
        <f>I165+I166+I167</f>
        <v>243272.5</v>
      </c>
      <c r="J164" s="35">
        <f>J165+J166+J167</f>
        <v>155</v>
      </c>
      <c r="K164" s="35">
        <f>K165+K166+K167</f>
        <v>155</v>
      </c>
    </row>
    <row r="165" spans="1:11" s="152" customFormat="1" ht="46.5" x14ac:dyDescent="0.3">
      <c r="A165" s="260"/>
      <c r="B165" s="260"/>
      <c r="C165" s="263"/>
      <c r="D165" s="257"/>
      <c r="E165" s="260"/>
      <c r="F165" s="281"/>
      <c r="G165" s="155" t="s">
        <v>77</v>
      </c>
      <c r="H165" s="151" t="s">
        <v>634</v>
      </c>
      <c r="I165" s="35">
        <f>D164*K165</f>
        <v>32959.5</v>
      </c>
      <c r="J165" s="35">
        <f>I165/D164</f>
        <v>21</v>
      </c>
      <c r="K165" s="35">
        <f>19+2</f>
        <v>21</v>
      </c>
    </row>
    <row r="166" spans="1:11" s="152" customFormat="1" ht="46.5" x14ac:dyDescent="0.3">
      <c r="A166" s="260"/>
      <c r="B166" s="260"/>
      <c r="C166" s="263"/>
      <c r="D166" s="257"/>
      <c r="E166" s="260"/>
      <c r="F166" s="281"/>
      <c r="G166" s="155" t="s">
        <v>78</v>
      </c>
      <c r="H166" s="151" t="s">
        <v>634</v>
      </c>
      <c r="I166" s="35">
        <f>D164*K166</f>
        <v>26681.5</v>
      </c>
      <c r="J166" s="35">
        <f>I166/D164</f>
        <v>17</v>
      </c>
      <c r="K166" s="35">
        <f>16+1</f>
        <v>17</v>
      </c>
    </row>
    <row r="167" spans="1:11" s="152" customFormat="1" ht="46.5" x14ac:dyDescent="0.3">
      <c r="A167" s="261"/>
      <c r="B167" s="261"/>
      <c r="C167" s="264"/>
      <c r="D167" s="258"/>
      <c r="E167" s="261"/>
      <c r="F167" s="294"/>
      <c r="G167" s="155" t="s">
        <v>76</v>
      </c>
      <c r="H167" s="151" t="s">
        <v>634</v>
      </c>
      <c r="I167" s="35">
        <f>D164*K167</f>
        <v>183631.5</v>
      </c>
      <c r="J167" s="35">
        <f>I167/D164</f>
        <v>117</v>
      </c>
      <c r="K167" s="35">
        <f>108+9</f>
        <v>117</v>
      </c>
    </row>
    <row r="168" spans="1:11" s="152" customFormat="1" x14ac:dyDescent="0.3">
      <c r="A168" s="259">
        <f>A164+1</f>
        <v>30</v>
      </c>
      <c r="B168" s="259">
        <v>6234</v>
      </c>
      <c r="C168" s="262" t="s">
        <v>212</v>
      </c>
      <c r="D168" s="256">
        <v>2118.1</v>
      </c>
      <c r="E168" s="259" t="s">
        <v>74</v>
      </c>
      <c r="F168" s="280">
        <v>4</v>
      </c>
      <c r="G168" s="156"/>
      <c r="H168" s="151" t="s">
        <v>72</v>
      </c>
      <c r="I168" s="35">
        <f>I169+I170+I171</f>
        <v>250553.61</v>
      </c>
      <c r="J168" s="35">
        <f>J169+J170+J171</f>
        <v>118.29</v>
      </c>
      <c r="K168" s="35">
        <f>K169+K170+K171</f>
        <v>155</v>
      </c>
    </row>
    <row r="169" spans="1:11" s="152" customFormat="1" ht="46.5" x14ac:dyDescent="0.3">
      <c r="A169" s="260"/>
      <c r="B169" s="260"/>
      <c r="C169" s="263"/>
      <c r="D169" s="257"/>
      <c r="E169" s="260"/>
      <c r="F169" s="281"/>
      <c r="G169" s="155" t="s">
        <v>77</v>
      </c>
      <c r="H169" s="151" t="s">
        <v>634</v>
      </c>
      <c r="I169" s="35">
        <f>33051.13+D168*2</f>
        <v>37287.33</v>
      </c>
      <c r="J169" s="35">
        <f>I169/D168</f>
        <v>17.600000000000001</v>
      </c>
      <c r="K169" s="35">
        <f>19+2</f>
        <v>21</v>
      </c>
    </row>
    <row r="170" spans="1:11" s="152" customFormat="1" ht="46.5" x14ac:dyDescent="0.3">
      <c r="A170" s="260"/>
      <c r="B170" s="260"/>
      <c r="C170" s="263"/>
      <c r="D170" s="257"/>
      <c r="E170" s="260"/>
      <c r="F170" s="281"/>
      <c r="G170" s="155" t="s">
        <v>78</v>
      </c>
      <c r="H170" s="151" t="s">
        <v>634</v>
      </c>
      <c r="I170" s="35">
        <f>27041.84+D168*1</f>
        <v>29159.94</v>
      </c>
      <c r="J170" s="35">
        <f>I170/D168</f>
        <v>13.77</v>
      </c>
      <c r="K170" s="35">
        <f>16+1</f>
        <v>17</v>
      </c>
    </row>
    <row r="171" spans="1:11" s="152" customFormat="1" ht="46.5" x14ac:dyDescent="0.3">
      <c r="A171" s="261"/>
      <c r="B171" s="261"/>
      <c r="C171" s="264"/>
      <c r="D171" s="258"/>
      <c r="E171" s="261"/>
      <c r="F171" s="294"/>
      <c r="G171" s="155" t="s">
        <v>76</v>
      </c>
      <c r="H171" s="151" t="s">
        <v>634</v>
      </c>
      <c r="I171" s="35">
        <f>165043.44+D168*9</f>
        <v>184106.34</v>
      </c>
      <c r="J171" s="35">
        <f>I171/D168</f>
        <v>86.92</v>
      </c>
      <c r="K171" s="35">
        <f>108+9</f>
        <v>117</v>
      </c>
    </row>
    <row r="172" spans="1:11" s="152" customFormat="1" x14ac:dyDescent="0.3">
      <c r="A172" s="259">
        <f>A168+1</f>
        <v>31</v>
      </c>
      <c r="B172" s="259">
        <v>6244</v>
      </c>
      <c r="C172" s="262" t="s">
        <v>213</v>
      </c>
      <c r="D172" s="256">
        <v>520.5</v>
      </c>
      <c r="E172" s="256" t="s">
        <v>79</v>
      </c>
      <c r="F172" s="280">
        <v>2</v>
      </c>
      <c r="G172" s="160"/>
      <c r="H172" s="151" t="s">
        <v>72</v>
      </c>
      <c r="I172" s="35">
        <f>I173+I174+I175+I176+I177+I178</f>
        <v>637352.25</v>
      </c>
      <c r="J172" s="35">
        <f>J173+J174+J175+J176+J177+J178</f>
        <v>1224.5</v>
      </c>
      <c r="K172" s="35">
        <f>K173+K174+K175+K176+K177+K178</f>
        <v>3720</v>
      </c>
    </row>
    <row r="173" spans="1:11" s="152" customFormat="1" ht="46.5" x14ac:dyDescent="0.3">
      <c r="A173" s="260"/>
      <c r="B173" s="260"/>
      <c r="C173" s="263"/>
      <c r="D173" s="257"/>
      <c r="E173" s="257"/>
      <c r="F173" s="281"/>
      <c r="G173" s="259" t="s">
        <v>76</v>
      </c>
      <c r="H173" s="151" t="s">
        <v>634</v>
      </c>
      <c r="I173" s="35">
        <f>D172*K173</f>
        <v>60898.5</v>
      </c>
      <c r="J173" s="35">
        <f>I173/D172</f>
        <v>117</v>
      </c>
      <c r="K173" s="35">
        <f>108+9</f>
        <v>117</v>
      </c>
    </row>
    <row r="174" spans="1:11" s="152" customFormat="1" x14ac:dyDescent="0.3">
      <c r="A174" s="260"/>
      <c r="B174" s="260"/>
      <c r="C174" s="263"/>
      <c r="D174" s="257"/>
      <c r="E174" s="257"/>
      <c r="F174" s="281"/>
      <c r="G174" s="260"/>
      <c r="H174" s="151" t="s">
        <v>73</v>
      </c>
      <c r="I174" s="35">
        <f>D172*K174*30/100</f>
        <v>420199.65</v>
      </c>
      <c r="J174" s="35">
        <f>I174/D172</f>
        <v>807.3</v>
      </c>
      <c r="K174" s="35">
        <v>2691</v>
      </c>
    </row>
    <row r="175" spans="1:11" s="152" customFormat="1" ht="46.5" x14ac:dyDescent="0.3">
      <c r="A175" s="260"/>
      <c r="B175" s="260"/>
      <c r="C175" s="263"/>
      <c r="D175" s="257"/>
      <c r="E175" s="257"/>
      <c r="F175" s="281"/>
      <c r="G175" s="259" t="s">
        <v>77</v>
      </c>
      <c r="H175" s="151" t="s">
        <v>634</v>
      </c>
      <c r="I175" s="35">
        <f>D172*K175</f>
        <v>10410</v>
      </c>
      <c r="J175" s="35">
        <f>I175/D172</f>
        <v>20</v>
      </c>
      <c r="K175" s="35">
        <f>18+2</f>
        <v>20</v>
      </c>
    </row>
    <row r="176" spans="1:11" s="152" customFormat="1" x14ac:dyDescent="0.3">
      <c r="A176" s="260"/>
      <c r="B176" s="260"/>
      <c r="C176" s="263"/>
      <c r="D176" s="257"/>
      <c r="E176" s="257"/>
      <c r="F176" s="281"/>
      <c r="G176" s="261"/>
      <c r="H176" s="151" t="s">
        <v>73</v>
      </c>
      <c r="I176" s="35">
        <f>D172*K176*0.3</f>
        <v>70579.8</v>
      </c>
      <c r="J176" s="35">
        <f>I176/D172</f>
        <v>135.6</v>
      </c>
      <c r="K176" s="35">
        <v>452</v>
      </c>
    </row>
    <row r="177" spans="1:11" s="152" customFormat="1" ht="46.5" x14ac:dyDescent="0.3">
      <c r="A177" s="260"/>
      <c r="B177" s="260"/>
      <c r="C177" s="263"/>
      <c r="D177" s="257"/>
      <c r="E177" s="257"/>
      <c r="F177" s="281"/>
      <c r="G177" s="259" t="s">
        <v>78</v>
      </c>
      <c r="H177" s="151" t="s">
        <v>634</v>
      </c>
      <c r="I177" s="35">
        <f>D172*K177</f>
        <v>9369</v>
      </c>
      <c r="J177" s="35">
        <f>I177/D172</f>
        <v>18</v>
      </c>
      <c r="K177" s="35">
        <f>17+1</f>
        <v>18</v>
      </c>
    </row>
    <row r="178" spans="1:11" s="152" customFormat="1" x14ac:dyDescent="0.3">
      <c r="A178" s="261"/>
      <c r="B178" s="261"/>
      <c r="C178" s="264"/>
      <c r="D178" s="258"/>
      <c r="E178" s="258"/>
      <c r="F178" s="294"/>
      <c r="G178" s="261"/>
      <c r="H178" s="151" t="s">
        <v>73</v>
      </c>
      <c r="I178" s="35">
        <f>D172*K178*0.3</f>
        <v>65895.3</v>
      </c>
      <c r="J178" s="35">
        <f>I178/D172</f>
        <v>126.6</v>
      </c>
      <c r="K178" s="35">
        <v>422</v>
      </c>
    </row>
    <row r="179" spans="1:11" s="152" customFormat="1" x14ac:dyDescent="0.3">
      <c r="A179" s="259">
        <f>A172+1</f>
        <v>32</v>
      </c>
      <c r="B179" s="259">
        <v>6296</v>
      </c>
      <c r="C179" s="262" t="s">
        <v>214</v>
      </c>
      <c r="D179" s="256">
        <v>1473.9</v>
      </c>
      <c r="E179" s="256" t="s">
        <v>79</v>
      </c>
      <c r="F179" s="280">
        <v>3</v>
      </c>
      <c r="G179" s="259" t="s">
        <v>71</v>
      </c>
      <c r="H179" s="151" t="s">
        <v>72</v>
      </c>
      <c r="I179" s="35">
        <f>I180+I181</f>
        <v>2204492.2999999998</v>
      </c>
      <c r="J179" s="35">
        <f>J180+J181</f>
        <v>1495.69</v>
      </c>
      <c r="K179" s="35">
        <f>K180+K181</f>
        <v>4807</v>
      </c>
    </row>
    <row r="180" spans="1:11" s="152" customFormat="1" ht="46.5" x14ac:dyDescent="0.3">
      <c r="A180" s="260"/>
      <c r="B180" s="260"/>
      <c r="C180" s="263"/>
      <c r="D180" s="257"/>
      <c r="E180" s="257"/>
      <c r="F180" s="281"/>
      <c r="G180" s="260"/>
      <c r="H180" s="151" t="s">
        <v>673</v>
      </c>
      <c r="I180" s="35">
        <f>137052.77+D179*14</f>
        <v>157687.37</v>
      </c>
      <c r="J180" s="35">
        <f>I180/D179</f>
        <v>106.99</v>
      </c>
      <c r="K180" s="35">
        <f>164+14</f>
        <v>178</v>
      </c>
    </row>
    <row r="181" spans="1:11" s="152" customFormat="1" x14ac:dyDescent="0.3">
      <c r="A181" s="261"/>
      <c r="B181" s="261"/>
      <c r="C181" s="264"/>
      <c r="D181" s="258"/>
      <c r="E181" s="258"/>
      <c r="F181" s="294"/>
      <c r="G181" s="261"/>
      <c r="H181" s="151" t="s">
        <v>73</v>
      </c>
      <c r="I181" s="35">
        <f>D179*K181*30/100</f>
        <v>2046804.93</v>
      </c>
      <c r="J181" s="35">
        <f>I181/D179</f>
        <v>1388.7</v>
      </c>
      <c r="K181" s="35">
        <v>4629</v>
      </c>
    </row>
    <row r="182" spans="1:11" s="152" customFormat="1" x14ac:dyDescent="0.3">
      <c r="A182" s="280">
        <f>A179+1</f>
        <v>33</v>
      </c>
      <c r="B182" s="280">
        <v>6310</v>
      </c>
      <c r="C182" s="297" t="s">
        <v>215</v>
      </c>
      <c r="D182" s="256">
        <v>17228.8</v>
      </c>
      <c r="E182" s="280" t="s">
        <v>645</v>
      </c>
      <c r="F182" s="280">
        <v>9</v>
      </c>
      <c r="G182" s="153"/>
      <c r="H182" s="151" t="s">
        <v>72</v>
      </c>
      <c r="I182" s="35">
        <f>SUM(I183:I209)</f>
        <v>15600627</v>
      </c>
      <c r="J182" s="35">
        <f>SUM(J183:J209)</f>
        <v>905.5</v>
      </c>
      <c r="K182" s="35">
        <f>SUM(K183:K209)</f>
        <v>924.6</v>
      </c>
    </row>
    <row r="183" spans="1:11" s="152" customFormat="1" ht="46.5" x14ac:dyDescent="0.3">
      <c r="A183" s="281"/>
      <c r="B183" s="281"/>
      <c r="C183" s="298"/>
      <c r="D183" s="257"/>
      <c r="E183" s="281"/>
      <c r="F183" s="281"/>
      <c r="G183" s="259" t="s">
        <v>641</v>
      </c>
      <c r="H183" s="151" t="s">
        <v>634</v>
      </c>
      <c r="I183" s="35">
        <v>24580</v>
      </c>
      <c r="J183" s="35">
        <f>I183/D182</f>
        <v>1.43</v>
      </c>
      <c r="K183" s="35">
        <f>I183/D182</f>
        <v>1.43</v>
      </c>
    </row>
    <row r="184" spans="1:11" s="152" customFormat="1" x14ac:dyDescent="0.3">
      <c r="A184" s="281">
        <v>756</v>
      </c>
      <c r="B184" s="281"/>
      <c r="C184" s="298"/>
      <c r="D184" s="257"/>
      <c r="E184" s="281"/>
      <c r="F184" s="281"/>
      <c r="G184" s="260"/>
      <c r="H184" s="151" t="s">
        <v>642</v>
      </c>
      <c r="I184" s="35">
        <v>1708823</v>
      </c>
      <c r="J184" s="35">
        <f>I184/D182</f>
        <v>99.18</v>
      </c>
      <c r="K184" s="35">
        <f>1708823/D182+0.01</f>
        <v>99.19</v>
      </c>
    </row>
    <row r="185" spans="1:11" s="152" customFormat="1" x14ac:dyDescent="0.3">
      <c r="A185" s="281"/>
      <c r="B185" s="281"/>
      <c r="C185" s="298"/>
      <c r="D185" s="257"/>
      <c r="E185" s="281"/>
      <c r="F185" s="281"/>
      <c r="G185" s="261"/>
      <c r="H185" s="151" t="s">
        <v>75</v>
      </c>
      <c r="I185" s="35">
        <v>0</v>
      </c>
      <c r="J185" s="35">
        <v>0</v>
      </c>
      <c r="K185" s="35">
        <f>36569/D182-0.01</f>
        <v>2.11</v>
      </c>
    </row>
    <row r="186" spans="1:11" s="152" customFormat="1" ht="56.5" customHeight="1" x14ac:dyDescent="0.3">
      <c r="A186" s="281"/>
      <c r="B186" s="281"/>
      <c r="C186" s="298"/>
      <c r="D186" s="257"/>
      <c r="E186" s="281"/>
      <c r="F186" s="281"/>
      <c r="G186" s="259" t="s">
        <v>647</v>
      </c>
      <c r="H186" s="151" t="s">
        <v>634</v>
      </c>
      <c r="I186" s="35">
        <v>24580</v>
      </c>
      <c r="J186" s="35">
        <f>I186/D182</f>
        <v>1.43</v>
      </c>
      <c r="K186" s="35">
        <f>J186</f>
        <v>1.43</v>
      </c>
    </row>
    <row r="187" spans="1:11" s="152" customFormat="1" x14ac:dyDescent="0.3">
      <c r="A187" s="281"/>
      <c r="B187" s="281"/>
      <c r="C187" s="298"/>
      <c r="D187" s="257"/>
      <c r="E187" s="281"/>
      <c r="F187" s="281"/>
      <c r="G187" s="260"/>
      <c r="H187" s="151" t="s">
        <v>642</v>
      </c>
      <c r="I187" s="35">
        <v>1708823</v>
      </c>
      <c r="J187" s="35">
        <f>I187/D182</f>
        <v>99.18</v>
      </c>
      <c r="K187" s="35">
        <f>1708823/D182+0.01</f>
        <v>99.19</v>
      </c>
    </row>
    <row r="188" spans="1:11" s="152" customFormat="1" x14ac:dyDescent="0.3">
      <c r="A188" s="281"/>
      <c r="B188" s="281"/>
      <c r="C188" s="298"/>
      <c r="D188" s="257"/>
      <c r="E188" s="281"/>
      <c r="F188" s="281"/>
      <c r="G188" s="261"/>
      <c r="H188" s="151" t="s">
        <v>75</v>
      </c>
      <c r="I188" s="35">
        <v>0</v>
      </c>
      <c r="J188" s="35">
        <v>0</v>
      </c>
      <c r="K188" s="35">
        <f>36569/D182</f>
        <v>2.12</v>
      </c>
    </row>
    <row r="189" spans="1:11" s="152" customFormat="1" ht="56" customHeight="1" x14ac:dyDescent="0.3">
      <c r="A189" s="281"/>
      <c r="B189" s="281"/>
      <c r="C189" s="298"/>
      <c r="D189" s="257"/>
      <c r="E189" s="281"/>
      <c r="F189" s="281"/>
      <c r="G189" s="259" t="s">
        <v>648</v>
      </c>
      <c r="H189" s="151" t="s">
        <v>634</v>
      </c>
      <c r="I189" s="35">
        <v>24580</v>
      </c>
      <c r="J189" s="35">
        <f>I189/D182</f>
        <v>1.43</v>
      </c>
      <c r="K189" s="35">
        <f>J189</f>
        <v>1.43</v>
      </c>
    </row>
    <row r="190" spans="1:11" s="152" customFormat="1" x14ac:dyDescent="0.3">
      <c r="A190" s="281"/>
      <c r="B190" s="281"/>
      <c r="C190" s="298"/>
      <c r="D190" s="257"/>
      <c r="E190" s="281"/>
      <c r="F190" s="281"/>
      <c r="G190" s="260"/>
      <c r="H190" s="151" t="s">
        <v>642</v>
      </c>
      <c r="I190" s="35">
        <v>1708823</v>
      </c>
      <c r="J190" s="35">
        <f>I190/D182</f>
        <v>99.18</v>
      </c>
      <c r="K190" s="35">
        <f>1708823/D182+0.01</f>
        <v>99.19</v>
      </c>
    </row>
    <row r="191" spans="1:11" s="152" customFormat="1" x14ac:dyDescent="0.3">
      <c r="A191" s="281"/>
      <c r="B191" s="281"/>
      <c r="C191" s="298"/>
      <c r="D191" s="257"/>
      <c r="E191" s="281"/>
      <c r="F191" s="281"/>
      <c r="G191" s="261"/>
      <c r="H191" s="151" t="s">
        <v>75</v>
      </c>
      <c r="I191" s="35">
        <v>0</v>
      </c>
      <c r="J191" s="35">
        <v>0</v>
      </c>
      <c r="K191" s="35">
        <f>36569/D182</f>
        <v>2.12</v>
      </c>
    </row>
    <row r="192" spans="1:11" s="152" customFormat="1" ht="46.5" x14ac:dyDescent="0.3">
      <c r="A192" s="281"/>
      <c r="B192" s="281"/>
      <c r="C192" s="298"/>
      <c r="D192" s="257"/>
      <c r="E192" s="281"/>
      <c r="F192" s="281"/>
      <c r="G192" s="259" t="s">
        <v>649</v>
      </c>
      <c r="H192" s="151" t="s">
        <v>634</v>
      </c>
      <c r="I192" s="35">
        <v>24580</v>
      </c>
      <c r="J192" s="35">
        <f>I192/D182</f>
        <v>1.43</v>
      </c>
      <c r="K192" s="35">
        <f>J192</f>
        <v>1.43</v>
      </c>
    </row>
    <row r="193" spans="1:11" s="152" customFormat="1" x14ac:dyDescent="0.3">
      <c r="A193" s="281"/>
      <c r="B193" s="281"/>
      <c r="C193" s="298"/>
      <c r="D193" s="257"/>
      <c r="E193" s="281"/>
      <c r="F193" s="281"/>
      <c r="G193" s="260"/>
      <c r="H193" s="151" t="s">
        <v>642</v>
      </c>
      <c r="I193" s="35">
        <v>1708823</v>
      </c>
      <c r="J193" s="35">
        <f>I193/D182+0.01</f>
        <v>99.19</v>
      </c>
      <c r="K193" s="35">
        <f>1708823/D182+0.01</f>
        <v>99.19</v>
      </c>
    </row>
    <row r="194" spans="1:11" s="152" customFormat="1" x14ac:dyDescent="0.3">
      <c r="A194" s="281"/>
      <c r="B194" s="281"/>
      <c r="C194" s="298"/>
      <c r="D194" s="257"/>
      <c r="E194" s="281"/>
      <c r="F194" s="281"/>
      <c r="G194" s="261"/>
      <c r="H194" s="151" t="s">
        <v>75</v>
      </c>
      <c r="I194" s="35">
        <v>0</v>
      </c>
      <c r="J194" s="35">
        <v>0</v>
      </c>
      <c r="K194" s="35">
        <f>36569/D182</f>
        <v>2.12</v>
      </c>
    </row>
    <row r="195" spans="1:11" s="152" customFormat="1" ht="46.5" x14ac:dyDescent="0.3">
      <c r="A195" s="281"/>
      <c r="B195" s="281"/>
      <c r="C195" s="298"/>
      <c r="D195" s="257"/>
      <c r="E195" s="281"/>
      <c r="F195" s="281"/>
      <c r="G195" s="259" t="s">
        <v>646</v>
      </c>
      <c r="H195" s="151" t="s">
        <v>634</v>
      </c>
      <c r="I195" s="35">
        <v>24580</v>
      </c>
      <c r="J195" s="35">
        <f>I195/D182</f>
        <v>1.43</v>
      </c>
      <c r="K195" s="35">
        <f>J195</f>
        <v>1.43</v>
      </c>
    </row>
    <row r="196" spans="1:11" s="152" customFormat="1" x14ac:dyDescent="0.3">
      <c r="A196" s="281"/>
      <c r="B196" s="281"/>
      <c r="C196" s="298"/>
      <c r="D196" s="257"/>
      <c r="E196" s="281"/>
      <c r="F196" s="281"/>
      <c r="G196" s="260"/>
      <c r="H196" s="151" t="s">
        <v>642</v>
      </c>
      <c r="I196" s="35">
        <v>1708823</v>
      </c>
      <c r="J196" s="35">
        <f>I196/D182</f>
        <v>99.18</v>
      </c>
      <c r="K196" s="35">
        <f>1708823/D182</f>
        <v>99.18</v>
      </c>
    </row>
    <row r="197" spans="1:11" s="152" customFormat="1" x14ac:dyDescent="0.3">
      <c r="A197" s="281"/>
      <c r="B197" s="281"/>
      <c r="C197" s="298"/>
      <c r="D197" s="257"/>
      <c r="E197" s="281"/>
      <c r="F197" s="281"/>
      <c r="G197" s="261"/>
      <c r="H197" s="151" t="s">
        <v>75</v>
      </c>
      <c r="I197" s="35">
        <v>0</v>
      </c>
      <c r="J197" s="35">
        <v>0</v>
      </c>
      <c r="K197" s="35">
        <f>36569/D182</f>
        <v>2.12</v>
      </c>
    </row>
    <row r="198" spans="1:11" s="152" customFormat="1" ht="46.5" x14ac:dyDescent="0.3">
      <c r="A198" s="281"/>
      <c r="B198" s="281"/>
      <c r="C198" s="298"/>
      <c r="D198" s="257"/>
      <c r="E198" s="281"/>
      <c r="F198" s="281"/>
      <c r="G198" s="259" t="s">
        <v>650</v>
      </c>
      <c r="H198" s="151" t="s">
        <v>634</v>
      </c>
      <c r="I198" s="35">
        <v>24580</v>
      </c>
      <c r="J198" s="35">
        <f>I198/D182</f>
        <v>1.43</v>
      </c>
      <c r="K198" s="35">
        <f>J198</f>
        <v>1.43</v>
      </c>
    </row>
    <row r="199" spans="1:11" s="152" customFormat="1" x14ac:dyDescent="0.3">
      <c r="A199" s="281"/>
      <c r="B199" s="281"/>
      <c r="C199" s="298"/>
      <c r="D199" s="257"/>
      <c r="E199" s="281"/>
      <c r="F199" s="281"/>
      <c r="G199" s="260"/>
      <c r="H199" s="151" t="s">
        <v>642</v>
      </c>
      <c r="I199" s="35">
        <v>1708823</v>
      </c>
      <c r="J199" s="35">
        <f>I199/D182</f>
        <v>99.18</v>
      </c>
      <c r="K199" s="35">
        <f>1708823/D182</f>
        <v>99.18</v>
      </c>
    </row>
    <row r="200" spans="1:11" s="152" customFormat="1" x14ac:dyDescent="0.3">
      <c r="A200" s="281"/>
      <c r="B200" s="281"/>
      <c r="C200" s="298"/>
      <c r="D200" s="257"/>
      <c r="E200" s="281"/>
      <c r="F200" s="281"/>
      <c r="G200" s="261"/>
      <c r="H200" s="151" t="s">
        <v>75</v>
      </c>
      <c r="I200" s="35">
        <v>0</v>
      </c>
      <c r="J200" s="35">
        <v>0</v>
      </c>
      <c r="K200" s="35">
        <f>36569/D182</f>
        <v>2.12</v>
      </c>
    </row>
    <row r="201" spans="1:11" s="152" customFormat="1" ht="46.5" x14ac:dyDescent="0.3">
      <c r="A201" s="281"/>
      <c r="B201" s="281"/>
      <c r="C201" s="298"/>
      <c r="D201" s="257"/>
      <c r="E201" s="281"/>
      <c r="F201" s="281"/>
      <c r="G201" s="259" t="s">
        <v>651</v>
      </c>
      <c r="H201" s="151" t="s">
        <v>634</v>
      </c>
      <c r="I201" s="35">
        <v>24580</v>
      </c>
      <c r="J201" s="35">
        <f>I201/D182</f>
        <v>1.43</v>
      </c>
      <c r="K201" s="35">
        <f>J201</f>
        <v>1.43</v>
      </c>
    </row>
    <row r="202" spans="1:11" s="152" customFormat="1" x14ac:dyDescent="0.3">
      <c r="A202" s="281"/>
      <c r="B202" s="281"/>
      <c r="C202" s="298"/>
      <c r="D202" s="257"/>
      <c r="E202" s="281"/>
      <c r="F202" s="281"/>
      <c r="G202" s="260"/>
      <c r="H202" s="151" t="s">
        <v>642</v>
      </c>
      <c r="I202" s="35">
        <v>1708823</v>
      </c>
      <c r="J202" s="35">
        <f>I202/D182</f>
        <v>99.18</v>
      </c>
      <c r="K202" s="35">
        <f>1708823/D182</f>
        <v>99.18</v>
      </c>
    </row>
    <row r="203" spans="1:11" s="152" customFormat="1" x14ac:dyDescent="0.3">
      <c r="A203" s="281"/>
      <c r="B203" s="281"/>
      <c r="C203" s="298"/>
      <c r="D203" s="257"/>
      <c r="E203" s="281"/>
      <c r="F203" s="281"/>
      <c r="G203" s="261"/>
      <c r="H203" s="151" t="s">
        <v>75</v>
      </c>
      <c r="I203" s="35">
        <v>0</v>
      </c>
      <c r="J203" s="35">
        <v>0</v>
      </c>
      <c r="K203" s="35">
        <f>36569/D182</f>
        <v>2.12</v>
      </c>
    </row>
    <row r="204" spans="1:11" s="152" customFormat="1" ht="46.5" x14ac:dyDescent="0.3">
      <c r="A204" s="281"/>
      <c r="B204" s="281"/>
      <c r="C204" s="298"/>
      <c r="D204" s="257"/>
      <c r="E204" s="281"/>
      <c r="F204" s="281"/>
      <c r="G204" s="259" t="s">
        <v>652</v>
      </c>
      <c r="H204" s="151" t="s">
        <v>634</v>
      </c>
      <c r="I204" s="35">
        <v>24580</v>
      </c>
      <c r="J204" s="35">
        <f>I204/D182</f>
        <v>1.43</v>
      </c>
      <c r="K204" s="35">
        <f>J204</f>
        <v>1.43</v>
      </c>
    </row>
    <row r="205" spans="1:11" s="152" customFormat="1" x14ac:dyDescent="0.3">
      <c r="A205" s="281"/>
      <c r="B205" s="281"/>
      <c r="C205" s="298"/>
      <c r="D205" s="257"/>
      <c r="E205" s="281"/>
      <c r="F205" s="281"/>
      <c r="G205" s="260"/>
      <c r="H205" s="151" t="s">
        <v>642</v>
      </c>
      <c r="I205" s="35">
        <v>1708823</v>
      </c>
      <c r="J205" s="35">
        <f>I205/D182</f>
        <v>99.18</v>
      </c>
      <c r="K205" s="35">
        <f>1708823/D182</f>
        <v>99.18</v>
      </c>
    </row>
    <row r="206" spans="1:11" s="152" customFormat="1" x14ac:dyDescent="0.3">
      <c r="A206" s="281"/>
      <c r="B206" s="281"/>
      <c r="C206" s="298"/>
      <c r="D206" s="257"/>
      <c r="E206" s="281"/>
      <c r="F206" s="281"/>
      <c r="G206" s="261"/>
      <c r="H206" s="151" t="s">
        <v>75</v>
      </c>
      <c r="I206" s="35">
        <v>0</v>
      </c>
      <c r="J206" s="35">
        <v>0</v>
      </c>
      <c r="K206" s="35">
        <f>36569/D182</f>
        <v>2.12</v>
      </c>
    </row>
    <row r="207" spans="1:11" s="152" customFormat="1" ht="46.5" x14ac:dyDescent="0.3">
      <c r="A207" s="281"/>
      <c r="B207" s="281"/>
      <c r="C207" s="298"/>
      <c r="D207" s="257"/>
      <c r="E207" s="281"/>
      <c r="F207" s="281"/>
      <c r="G207" s="259" t="s">
        <v>653</v>
      </c>
      <c r="H207" s="151" t="s">
        <v>634</v>
      </c>
      <c r="I207" s="35">
        <v>24580</v>
      </c>
      <c r="J207" s="35">
        <f>I207/D182</f>
        <v>1.43</v>
      </c>
      <c r="K207" s="35">
        <f>J207</f>
        <v>1.43</v>
      </c>
    </row>
    <row r="208" spans="1:11" s="152" customFormat="1" x14ac:dyDescent="0.3">
      <c r="A208" s="281"/>
      <c r="B208" s="281"/>
      <c r="C208" s="298"/>
      <c r="D208" s="257"/>
      <c r="E208" s="281"/>
      <c r="F208" s="281"/>
      <c r="G208" s="260"/>
      <c r="H208" s="151" t="s">
        <v>642</v>
      </c>
      <c r="I208" s="35">
        <v>1708823</v>
      </c>
      <c r="J208" s="35">
        <f>I208/D182</f>
        <v>99.18</v>
      </c>
      <c r="K208" s="35">
        <f>1708823/D182</f>
        <v>99.18</v>
      </c>
    </row>
    <row r="209" spans="1:11" s="152" customFormat="1" x14ac:dyDescent="0.3">
      <c r="A209" s="294"/>
      <c r="B209" s="294"/>
      <c r="C209" s="299"/>
      <c r="D209" s="258"/>
      <c r="E209" s="294"/>
      <c r="F209" s="294"/>
      <c r="G209" s="261"/>
      <c r="H209" s="151" t="s">
        <v>75</v>
      </c>
      <c r="I209" s="35">
        <v>0</v>
      </c>
      <c r="J209" s="35">
        <v>0</v>
      </c>
      <c r="K209" s="35">
        <f>36569/D182</f>
        <v>2.12</v>
      </c>
    </row>
    <row r="210" spans="1:11" s="152" customFormat="1" x14ac:dyDescent="0.3">
      <c r="A210" s="259">
        <f>A182+1</f>
        <v>34</v>
      </c>
      <c r="B210" s="259">
        <v>6311</v>
      </c>
      <c r="C210" s="262" t="s">
        <v>216</v>
      </c>
      <c r="D210" s="256">
        <v>2415.9</v>
      </c>
      <c r="E210" s="259" t="s">
        <v>74</v>
      </c>
      <c r="F210" s="259">
        <v>9</v>
      </c>
      <c r="G210" s="259" t="s">
        <v>641</v>
      </c>
      <c r="H210" s="151" t="s">
        <v>72</v>
      </c>
      <c r="I210" s="35">
        <f>SUM(I211:I213)</f>
        <v>1733403</v>
      </c>
      <c r="J210" s="35">
        <f>SUM(J211:J213)</f>
        <v>717.5</v>
      </c>
      <c r="K210" s="35">
        <f>SUM(K211:K213)</f>
        <v>732.63</v>
      </c>
    </row>
    <row r="211" spans="1:11" s="152" customFormat="1" ht="46.5" x14ac:dyDescent="0.3">
      <c r="A211" s="260"/>
      <c r="B211" s="260"/>
      <c r="C211" s="263"/>
      <c r="D211" s="257"/>
      <c r="E211" s="260"/>
      <c r="F211" s="260"/>
      <c r="G211" s="260"/>
      <c r="H211" s="151" t="s">
        <v>634</v>
      </c>
      <c r="I211" s="35">
        <v>24580</v>
      </c>
      <c r="J211" s="35">
        <f>I211/D210</f>
        <v>10.17</v>
      </c>
      <c r="K211" s="35">
        <f>J211</f>
        <v>10.17</v>
      </c>
    </row>
    <row r="212" spans="1:11" s="152" customFormat="1" x14ac:dyDescent="0.3">
      <c r="A212" s="260">
        <v>756</v>
      </c>
      <c r="B212" s="260"/>
      <c r="C212" s="263"/>
      <c r="D212" s="257"/>
      <c r="E212" s="260"/>
      <c r="F212" s="260"/>
      <c r="G212" s="260"/>
      <c r="H212" s="151" t="s">
        <v>642</v>
      </c>
      <c r="I212" s="35">
        <v>1708823</v>
      </c>
      <c r="J212" s="35">
        <f>I212/D210+0.01</f>
        <v>707.33</v>
      </c>
      <c r="K212" s="35">
        <f>1708823/D210+0.01</f>
        <v>707.33</v>
      </c>
    </row>
    <row r="213" spans="1:11" s="152" customFormat="1" x14ac:dyDescent="0.3">
      <c r="A213" s="261"/>
      <c r="B213" s="261"/>
      <c r="C213" s="264"/>
      <c r="D213" s="258"/>
      <c r="E213" s="261"/>
      <c r="F213" s="261"/>
      <c r="G213" s="261"/>
      <c r="H213" s="151" t="s">
        <v>75</v>
      </c>
      <c r="I213" s="35">
        <v>0</v>
      </c>
      <c r="J213" s="35">
        <v>0</v>
      </c>
      <c r="K213" s="35">
        <f>36569/D210-0.01</f>
        <v>15.13</v>
      </c>
    </row>
    <row r="214" spans="1:11" s="152" customFormat="1" x14ac:dyDescent="0.3">
      <c r="A214" s="259">
        <f>A210+1</f>
        <v>35</v>
      </c>
      <c r="B214" s="259">
        <v>6315</v>
      </c>
      <c r="C214" s="262" t="s">
        <v>217</v>
      </c>
      <c r="D214" s="256">
        <v>4642.1000000000004</v>
      </c>
      <c r="E214" s="259" t="s">
        <v>74</v>
      </c>
      <c r="F214" s="259">
        <v>9</v>
      </c>
      <c r="G214" s="259" t="s">
        <v>641</v>
      </c>
      <c r="H214" s="151" t="s">
        <v>72</v>
      </c>
      <c r="I214" s="35">
        <f>SUM(I215:I217)</f>
        <v>1708823</v>
      </c>
      <c r="J214" s="35">
        <f>SUM(J215:J217)</f>
        <v>368.11</v>
      </c>
      <c r="K214" s="35">
        <f>SUM(K215:K217)</f>
        <v>375.99</v>
      </c>
    </row>
    <row r="215" spans="1:11" s="152" customFormat="1" ht="46.5" x14ac:dyDescent="0.3">
      <c r="A215" s="260"/>
      <c r="B215" s="260"/>
      <c r="C215" s="263"/>
      <c r="D215" s="257"/>
      <c r="E215" s="260"/>
      <c r="F215" s="260"/>
      <c r="G215" s="260"/>
      <c r="H215" s="151" t="s">
        <v>634</v>
      </c>
      <c r="I215" s="35">
        <v>0</v>
      </c>
      <c r="J215" s="35">
        <f>I215/D214</f>
        <v>0</v>
      </c>
      <c r="K215" s="35">
        <f>J215</f>
        <v>0</v>
      </c>
    </row>
    <row r="216" spans="1:11" s="152" customFormat="1" x14ac:dyDescent="0.3">
      <c r="A216" s="260">
        <v>756</v>
      </c>
      <c r="B216" s="260"/>
      <c r="C216" s="263"/>
      <c r="D216" s="257"/>
      <c r="E216" s="260"/>
      <c r="F216" s="260"/>
      <c r="G216" s="260"/>
      <c r="H216" s="151" t="s">
        <v>642</v>
      </c>
      <c r="I216" s="35">
        <v>1708823</v>
      </c>
      <c r="J216" s="35">
        <f>I216/D214</f>
        <v>368.11</v>
      </c>
      <c r="K216" s="35">
        <f>1708823/D214</f>
        <v>368.11</v>
      </c>
    </row>
    <row r="217" spans="1:11" s="152" customFormat="1" x14ac:dyDescent="0.3">
      <c r="A217" s="261"/>
      <c r="B217" s="261"/>
      <c r="C217" s="264"/>
      <c r="D217" s="258"/>
      <c r="E217" s="261"/>
      <c r="F217" s="261"/>
      <c r="G217" s="261"/>
      <c r="H217" s="151" t="s">
        <v>75</v>
      </c>
      <c r="I217" s="35">
        <v>0</v>
      </c>
      <c r="J217" s="35">
        <v>0</v>
      </c>
      <c r="K217" s="35">
        <f>36569/D214</f>
        <v>7.88</v>
      </c>
    </row>
    <row r="218" spans="1:11" s="152" customFormat="1" x14ac:dyDescent="0.3">
      <c r="A218" s="280">
        <f>A214+1</f>
        <v>36</v>
      </c>
      <c r="B218" s="280">
        <v>6321</v>
      </c>
      <c r="C218" s="297" t="s">
        <v>218</v>
      </c>
      <c r="D218" s="256">
        <v>10603.9</v>
      </c>
      <c r="E218" s="280" t="s">
        <v>70</v>
      </c>
      <c r="F218" s="280">
        <v>9</v>
      </c>
      <c r="G218" s="153"/>
      <c r="H218" s="151" t="s">
        <v>72</v>
      </c>
      <c r="I218" s="35">
        <f>SUM(I219:I236)</f>
        <v>10400418</v>
      </c>
      <c r="J218" s="35">
        <f>SUM(J219:J236)</f>
        <v>980.81</v>
      </c>
      <c r="K218" s="35">
        <f>SUM(K219:K236)</f>
        <v>1001.5</v>
      </c>
    </row>
    <row r="219" spans="1:11" s="152" customFormat="1" ht="46.5" x14ac:dyDescent="0.3">
      <c r="A219" s="281"/>
      <c r="B219" s="281"/>
      <c r="C219" s="298"/>
      <c r="D219" s="257"/>
      <c r="E219" s="281"/>
      <c r="F219" s="281"/>
      <c r="G219" s="259" t="s">
        <v>641</v>
      </c>
      <c r="H219" s="151" t="s">
        <v>634</v>
      </c>
      <c r="I219" s="35">
        <v>24580</v>
      </c>
      <c r="J219" s="35">
        <f>I219/D218</f>
        <v>2.3199999999999998</v>
      </c>
      <c r="K219" s="35">
        <f>J219</f>
        <v>2.3199999999999998</v>
      </c>
    </row>
    <row r="220" spans="1:11" s="152" customFormat="1" x14ac:dyDescent="0.3">
      <c r="A220" s="281">
        <v>756</v>
      </c>
      <c r="B220" s="281"/>
      <c r="C220" s="298"/>
      <c r="D220" s="257"/>
      <c r="E220" s="281"/>
      <c r="F220" s="281"/>
      <c r="G220" s="260"/>
      <c r="H220" s="151" t="s">
        <v>642</v>
      </c>
      <c r="I220" s="35">
        <v>1708823</v>
      </c>
      <c r="J220" s="35">
        <f>I220/D218-0.01</f>
        <v>161.13999999999999</v>
      </c>
      <c r="K220" s="35">
        <f>1708823/D218</f>
        <v>161.15</v>
      </c>
    </row>
    <row r="221" spans="1:11" s="152" customFormat="1" x14ac:dyDescent="0.3">
      <c r="A221" s="281"/>
      <c r="B221" s="281"/>
      <c r="C221" s="298"/>
      <c r="D221" s="257"/>
      <c r="E221" s="281"/>
      <c r="F221" s="281"/>
      <c r="G221" s="260"/>
      <c r="H221" s="151" t="s">
        <v>75</v>
      </c>
      <c r="I221" s="35">
        <v>0</v>
      </c>
      <c r="J221" s="35">
        <v>0</v>
      </c>
      <c r="K221" s="35">
        <f>36569/D218</f>
        <v>3.45</v>
      </c>
    </row>
    <row r="222" spans="1:11" s="152" customFormat="1" ht="46.5" x14ac:dyDescent="0.3">
      <c r="A222" s="281"/>
      <c r="B222" s="281"/>
      <c r="C222" s="298"/>
      <c r="D222" s="257"/>
      <c r="E222" s="281"/>
      <c r="F222" s="281"/>
      <c r="G222" s="259" t="s">
        <v>647</v>
      </c>
      <c r="H222" s="151" t="s">
        <v>634</v>
      </c>
      <c r="I222" s="35">
        <v>24580</v>
      </c>
      <c r="J222" s="35">
        <f>I222/D218</f>
        <v>2.3199999999999998</v>
      </c>
      <c r="K222" s="35">
        <f>J222</f>
        <v>2.3199999999999998</v>
      </c>
    </row>
    <row r="223" spans="1:11" s="152" customFormat="1" x14ac:dyDescent="0.3">
      <c r="A223" s="281"/>
      <c r="B223" s="281"/>
      <c r="C223" s="298"/>
      <c r="D223" s="257"/>
      <c r="E223" s="281"/>
      <c r="F223" s="281"/>
      <c r="G223" s="260"/>
      <c r="H223" s="151" t="s">
        <v>642</v>
      </c>
      <c r="I223" s="35">
        <v>1708823</v>
      </c>
      <c r="J223" s="35">
        <f>I223/D218</f>
        <v>161.15</v>
      </c>
      <c r="K223" s="35">
        <f>1708823/D218</f>
        <v>161.15</v>
      </c>
    </row>
    <row r="224" spans="1:11" s="152" customFormat="1" x14ac:dyDescent="0.3">
      <c r="A224" s="281"/>
      <c r="B224" s="281"/>
      <c r="C224" s="298"/>
      <c r="D224" s="257"/>
      <c r="E224" s="281"/>
      <c r="F224" s="281"/>
      <c r="G224" s="260"/>
      <c r="H224" s="151" t="s">
        <v>75</v>
      </c>
      <c r="I224" s="35">
        <v>0</v>
      </c>
      <c r="J224" s="35">
        <v>0</v>
      </c>
      <c r="K224" s="35">
        <f>36569/D218-0.01</f>
        <v>3.44</v>
      </c>
    </row>
    <row r="225" spans="1:11" s="152" customFormat="1" ht="46.5" x14ac:dyDescent="0.3">
      <c r="A225" s="281"/>
      <c r="B225" s="281"/>
      <c r="C225" s="298"/>
      <c r="D225" s="257"/>
      <c r="E225" s="281"/>
      <c r="F225" s="281"/>
      <c r="G225" s="259" t="s">
        <v>648</v>
      </c>
      <c r="H225" s="151" t="s">
        <v>634</v>
      </c>
      <c r="I225" s="35">
        <v>24580</v>
      </c>
      <c r="J225" s="35">
        <f>I225/D218</f>
        <v>2.3199999999999998</v>
      </c>
      <c r="K225" s="35">
        <f>J225</f>
        <v>2.3199999999999998</v>
      </c>
    </row>
    <row r="226" spans="1:11" s="152" customFormat="1" x14ac:dyDescent="0.3">
      <c r="A226" s="281"/>
      <c r="B226" s="281"/>
      <c r="C226" s="298"/>
      <c r="D226" s="257"/>
      <c r="E226" s="281"/>
      <c r="F226" s="281"/>
      <c r="G226" s="260"/>
      <c r="H226" s="151" t="s">
        <v>642</v>
      </c>
      <c r="I226" s="35">
        <v>1708823</v>
      </c>
      <c r="J226" s="35">
        <f>I226/D218</f>
        <v>161.15</v>
      </c>
      <c r="K226" s="35">
        <f>1708823/D218</f>
        <v>161.15</v>
      </c>
    </row>
    <row r="227" spans="1:11" s="152" customFormat="1" x14ac:dyDescent="0.3">
      <c r="A227" s="281"/>
      <c r="B227" s="281"/>
      <c r="C227" s="298"/>
      <c r="D227" s="257"/>
      <c r="E227" s="281"/>
      <c r="F227" s="281"/>
      <c r="G227" s="260"/>
      <c r="H227" s="151" t="s">
        <v>75</v>
      </c>
      <c r="I227" s="35">
        <v>0</v>
      </c>
      <c r="J227" s="35">
        <v>0</v>
      </c>
      <c r="K227" s="35">
        <f>36569/D218</f>
        <v>3.45</v>
      </c>
    </row>
    <row r="228" spans="1:11" s="152" customFormat="1" ht="46.5" x14ac:dyDescent="0.3">
      <c r="A228" s="281"/>
      <c r="B228" s="281"/>
      <c r="C228" s="298"/>
      <c r="D228" s="257"/>
      <c r="E228" s="281"/>
      <c r="F228" s="281"/>
      <c r="G228" s="259" t="s">
        <v>649</v>
      </c>
      <c r="H228" s="151" t="s">
        <v>634</v>
      </c>
      <c r="I228" s="35">
        <v>24580</v>
      </c>
      <c r="J228" s="35">
        <f>I228/D218</f>
        <v>2.3199999999999998</v>
      </c>
      <c r="K228" s="35">
        <f>J228</f>
        <v>2.3199999999999998</v>
      </c>
    </row>
    <row r="229" spans="1:11" s="152" customFormat="1" x14ac:dyDescent="0.3">
      <c r="A229" s="281"/>
      <c r="B229" s="281"/>
      <c r="C229" s="298"/>
      <c r="D229" s="257"/>
      <c r="E229" s="281"/>
      <c r="F229" s="281"/>
      <c r="G229" s="260"/>
      <c r="H229" s="151" t="s">
        <v>642</v>
      </c>
      <c r="I229" s="35">
        <v>1708823</v>
      </c>
      <c r="J229" s="35">
        <f>I229/D218</f>
        <v>161.15</v>
      </c>
      <c r="K229" s="35">
        <f>1708823/D218</f>
        <v>161.15</v>
      </c>
    </row>
    <row r="230" spans="1:11" s="152" customFormat="1" x14ac:dyDescent="0.3">
      <c r="A230" s="281"/>
      <c r="B230" s="281"/>
      <c r="C230" s="298"/>
      <c r="D230" s="257"/>
      <c r="E230" s="281"/>
      <c r="F230" s="281"/>
      <c r="G230" s="260"/>
      <c r="H230" s="151" t="s">
        <v>75</v>
      </c>
      <c r="I230" s="35">
        <v>0</v>
      </c>
      <c r="J230" s="35">
        <v>0</v>
      </c>
      <c r="K230" s="35">
        <f>36569/D218</f>
        <v>3.45</v>
      </c>
    </row>
    <row r="231" spans="1:11" s="152" customFormat="1" ht="46.5" x14ac:dyDescent="0.3">
      <c r="A231" s="281"/>
      <c r="B231" s="281"/>
      <c r="C231" s="298"/>
      <c r="D231" s="257"/>
      <c r="E231" s="281"/>
      <c r="F231" s="281"/>
      <c r="G231" s="259" t="s">
        <v>646</v>
      </c>
      <c r="H231" s="151" t="s">
        <v>634</v>
      </c>
      <c r="I231" s="35">
        <v>24580</v>
      </c>
      <c r="J231" s="35">
        <f>I231/D218</f>
        <v>2.3199999999999998</v>
      </c>
      <c r="K231" s="35">
        <f>J231</f>
        <v>2.3199999999999998</v>
      </c>
    </row>
    <row r="232" spans="1:11" s="152" customFormat="1" x14ac:dyDescent="0.3">
      <c r="A232" s="281"/>
      <c r="B232" s="281"/>
      <c r="C232" s="298"/>
      <c r="D232" s="257"/>
      <c r="E232" s="281"/>
      <c r="F232" s="281"/>
      <c r="G232" s="260"/>
      <c r="H232" s="151" t="s">
        <v>642</v>
      </c>
      <c r="I232" s="35">
        <v>1708823</v>
      </c>
      <c r="J232" s="35">
        <f>I232/D218</f>
        <v>161.15</v>
      </c>
      <c r="K232" s="35">
        <f>1708823/D218</f>
        <v>161.15</v>
      </c>
    </row>
    <row r="233" spans="1:11" s="152" customFormat="1" x14ac:dyDescent="0.3">
      <c r="A233" s="281"/>
      <c r="B233" s="281"/>
      <c r="C233" s="298"/>
      <c r="D233" s="257"/>
      <c r="E233" s="281"/>
      <c r="F233" s="281"/>
      <c r="G233" s="260"/>
      <c r="H233" s="151" t="s">
        <v>75</v>
      </c>
      <c r="I233" s="35">
        <v>0</v>
      </c>
      <c r="J233" s="35">
        <v>0</v>
      </c>
      <c r="K233" s="35">
        <f>36569/D218-0.01</f>
        <v>3.44</v>
      </c>
    </row>
    <row r="234" spans="1:11" s="152" customFormat="1" ht="46.5" x14ac:dyDescent="0.3">
      <c r="A234" s="281"/>
      <c r="B234" s="281"/>
      <c r="C234" s="298"/>
      <c r="D234" s="257"/>
      <c r="E234" s="281"/>
      <c r="F234" s="281"/>
      <c r="G234" s="259" t="s">
        <v>650</v>
      </c>
      <c r="H234" s="151" t="s">
        <v>634</v>
      </c>
      <c r="I234" s="35">
        <v>24580</v>
      </c>
      <c r="J234" s="35">
        <f>I234/D218</f>
        <v>2.3199999999999998</v>
      </c>
      <c r="K234" s="35">
        <f>J234</f>
        <v>2.3199999999999998</v>
      </c>
    </row>
    <row r="235" spans="1:11" s="152" customFormat="1" x14ac:dyDescent="0.3">
      <c r="A235" s="281"/>
      <c r="B235" s="281"/>
      <c r="C235" s="298"/>
      <c r="D235" s="257"/>
      <c r="E235" s="281"/>
      <c r="F235" s="281"/>
      <c r="G235" s="260"/>
      <c r="H235" s="151" t="s">
        <v>642</v>
      </c>
      <c r="I235" s="35">
        <v>1708823</v>
      </c>
      <c r="J235" s="35">
        <f>I235/D218</f>
        <v>161.15</v>
      </c>
      <c r="K235" s="35">
        <f>1708823/D218</f>
        <v>161.15</v>
      </c>
    </row>
    <row r="236" spans="1:11" s="152" customFormat="1" x14ac:dyDescent="0.3">
      <c r="A236" s="294"/>
      <c r="B236" s="294"/>
      <c r="C236" s="299"/>
      <c r="D236" s="258"/>
      <c r="E236" s="294"/>
      <c r="F236" s="294"/>
      <c r="G236" s="260"/>
      <c r="H236" s="151" t="s">
        <v>75</v>
      </c>
      <c r="I236" s="35">
        <v>0</v>
      </c>
      <c r="J236" s="35">
        <v>0</v>
      </c>
      <c r="K236" s="35">
        <f>36569/D218</f>
        <v>3.45</v>
      </c>
    </row>
    <row r="237" spans="1:11" s="152" customFormat="1" x14ac:dyDescent="0.3">
      <c r="A237" s="259">
        <f>A218+1</f>
        <v>37</v>
      </c>
      <c r="B237" s="259">
        <v>6343</v>
      </c>
      <c r="C237" s="262" t="s">
        <v>220</v>
      </c>
      <c r="D237" s="256">
        <v>877.1</v>
      </c>
      <c r="E237" s="259" t="s">
        <v>79</v>
      </c>
      <c r="F237" s="280">
        <v>2</v>
      </c>
      <c r="G237" s="259" t="s">
        <v>71</v>
      </c>
      <c r="H237" s="151" t="s">
        <v>72</v>
      </c>
      <c r="I237" s="35">
        <f>I238</f>
        <v>107835.6</v>
      </c>
      <c r="J237" s="35">
        <f>J238</f>
        <v>122.95</v>
      </c>
      <c r="K237" s="35">
        <f>K238</f>
        <v>178</v>
      </c>
    </row>
    <row r="238" spans="1:11" s="152" customFormat="1" ht="46.5" x14ac:dyDescent="0.3">
      <c r="A238" s="260"/>
      <c r="B238" s="260"/>
      <c r="C238" s="263"/>
      <c r="D238" s="257"/>
      <c r="E238" s="260"/>
      <c r="F238" s="281"/>
      <c r="G238" s="261"/>
      <c r="H238" s="151" t="s">
        <v>673</v>
      </c>
      <c r="I238" s="35">
        <f>96433.3+11402.3</f>
        <v>107835.6</v>
      </c>
      <c r="J238" s="35">
        <f>I238/D237</f>
        <v>122.95</v>
      </c>
      <c r="K238" s="35">
        <f>164+14</f>
        <v>178</v>
      </c>
    </row>
    <row r="239" spans="1:11" s="152" customFormat="1" x14ac:dyDescent="0.3">
      <c r="A239" s="265">
        <f>A237+1</f>
        <v>38</v>
      </c>
      <c r="B239" s="265">
        <v>6349</v>
      </c>
      <c r="C239" s="266" t="s">
        <v>221</v>
      </c>
      <c r="D239" s="295">
        <v>889.1</v>
      </c>
      <c r="E239" s="295" t="s">
        <v>79</v>
      </c>
      <c r="F239" s="296">
        <v>2</v>
      </c>
      <c r="G239" s="265" t="s">
        <v>71</v>
      </c>
      <c r="H239" s="151" t="s">
        <v>72</v>
      </c>
      <c r="I239" s="35">
        <f>I240+I241</f>
        <v>4380814.25</v>
      </c>
      <c r="J239" s="35">
        <f>J240+J241</f>
        <v>4927.25</v>
      </c>
      <c r="K239" s="35">
        <f>K240+K241</f>
        <v>7066</v>
      </c>
    </row>
    <row r="240" spans="1:11" s="152" customFormat="1" x14ac:dyDescent="0.3">
      <c r="A240" s="265">
        <v>75</v>
      </c>
      <c r="B240" s="265"/>
      <c r="C240" s="266"/>
      <c r="D240" s="295"/>
      <c r="E240" s="295"/>
      <c r="F240" s="296"/>
      <c r="G240" s="265"/>
      <c r="H240" s="151" t="s">
        <v>73</v>
      </c>
      <c r="I240" s="35">
        <v>4299440.33</v>
      </c>
      <c r="J240" s="35">
        <f>I240/D239+0.01</f>
        <v>4835.7299999999996</v>
      </c>
      <c r="K240" s="35">
        <v>6918</v>
      </c>
    </row>
    <row r="241" spans="1:11" s="152" customFormat="1" x14ac:dyDescent="0.3">
      <c r="A241" s="265">
        <v>76</v>
      </c>
      <c r="B241" s="265"/>
      <c r="C241" s="266"/>
      <c r="D241" s="295"/>
      <c r="E241" s="295"/>
      <c r="F241" s="296"/>
      <c r="G241" s="265"/>
      <c r="H241" s="151" t="s">
        <v>75</v>
      </c>
      <c r="I241" s="35">
        <v>81373.919999999998</v>
      </c>
      <c r="J241" s="35">
        <f>I241/D239</f>
        <v>91.52</v>
      </c>
      <c r="K241" s="35">
        <v>148</v>
      </c>
    </row>
    <row r="242" spans="1:11" s="152" customFormat="1" x14ac:dyDescent="0.3">
      <c r="A242" s="259">
        <f>A239+1</f>
        <v>39</v>
      </c>
      <c r="B242" s="259">
        <v>6351</v>
      </c>
      <c r="C242" s="262" t="s">
        <v>222</v>
      </c>
      <c r="D242" s="256">
        <v>899.1</v>
      </c>
      <c r="E242" s="256" t="s">
        <v>633</v>
      </c>
      <c r="F242" s="280">
        <v>2</v>
      </c>
      <c r="G242" s="156"/>
      <c r="H242" s="151" t="s">
        <v>72</v>
      </c>
      <c r="I242" s="35">
        <f>I243+I244+I245</f>
        <v>139360.5</v>
      </c>
      <c r="J242" s="35">
        <f>J243+J244+J245</f>
        <v>155</v>
      </c>
      <c r="K242" s="35">
        <f>K243+K244+K245</f>
        <v>155</v>
      </c>
    </row>
    <row r="243" spans="1:11" s="152" customFormat="1" ht="46.5" x14ac:dyDescent="0.3">
      <c r="A243" s="260"/>
      <c r="B243" s="260"/>
      <c r="C243" s="263"/>
      <c r="D243" s="257"/>
      <c r="E243" s="257"/>
      <c r="F243" s="281"/>
      <c r="G243" s="155" t="s">
        <v>76</v>
      </c>
      <c r="H243" s="151" t="s">
        <v>634</v>
      </c>
      <c r="I243" s="35">
        <f>D242*K243</f>
        <v>105194.7</v>
      </c>
      <c r="J243" s="35">
        <f>I243/D242</f>
        <v>117</v>
      </c>
      <c r="K243" s="35">
        <f>108+9</f>
        <v>117</v>
      </c>
    </row>
    <row r="244" spans="1:11" s="152" customFormat="1" ht="46.5" x14ac:dyDescent="0.3">
      <c r="A244" s="260"/>
      <c r="B244" s="260"/>
      <c r="C244" s="263"/>
      <c r="D244" s="257"/>
      <c r="E244" s="257"/>
      <c r="F244" s="281"/>
      <c r="G244" s="155" t="s">
        <v>77</v>
      </c>
      <c r="H244" s="151" t="s">
        <v>634</v>
      </c>
      <c r="I244" s="35">
        <f>D242*K244</f>
        <v>17982</v>
      </c>
      <c r="J244" s="35">
        <f>I244/D242</f>
        <v>20</v>
      </c>
      <c r="K244" s="35">
        <f>18+2</f>
        <v>20</v>
      </c>
    </row>
    <row r="245" spans="1:11" s="152" customFormat="1" ht="46.5" x14ac:dyDescent="0.3">
      <c r="A245" s="260"/>
      <c r="B245" s="260"/>
      <c r="C245" s="263"/>
      <c r="D245" s="257"/>
      <c r="E245" s="257"/>
      <c r="F245" s="281"/>
      <c r="G245" s="155" t="s">
        <v>78</v>
      </c>
      <c r="H245" s="151" t="s">
        <v>634</v>
      </c>
      <c r="I245" s="35">
        <f>D242*K245</f>
        <v>16183.8</v>
      </c>
      <c r="J245" s="35">
        <f>I245/D242</f>
        <v>18</v>
      </c>
      <c r="K245" s="35">
        <f>17+1</f>
        <v>18</v>
      </c>
    </row>
    <row r="246" spans="1:11" s="152" customFormat="1" x14ac:dyDescent="0.3">
      <c r="A246" s="259">
        <f>A242+1</f>
        <v>40</v>
      </c>
      <c r="B246" s="259">
        <v>6354</v>
      </c>
      <c r="C246" s="262" t="s">
        <v>223</v>
      </c>
      <c r="D246" s="256">
        <v>2328</v>
      </c>
      <c r="E246" s="256" t="s">
        <v>79</v>
      </c>
      <c r="F246" s="280">
        <v>4</v>
      </c>
      <c r="G246" s="259" t="s">
        <v>71</v>
      </c>
      <c r="H246" s="151" t="s">
        <v>72</v>
      </c>
      <c r="I246" s="35">
        <f>I247+I248</f>
        <v>3447304.17</v>
      </c>
      <c r="J246" s="35">
        <f>J247+J248</f>
        <v>1480.8</v>
      </c>
      <c r="K246" s="35">
        <f>K247+K248</f>
        <v>4807</v>
      </c>
    </row>
    <row r="247" spans="1:11" s="152" customFormat="1" ht="46.5" x14ac:dyDescent="0.3">
      <c r="A247" s="260"/>
      <c r="B247" s="260"/>
      <c r="C247" s="263"/>
      <c r="D247" s="257"/>
      <c r="E247" s="257"/>
      <c r="F247" s="281"/>
      <c r="G247" s="260"/>
      <c r="H247" s="151" t="s">
        <v>673</v>
      </c>
      <c r="I247" s="35">
        <f>181818.57+D246*14</f>
        <v>214410.57</v>
      </c>
      <c r="J247" s="35">
        <f>I247/D246</f>
        <v>92.1</v>
      </c>
      <c r="K247" s="35">
        <f>164+14</f>
        <v>178</v>
      </c>
    </row>
    <row r="248" spans="1:11" s="152" customFormat="1" ht="25" customHeight="1" x14ac:dyDescent="0.3">
      <c r="A248" s="260"/>
      <c r="B248" s="260"/>
      <c r="C248" s="263"/>
      <c r="D248" s="257"/>
      <c r="E248" s="257"/>
      <c r="F248" s="281"/>
      <c r="G248" s="260"/>
      <c r="H248" s="151" t="s">
        <v>73</v>
      </c>
      <c r="I248" s="35">
        <f>D246*K248*30/100</f>
        <v>3232893.6</v>
      </c>
      <c r="J248" s="35">
        <f>I248/D246</f>
        <v>1388.7</v>
      </c>
      <c r="K248" s="35">
        <v>4629</v>
      </c>
    </row>
    <row r="249" spans="1:11" s="152" customFormat="1" ht="25" customHeight="1" x14ac:dyDescent="0.3">
      <c r="A249" s="259">
        <f>A246+1</f>
        <v>41</v>
      </c>
      <c r="B249" s="259">
        <v>6356</v>
      </c>
      <c r="C249" s="262" t="s">
        <v>224</v>
      </c>
      <c r="D249" s="256">
        <v>2350</v>
      </c>
      <c r="E249" s="256" t="s">
        <v>79</v>
      </c>
      <c r="F249" s="280">
        <v>4</v>
      </c>
      <c r="G249" s="259" t="s">
        <v>71</v>
      </c>
      <c r="H249" s="151" t="s">
        <v>72</v>
      </c>
      <c r="I249" s="35">
        <f>I250+I251</f>
        <v>3479058</v>
      </c>
      <c r="J249" s="35">
        <f>J250+J251</f>
        <v>1480.45</v>
      </c>
      <c r="K249" s="35">
        <f>K250+K251</f>
        <v>4807</v>
      </c>
    </row>
    <row r="250" spans="1:11" s="152" customFormat="1" ht="46.5" x14ac:dyDescent="0.3">
      <c r="A250" s="260"/>
      <c r="B250" s="260"/>
      <c r="C250" s="263"/>
      <c r="D250" s="257"/>
      <c r="E250" s="257"/>
      <c r="F250" s="281"/>
      <c r="G250" s="260"/>
      <c r="H250" s="151" t="s">
        <v>673</v>
      </c>
      <c r="I250" s="35">
        <f>182713+D249*14</f>
        <v>215613</v>
      </c>
      <c r="J250" s="35">
        <f>I250/D249</f>
        <v>91.75</v>
      </c>
      <c r="K250" s="35">
        <f>164+14</f>
        <v>178</v>
      </c>
    </row>
    <row r="251" spans="1:11" s="152" customFormat="1" ht="25" customHeight="1" x14ac:dyDescent="0.3">
      <c r="A251" s="260"/>
      <c r="B251" s="260"/>
      <c r="C251" s="263"/>
      <c r="D251" s="257"/>
      <c r="E251" s="257"/>
      <c r="F251" s="281"/>
      <c r="G251" s="260"/>
      <c r="H251" s="151" t="s">
        <v>73</v>
      </c>
      <c r="I251" s="35">
        <f>D249*K251*30/100</f>
        <v>3263445</v>
      </c>
      <c r="J251" s="35">
        <f>I251/D249</f>
        <v>1388.7</v>
      </c>
      <c r="K251" s="35">
        <v>4629</v>
      </c>
    </row>
    <row r="252" spans="1:11" s="152" customFormat="1" ht="25" customHeight="1" x14ac:dyDescent="0.3">
      <c r="A252" s="265">
        <f>A249+1</f>
        <v>42</v>
      </c>
      <c r="B252" s="265">
        <v>6403</v>
      </c>
      <c r="C252" s="266" t="s">
        <v>225</v>
      </c>
      <c r="D252" s="295">
        <v>4363.92</v>
      </c>
      <c r="E252" s="295" t="s">
        <v>645</v>
      </c>
      <c r="F252" s="296">
        <v>5</v>
      </c>
      <c r="G252" s="265" t="s">
        <v>71</v>
      </c>
      <c r="H252" s="151" t="s">
        <v>72</v>
      </c>
      <c r="I252" s="35">
        <f>I253+I254</f>
        <v>9244493.5899999999</v>
      </c>
      <c r="J252" s="35">
        <f>J253+J254</f>
        <v>2118.39</v>
      </c>
      <c r="K252" s="35">
        <f>K253+K254</f>
        <v>2831</v>
      </c>
    </row>
    <row r="253" spans="1:11" s="152" customFormat="1" ht="25" customHeight="1" x14ac:dyDescent="0.3">
      <c r="A253" s="265">
        <v>75</v>
      </c>
      <c r="B253" s="265"/>
      <c r="C253" s="266"/>
      <c r="D253" s="295"/>
      <c r="E253" s="295"/>
      <c r="F253" s="296"/>
      <c r="G253" s="265"/>
      <c r="H253" s="151" t="s">
        <v>73</v>
      </c>
      <c r="I253" s="35">
        <v>9061273.0700000003</v>
      </c>
      <c r="J253" s="35">
        <f>I253/D252-0.01</f>
        <v>2076.4</v>
      </c>
      <c r="K253" s="35">
        <v>2772</v>
      </c>
    </row>
    <row r="254" spans="1:11" s="152" customFormat="1" ht="25" customHeight="1" x14ac:dyDescent="0.3">
      <c r="A254" s="265">
        <v>76</v>
      </c>
      <c r="B254" s="265"/>
      <c r="C254" s="266"/>
      <c r="D254" s="295"/>
      <c r="E254" s="295"/>
      <c r="F254" s="296"/>
      <c r="G254" s="265"/>
      <c r="H254" s="151" t="s">
        <v>75</v>
      </c>
      <c r="I254" s="35">
        <v>183220.52</v>
      </c>
      <c r="J254" s="35">
        <f>I254/D252</f>
        <v>41.99</v>
      </c>
      <c r="K254" s="35">
        <v>59</v>
      </c>
    </row>
    <row r="255" spans="1:11" s="152" customFormat="1" x14ac:dyDescent="0.3">
      <c r="A255" s="259">
        <f>A252+1</f>
        <v>43</v>
      </c>
      <c r="B255" s="259">
        <v>6420</v>
      </c>
      <c r="C255" s="262" t="s">
        <v>226</v>
      </c>
      <c r="D255" s="256">
        <v>486</v>
      </c>
      <c r="E255" s="256" t="s">
        <v>633</v>
      </c>
      <c r="F255" s="280">
        <v>2</v>
      </c>
      <c r="G255" s="259" t="s">
        <v>71</v>
      </c>
      <c r="H255" s="151" t="s">
        <v>72</v>
      </c>
      <c r="I255" s="35">
        <f>I256++I257</f>
        <v>1095152.3999999999</v>
      </c>
      <c r="J255" s="35">
        <f>J256++J257</f>
        <v>2253.4</v>
      </c>
      <c r="K255" s="35">
        <f>K256++K257</f>
        <v>7096</v>
      </c>
    </row>
    <row r="256" spans="1:11" s="152" customFormat="1" ht="46.5" x14ac:dyDescent="0.3">
      <c r="A256" s="260"/>
      <c r="B256" s="260"/>
      <c r="C256" s="263"/>
      <c r="D256" s="257"/>
      <c r="E256" s="257"/>
      <c r="F256" s="281"/>
      <c r="G256" s="260"/>
      <c r="H256" s="151" t="s">
        <v>673</v>
      </c>
      <c r="I256" s="35">
        <f>79704+D255*14</f>
        <v>86508</v>
      </c>
      <c r="J256" s="35">
        <f>I256/D255</f>
        <v>178</v>
      </c>
      <c r="K256" s="35">
        <f>164+14</f>
        <v>178</v>
      </c>
    </row>
    <row r="257" spans="1:11" s="152" customFormat="1" x14ac:dyDescent="0.3">
      <c r="A257" s="261"/>
      <c r="B257" s="261"/>
      <c r="C257" s="264"/>
      <c r="D257" s="258"/>
      <c r="E257" s="258"/>
      <c r="F257" s="294"/>
      <c r="G257" s="261"/>
      <c r="H257" s="151" t="s">
        <v>73</v>
      </c>
      <c r="I257" s="35">
        <f>D255*K257*30/100</f>
        <v>1008644.4</v>
      </c>
      <c r="J257" s="35">
        <f>I257/D255</f>
        <v>2075.4</v>
      </c>
      <c r="K257" s="35">
        <v>6918</v>
      </c>
    </row>
    <row r="258" spans="1:11" s="152" customFormat="1" x14ac:dyDescent="0.3">
      <c r="A258" s="259">
        <f>A255+1</f>
        <v>44</v>
      </c>
      <c r="B258" s="259">
        <v>6476</v>
      </c>
      <c r="C258" s="262" t="s">
        <v>227</v>
      </c>
      <c r="D258" s="256">
        <v>525</v>
      </c>
      <c r="E258" s="256" t="s">
        <v>633</v>
      </c>
      <c r="F258" s="280">
        <v>2</v>
      </c>
      <c r="G258" s="259" t="s">
        <v>71</v>
      </c>
      <c r="H258" s="151" t="s">
        <v>72</v>
      </c>
      <c r="I258" s="35">
        <f>I259</f>
        <v>86451.59</v>
      </c>
      <c r="J258" s="35">
        <f>J259</f>
        <v>164.67</v>
      </c>
      <c r="K258" s="35">
        <f>K259</f>
        <v>178</v>
      </c>
    </row>
    <row r="259" spans="1:11" s="152" customFormat="1" ht="46.5" x14ac:dyDescent="0.3">
      <c r="A259" s="260"/>
      <c r="B259" s="260"/>
      <c r="C259" s="263"/>
      <c r="D259" s="257"/>
      <c r="E259" s="257"/>
      <c r="F259" s="281"/>
      <c r="G259" s="260"/>
      <c r="H259" s="151" t="s">
        <v>673</v>
      </c>
      <c r="I259" s="35">
        <f>79101.59+D258*14</f>
        <v>86451.59</v>
      </c>
      <c r="J259" s="35">
        <f>I259/D258</f>
        <v>164.67</v>
      </c>
      <c r="K259" s="35">
        <f>164+14</f>
        <v>178</v>
      </c>
    </row>
    <row r="260" spans="1:11" s="152" customFormat="1" x14ac:dyDescent="0.3">
      <c r="A260" s="280">
        <f>A258+1</f>
        <v>45</v>
      </c>
      <c r="B260" s="280">
        <v>6482</v>
      </c>
      <c r="C260" s="297" t="s">
        <v>654</v>
      </c>
      <c r="D260" s="256">
        <v>892.1</v>
      </c>
      <c r="E260" s="280" t="s">
        <v>79</v>
      </c>
      <c r="F260" s="280">
        <v>2</v>
      </c>
      <c r="G260" s="153"/>
      <c r="H260" s="151" t="s">
        <v>72</v>
      </c>
      <c r="I260" s="35">
        <f>I261+I262</f>
        <v>33899.800000000003</v>
      </c>
      <c r="J260" s="35">
        <f>J261+J262</f>
        <v>38</v>
      </c>
      <c r="K260" s="35">
        <f>K261+K262</f>
        <v>38</v>
      </c>
    </row>
    <row r="261" spans="1:11" s="152" customFormat="1" ht="46.5" x14ac:dyDescent="0.3">
      <c r="A261" s="281"/>
      <c r="B261" s="281"/>
      <c r="C261" s="298"/>
      <c r="D261" s="257"/>
      <c r="E261" s="281"/>
      <c r="F261" s="281"/>
      <c r="G261" s="155" t="s">
        <v>77</v>
      </c>
      <c r="H261" s="151" t="s">
        <v>634</v>
      </c>
      <c r="I261" s="35">
        <f>D260*K261</f>
        <v>17842</v>
      </c>
      <c r="J261" s="35">
        <f>I261/D260</f>
        <v>20</v>
      </c>
      <c r="K261" s="35">
        <f>18+2</f>
        <v>20</v>
      </c>
    </row>
    <row r="262" spans="1:11" s="152" customFormat="1" ht="46.5" x14ac:dyDescent="0.3">
      <c r="A262" s="281"/>
      <c r="B262" s="281"/>
      <c r="C262" s="298"/>
      <c r="D262" s="257"/>
      <c r="E262" s="281"/>
      <c r="F262" s="281"/>
      <c r="G262" s="155" t="s">
        <v>78</v>
      </c>
      <c r="H262" s="151" t="s">
        <v>634</v>
      </c>
      <c r="I262" s="35">
        <f>D260*K262</f>
        <v>16057.8</v>
      </c>
      <c r="J262" s="35">
        <f>I262/D260</f>
        <v>18</v>
      </c>
      <c r="K262" s="35">
        <f>17+1</f>
        <v>18</v>
      </c>
    </row>
    <row r="263" spans="1:11" s="152" customFormat="1" x14ac:dyDescent="0.3">
      <c r="A263" s="259">
        <f>A260+1</f>
        <v>46</v>
      </c>
      <c r="B263" s="259">
        <v>6514</v>
      </c>
      <c r="C263" s="262" t="s">
        <v>231</v>
      </c>
      <c r="D263" s="256">
        <v>432.5</v>
      </c>
      <c r="E263" s="259" t="s">
        <v>633</v>
      </c>
      <c r="F263" s="280">
        <v>2</v>
      </c>
      <c r="G263" s="156"/>
      <c r="H263" s="151" t="s">
        <v>72</v>
      </c>
      <c r="I263" s="35">
        <f>I264+I265+I266</f>
        <v>67037.5</v>
      </c>
      <c r="J263" s="35">
        <f>J264+J265+J266</f>
        <v>155</v>
      </c>
      <c r="K263" s="35">
        <f>K264+K265+K266</f>
        <v>155</v>
      </c>
    </row>
    <row r="264" spans="1:11" s="152" customFormat="1" ht="46.5" x14ac:dyDescent="0.3">
      <c r="A264" s="260"/>
      <c r="B264" s="260"/>
      <c r="C264" s="263"/>
      <c r="D264" s="257"/>
      <c r="E264" s="260"/>
      <c r="F264" s="281"/>
      <c r="G264" s="155" t="s">
        <v>77</v>
      </c>
      <c r="H264" s="151" t="s">
        <v>634</v>
      </c>
      <c r="I264" s="35">
        <f>D263*K264</f>
        <v>8650</v>
      </c>
      <c r="J264" s="35">
        <f>I264/D263</f>
        <v>20</v>
      </c>
      <c r="K264" s="35">
        <f>18+2</f>
        <v>20</v>
      </c>
    </row>
    <row r="265" spans="1:11" s="152" customFormat="1" ht="46.5" x14ac:dyDescent="0.3">
      <c r="A265" s="260"/>
      <c r="B265" s="260"/>
      <c r="C265" s="263"/>
      <c r="D265" s="257"/>
      <c r="E265" s="260"/>
      <c r="F265" s="281"/>
      <c r="G265" s="155" t="s">
        <v>78</v>
      </c>
      <c r="H265" s="151" t="s">
        <v>634</v>
      </c>
      <c r="I265" s="35">
        <f>D263*K265</f>
        <v>7785</v>
      </c>
      <c r="J265" s="35">
        <f>I265/D263</f>
        <v>18</v>
      </c>
      <c r="K265" s="35">
        <f>17+1</f>
        <v>18</v>
      </c>
    </row>
    <row r="266" spans="1:11" s="152" customFormat="1" ht="46.5" x14ac:dyDescent="0.3">
      <c r="A266" s="260"/>
      <c r="B266" s="260"/>
      <c r="C266" s="263"/>
      <c r="D266" s="257"/>
      <c r="E266" s="260"/>
      <c r="F266" s="281"/>
      <c r="G266" s="155" t="s">
        <v>76</v>
      </c>
      <c r="H266" s="151" t="s">
        <v>634</v>
      </c>
      <c r="I266" s="35">
        <f>D263*K266</f>
        <v>50602.5</v>
      </c>
      <c r="J266" s="35">
        <f>I266/D263</f>
        <v>117</v>
      </c>
      <c r="K266" s="35">
        <f>108+9</f>
        <v>117</v>
      </c>
    </row>
    <row r="267" spans="1:11" s="152" customFormat="1" x14ac:dyDescent="0.3">
      <c r="A267" s="259">
        <f>A263+1</f>
        <v>47</v>
      </c>
      <c r="B267" s="259">
        <v>6515</v>
      </c>
      <c r="C267" s="262" t="s">
        <v>232</v>
      </c>
      <c r="D267" s="256">
        <v>424.9</v>
      </c>
      <c r="E267" s="259" t="s">
        <v>633</v>
      </c>
      <c r="F267" s="280">
        <v>2</v>
      </c>
      <c r="G267" s="156"/>
      <c r="H267" s="151" t="s">
        <v>72</v>
      </c>
      <c r="I267" s="35">
        <f>I268+I269+I270</f>
        <v>65859.5</v>
      </c>
      <c r="J267" s="35">
        <f>J268+J269+J270</f>
        <v>155</v>
      </c>
      <c r="K267" s="35">
        <f>K268+K269+K270</f>
        <v>155</v>
      </c>
    </row>
    <row r="268" spans="1:11" s="152" customFormat="1" ht="46.5" x14ac:dyDescent="0.3">
      <c r="A268" s="260"/>
      <c r="B268" s="260"/>
      <c r="C268" s="263"/>
      <c r="D268" s="257"/>
      <c r="E268" s="260"/>
      <c r="F268" s="281"/>
      <c r="G268" s="155" t="s">
        <v>77</v>
      </c>
      <c r="H268" s="151" t="s">
        <v>634</v>
      </c>
      <c r="I268" s="35">
        <f>D267*K268</f>
        <v>8498</v>
      </c>
      <c r="J268" s="35">
        <f>I268/D267</f>
        <v>20</v>
      </c>
      <c r="K268" s="35">
        <f>18+2</f>
        <v>20</v>
      </c>
    </row>
    <row r="269" spans="1:11" s="152" customFormat="1" ht="46.5" x14ac:dyDescent="0.3">
      <c r="A269" s="260"/>
      <c r="B269" s="260"/>
      <c r="C269" s="263"/>
      <c r="D269" s="257"/>
      <c r="E269" s="260"/>
      <c r="F269" s="281"/>
      <c r="G269" s="155" t="s">
        <v>78</v>
      </c>
      <c r="H269" s="151" t="s">
        <v>634</v>
      </c>
      <c r="I269" s="35">
        <f>D267*K269</f>
        <v>7648.2</v>
      </c>
      <c r="J269" s="35">
        <f>I269/D267</f>
        <v>18</v>
      </c>
      <c r="K269" s="35">
        <f>17+1</f>
        <v>18</v>
      </c>
    </row>
    <row r="270" spans="1:11" s="152" customFormat="1" ht="57" customHeight="1" x14ac:dyDescent="0.3">
      <c r="A270" s="260"/>
      <c r="B270" s="260"/>
      <c r="C270" s="263"/>
      <c r="D270" s="257"/>
      <c r="E270" s="260"/>
      <c r="F270" s="281"/>
      <c r="G270" s="155" t="s">
        <v>76</v>
      </c>
      <c r="H270" s="151" t="s">
        <v>634</v>
      </c>
      <c r="I270" s="35">
        <f>D267*K270</f>
        <v>49713.3</v>
      </c>
      <c r="J270" s="35">
        <f>I270/D267</f>
        <v>117</v>
      </c>
      <c r="K270" s="35">
        <f>108+9</f>
        <v>117</v>
      </c>
    </row>
    <row r="271" spans="1:11" s="152" customFormat="1" x14ac:dyDescent="0.3">
      <c r="A271" s="259">
        <f>A267+1</f>
        <v>48</v>
      </c>
      <c r="B271" s="259">
        <v>6517</v>
      </c>
      <c r="C271" s="262" t="s">
        <v>233</v>
      </c>
      <c r="D271" s="256">
        <v>315.08999999999997</v>
      </c>
      <c r="E271" s="259" t="s">
        <v>633</v>
      </c>
      <c r="F271" s="280">
        <v>2</v>
      </c>
      <c r="G271" s="160"/>
      <c r="H271" s="151" t="s">
        <v>72</v>
      </c>
      <c r="I271" s="35">
        <f>SUM(I272:I274)</f>
        <v>49469.13</v>
      </c>
      <c r="J271" s="35">
        <f>SUM(J272:J274)</f>
        <v>157</v>
      </c>
      <c r="K271" s="35">
        <f>SUM(K272:K274)</f>
        <v>157</v>
      </c>
    </row>
    <row r="272" spans="1:11" s="152" customFormat="1" ht="58" customHeight="1" x14ac:dyDescent="0.3">
      <c r="A272" s="260"/>
      <c r="B272" s="260"/>
      <c r="C272" s="263"/>
      <c r="D272" s="257"/>
      <c r="E272" s="260"/>
      <c r="F272" s="281"/>
      <c r="G272" s="155" t="s">
        <v>76</v>
      </c>
      <c r="H272" s="151" t="s">
        <v>634</v>
      </c>
      <c r="I272" s="35">
        <f>D271*K272</f>
        <v>36865.53</v>
      </c>
      <c r="J272" s="35">
        <f>I272/D271</f>
        <v>117</v>
      </c>
      <c r="K272" s="35">
        <f>108+9</f>
        <v>117</v>
      </c>
    </row>
    <row r="273" spans="1:11" s="152" customFormat="1" ht="58.5" customHeight="1" x14ac:dyDescent="0.3">
      <c r="A273" s="260"/>
      <c r="B273" s="260"/>
      <c r="C273" s="263"/>
      <c r="D273" s="257"/>
      <c r="E273" s="260"/>
      <c r="F273" s="281"/>
      <c r="G273" s="155" t="s">
        <v>77</v>
      </c>
      <c r="H273" s="151" t="s">
        <v>634</v>
      </c>
      <c r="I273" s="35">
        <f>D271*K273</f>
        <v>6301.8</v>
      </c>
      <c r="J273" s="35">
        <f>I273/D271</f>
        <v>20</v>
      </c>
      <c r="K273" s="35">
        <f>18+2</f>
        <v>20</v>
      </c>
    </row>
    <row r="274" spans="1:11" s="152" customFormat="1" ht="56.5" customHeight="1" x14ac:dyDescent="0.3">
      <c r="A274" s="260"/>
      <c r="B274" s="260"/>
      <c r="C274" s="263"/>
      <c r="D274" s="257"/>
      <c r="E274" s="260"/>
      <c r="F274" s="281"/>
      <c r="G274" s="155" t="s">
        <v>89</v>
      </c>
      <c r="H274" s="151" t="s">
        <v>634</v>
      </c>
      <c r="I274" s="35">
        <f>D271*K274</f>
        <v>6301.8</v>
      </c>
      <c r="J274" s="35">
        <f>I274/D271</f>
        <v>20</v>
      </c>
      <c r="K274" s="35">
        <f>18+2</f>
        <v>20</v>
      </c>
    </row>
    <row r="275" spans="1:11" s="152" customFormat="1" x14ac:dyDescent="0.3">
      <c r="A275" s="259">
        <f>A271+1</f>
        <v>49</v>
      </c>
      <c r="B275" s="259">
        <v>6524</v>
      </c>
      <c r="C275" s="262" t="s">
        <v>234</v>
      </c>
      <c r="D275" s="256">
        <v>536.63</v>
      </c>
      <c r="E275" s="256" t="s">
        <v>633</v>
      </c>
      <c r="F275" s="280">
        <v>2</v>
      </c>
      <c r="G275" s="160"/>
      <c r="H275" s="151" t="s">
        <v>72</v>
      </c>
      <c r="I275" s="35">
        <f>SUM(I276:I276)</f>
        <v>62785.71</v>
      </c>
      <c r="J275" s="35">
        <f>SUM(J276:J276)</f>
        <v>117</v>
      </c>
      <c r="K275" s="35">
        <f>SUM(K276:K276)</f>
        <v>117</v>
      </c>
    </row>
    <row r="276" spans="1:11" s="152" customFormat="1" ht="55" customHeight="1" x14ac:dyDescent="0.3">
      <c r="A276" s="260"/>
      <c r="B276" s="260"/>
      <c r="C276" s="263"/>
      <c r="D276" s="257"/>
      <c r="E276" s="257"/>
      <c r="F276" s="281"/>
      <c r="G276" s="155" t="s">
        <v>76</v>
      </c>
      <c r="H276" s="151" t="s">
        <v>634</v>
      </c>
      <c r="I276" s="35">
        <f>D275*K276</f>
        <v>62785.71</v>
      </c>
      <c r="J276" s="35">
        <f>I276/D275</f>
        <v>117</v>
      </c>
      <c r="K276" s="35">
        <f>108+9</f>
        <v>117</v>
      </c>
    </row>
    <row r="277" spans="1:11" x14ac:dyDescent="0.35">
      <c r="A277" s="161" t="s">
        <v>46</v>
      </c>
      <c r="B277" s="162"/>
      <c r="C277" s="163"/>
      <c r="D277" s="181">
        <f>D278+D281+D284+D287+D289+D291+D293+D296+D309+D316+D329+D345+D361+D368+D371+D374</f>
        <v>72009.69</v>
      </c>
      <c r="E277" s="181"/>
      <c r="F277" s="181"/>
      <c r="G277" s="166"/>
      <c r="H277" s="164"/>
      <c r="I277" s="137">
        <f>I278+I281+I284+I287+I289+I291+I293+I296+I309+I316+I329+I345+I361+I368+I371+I374</f>
        <v>60922927.520000003</v>
      </c>
      <c r="J277" s="137"/>
      <c r="K277" s="137"/>
    </row>
    <row r="278" spans="1:11" x14ac:dyDescent="0.35">
      <c r="A278" s="277">
        <v>1</v>
      </c>
      <c r="B278" s="277">
        <v>5082</v>
      </c>
      <c r="C278" s="286" t="s">
        <v>236</v>
      </c>
      <c r="D278" s="287">
        <v>717.5</v>
      </c>
      <c r="E278" s="287" t="s">
        <v>74</v>
      </c>
      <c r="F278" s="304">
        <v>2</v>
      </c>
      <c r="G278" s="277" t="s">
        <v>71</v>
      </c>
      <c r="H278" s="136" t="s">
        <v>72</v>
      </c>
      <c r="I278" s="137">
        <f>I279+I280</f>
        <v>3338119.86</v>
      </c>
      <c r="J278" s="137">
        <f>J279+J280</f>
        <v>4652.43</v>
      </c>
      <c r="K278" s="137">
        <f>K279+K280</f>
        <v>7539</v>
      </c>
    </row>
    <row r="279" spans="1:11" x14ac:dyDescent="0.35">
      <c r="A279" s="277"/>
      <c r="B279" s="277"/>
      <c r="C279" s="286"/>
      <c r="D279" s="287"/>
      <c r="E279" s="287"/>
      <c r="F279" s="304"/>
      <c r="G279" s="277"/>
      <c r="H279" s="136" t="s">
        <v>73</v>
      </c>
      <c r="I279" s="137">
        <v>3268865.67</v>
      </c>
      <c r="J279" s="137">
        <f>I279/D278</f>
        <v>4555.91</v>
      </c>
      <c r="K279" s="137">
        <v>7381</v>
      </c>
    </row>
    <row r="280" spans="1:11" x14ac:dyDescent="0.35">
      <c r="A280" s="277"/>
      <c r="B280" s="277"/>
      <c r="C280" s="286"/>
      <c r="D280" s="287"/>
      <c r="E280" s="287"/>
      <c r="F280" s="304"/>
      <c r="G280" s="277"/>
      <c r="H280" s="136" t="s">
        <v>75</v>
      </c>
      <c r="I280" s="137">
        <v>69254.19</v>
      </c>
      <c r="J280" s="137">
        <f>I280/D278</f>
        <v>96.52</v>
      </c>
      <c r="K280" s="137">
        <v>158</v>
      </c>
    </row>
    <row r="281" spans="1:11" x14ac:dyDescent="0.35">
      <c r="A281" s="277">
        <v>2</v>
      </c>
      <c r="B281" s="277">
        <v>5083</v>
      </c>
      <c r="C281" s="286" t="s">
        <v>657</v>
      </c>
      <c r="D281" s="287">
        <v>712.5</v>
      </c>
      <c r="E281" s="287" t="s">
        <v>74</v>
      </c>
      <c r="F281" s="304">
        <v>2</v>
      </c>
      <c r="G281" s="277" t="s">
        <v>71</v>
      </c>
      <c r="H281" s="136" t="s">
        <v>72</v>
      </c>
      <c r="I281" s="137">
        <f>SUM(I282:I283)</f>
        <v>3137638.98</v>
      </c>
      <c r="J281" s="137">
        <f>SUM(J282:J283)</f>
        <v>4403.7</v>
      </c>
      <c r="K281" s="137">
        <f>SUM(K282:K283)</f>
        <v>7539</v>
      </c>
    </row>
    <row r="282" spans="1:11" x14ac:dyDescent="0.35">
      <c r="A282" s="277">
        <v>275</v>
      </c>
      <c r="B282" s="277"/>
      <c r="C282" s="286"/>
      <c r="D282" s="287"/>
      <c r="E282" s="287"/>
      <c r="F282" s="304"/>
      <c r="G282" s="277"/>
      <c r="H282" s="136" t="s">
        <v>73</v>
      </c>
      <c r="I282" s="137">
        <v>3072544.06</v>
      </c>
      <c r="J282" s="137">
        <f>I282/D281</f>
        <v>4312.34</v>
      </c>
      <c r="K282" s="137">
        <v>7381</v>
      </c>
    </row>
    <row r="283" spans="1:11" x14ac:dyDescent="0.35">
      <c r="A283" s="277">
        <v>276</v>
      </c>
      <c r="B283" s="277"/>
      <c r="C283" s="286"/>
      <c r="D283" s="287"/>
      <c r="E283" s="287"/>
      <c r="F283" s="304"/>
      <c r="G283" s="277"/>
      <c r="H283" s="136" t="s">
        <v>75</v>
      </c>
      <c r="I283" s="137">
        <v>65094.92</v>
      </c>
      <c r="J283" s="137">
        <f>I283/D281</f>
        <v>91.36</v>
      </c>
      <c r="K283" s="137">
        <v>158</v>
      </c>
    </row>
    <row r="284" spans="1:11" x14ac:dyDescent="0.35">
      <c r="A284" s="259">
        <f>A281+1</f>
        <v>3</v>
      </c>
      <c r="B284" s="259">
        <v>5112</v>
      </c>
      <c r="C284" s="262" t="s">
        <v>658</v>
      </c>
      <c r="D284" s="256">
        <v>745.9</v>
      </c>
      <c r="E284" s="256" t="s">
        <v>74</v>
      </c>
      <c r="F284" s="300">
        <v>2</v>
      </c>
      <c r="G284" s="259" t="s">
        <v>86</v>
      </c>
      <c r="H284" s="151" t="s">
        <v>72</v>
      </c>
      <c r="I284" s="35">
        <f>I285+I286</f>
        <v>495210.47</v>
      </c>
      <c r="J284" s="35">
        <f>J285+J286</f>
        <v>663.91</v>
      </c>
      <c r="K284" s="35">
        <f>K285+K286</f>
        <v>664</v>
      </c>
    </row>
    <row r="285" spans="1:11" x14ac:dyDescent="0.35">
      <c r="A285" s="260">
        <v>273</v>
      </c>
      <c r="B285" s="260"/>
      <c r="C285" s="263"/>
      <c r="D285" s="257"/>
      <c r="E285" s="257"/>
      <c r="F285" s="301"/>
      <c r="G285" s="260"/>
      <c r="H285" s="151" t="s">
        <v>73</v>
      </c>
      <c r="I285" s="35">
        <f>745.9*650</f>
        <v>484835</v>
      </c>
      <c r="J285" s="35">
        <f>I285/D284</f>
        <v>650</v>
      </c>
      <c r="K285" s="35">
        <v>650</v>
      </c>
    </row>
    <row r="286" spans="1:11" x14ac:dyDescent="0.35">
      <c r="A286" s="261">
        <v>274</v>
      </c>
      <c r="B286" s="261"/>
      <c r="C286" s="264"/>
      <c r="D286" s="258"/>
      <c r="E286" s="258"/>
      <c r="F286" s="302"/>
      <c r="G286" s="261"/>
      <c r="H286" s="151" t="s">
        <v>75</v>
      </c>
      <c r="I286" s="35">
        <f>I285*0.0214</f>
        <v>10375.469999999999</v>
      </c>
      <c r="J286" s="35">
        <f>I286/D284</f>
        <v>13.91</v>
      </c>
      <c r="K286" s="35">
        <v>14</v>
      </c>
    </row>
    <row r="287" spans="1:11" x14ac:dyDescent="0.35">
      <c r="A287" s="270">
        <f>A284+1</f>
        <v>4</v>
      </c>
      <c r="B287" s="335">
        <v>5130</v>
      </c>
      <c r="C287" s="278" t="s">
        <v>240</v>
      </c>
      <c r="D287" s="273">
        <v>7561.6</v>
      </c>
      <c r="E287" s="273" t="s">
        <v>74</v>
      </c>
      <c r="F287" s="282">
        <v>9</v>
      </c>
      <c r="G287" s="270" t="s">
        <v>71</v>
      </c>
      <c r="H287" s="136" t="s">
        <v>72</v>
      </c>
      <c r="I287" s="137">
        <f>I288</f>
        <v>609463.23</v>
      </c>
      <c r="J287" s="137">
        <f>J288</f>
        <v>80.599999999999994</v>
      </c>
      <c r="K287" s="137">
        <f>K288</f>
        <v>167</v>
      </c>
    </row>
    <row r="288" spans="1:11" ht="46.5" x14ac:dyDescent="0.35">
      <c r="A288" s="271"/>
      <c r="B288" s="336"/>
      <c r="C288" s="279"/>
      <c r="D288" s="274"/>
      <c r="E288" s="274"/>
      <c r="F288" s="283"/>
      <c r="G288" s="271"/>
      <c r="H288" s="136" t="s">
        <v>673</v>
      </c>
      <c r="I288" s="137">
        <f>511162.43+D287*13</f>
        <v>609463.23</v>
      </c>
      <c r="J288" s="137">
        <f>I288/D287</f>
        <v>80.599999999999994</v>
      </c>
      <c r="K288" s="137">
        <f>154+13</f>
        <v>167</v>
      </c>
    </row>
    <row r="289" spans="1:11" x14ac:dyDescent="0.35">
      <c r="A289" s="270">
        <f>A287+1</f>
        <v>5</v>
      </c>
      <c r="B289" s="270">
        <v>5131</v>
      </c>
      <c r="C289" s="278" t="s">
        <v>241</v>
      </c>
      <c r="D289" s="273">
        <v>8069.69</v>
      </c>
      <c r="E289" s="273" t="s">
        <v>74</v>
      </c>
      <c r="F289" s="282">
        <v>9</v>
      </c>
      <c r="G289" s="270" t="s">
        <v>71</v>
      </c>
      <c r="H289" s="136" t="s">
        <v>72</v>
      </c>
      <c r="I289" s="137">
        <f>I290</f>
        <v>620176.25</v>
      </c>
      <c r="J289" s="137">
        <f>J290</f>
        <v>76.849999999999994</v>
      </c>
      <c r="K289" s="137">
        <f>K290</f>
        <v>167</v>
      </c>
    </row>
    <row r="290" spans="1:11" ht="46.5" x14ac:dyDescent="0.35">
      <c r="A290" s="271"/>
      <c r="B290" s="271"/>
      <c r="C290" s="279"/>
      <c r="D290" s="274"/>
      <c r="E290" s="274"/>
      <c r="F290" s="283"/>
      <c r="G290" s="271"/>
      <c r="H290" s="136" t="s">
        <v>673</v>
      </c>
      <c r="I290" s="137">
        <f>515270.28+D289*13</f>
        <v>620176.25</v>
      </c>
      <c r="J290" s="137">
        <f>I290/D289</f>
        <v>76.849999999999994</v>
      </c>
      <c r="K290" s="137">
        <f>154+13</f>
        <v>167</v>
      </c>
    </row>
    <row r="291" spans="1:11" x14ac:dyDescent="0.35">
      <c r="A291" s="277">
        <f>A289+1</f>
        <v>6</v>
      </c>
      <c r="B291" s="277">
        <v>5133</v>
      </c>
      <c r="C291" s="286" t="s">
        <v>242</v>
      </c>
      <c r="D291" s="287">
        <v>8595.5</v>
      </c>
      <c r="E291" s="287" t="s">
        <v>74</v>
      </c>
      <c r="F291" s="304">
        <v>9</v>
      </c>
      <c r="G291" s="277" t="s">
        <v>71</v>
      </c>
      <c r="H291" s="136" t="s">
        <v>72</v>
      </c>
      <c r="I291" s="137">
        <f>I292</f>
        <v>643754.97</v>
      </c>
      <c r="J291" s="137">
        <f>J292</f>
        <v>74.89</v>
      </c>
      <c r="K291" s="137">
        <f>K292</f>
        <v>167</v>
      </c>
    </row>
    <row r="292" spans="1:11" ht="46.5" x14ac:dyDescent="0.35">
      <c r="A292" s="277">
        <v>275</v>
      </c>
      <c r="B292" s="277"/>
      <c r="C292" s="286"/>
      <c r="D292" s="287"/>
      <c r="E292" s="287"/>
      <c r="F292" s="304"/>
      <c r="G292" s="277"/>
      <c r="H292" s="136" t="s">
        <v>673</v>
      </c>
      <c r="I292" s="137">
        <f>532013.47+D291*13</f>
        <v>643754.97</v>
      </c>
      <c r="J292" s="137">
        <f>I292/D291</f>
        <v>74.89</v>
      </c>
      <c r="K292" s="137">
        <f>154+13</f>
        <v>167</v>
      </c>
    </row>
    <row r="293" spans="1:11" x14ac:dyDescent="0.35">
      <c r="A293" s="277">
        <f>A291+1</f>
        <v>7</v>
      </c>
      <c r="B293" s="277">
        <v>5163</v>
      </c>
      <c r="C293" s="286" t="s">
        <v>243</v>
      </c>
      <c r="D293" s="287">
        <v>2678.3</v>
      </c>
      <c r="E293" s="287" t="s">
        <v>74</v>
      </c>
      <c r="F293" s="304">
        <v>5</v>
      </c>
      <c r="G293" s="277" t="s">
        <v>71</v>
      </c>
      <c r="H293" s="136" t="s">
        <v>72</v>
      </c>
      <c r="I293" s="137">
        <f>I294+I295</f>
        <v>5080960.6500000004</v>
      </c>
      <c r="J293" s="137">
        <f>J294+J295</f>
        <v>1897.08</v>
      </c>
      <c r="K293" s="137">
        <f>K294+K295</f>
        <v>3067</v>
      </c>
    </row>
    <row r="294" spans="1:11" x14ac:dyDescent="0.35">
      <c r="A294" s="277"/>
      <c r="B294" s="277"/>
      <c r="C294" s="286"/>
      <c r="D294" s="287"/>
      <c r="E294" s="287"/>
      <c r="F294" s="304"/>
      <c r="G294" s="277"/>
      <c r="H294" s="136" t="s">
        <v>73</v>
      </c>
      <c r="I294" s="137">
        <v>4975548.8</v>
      </c>
      <c r="J294" s="137">
        <f>I294/D293-0.01</f>
        <v>1857.72</v>
      </c>
      <c r="K294" s="137">
        <v>3003</v>
      </c>
    </row>
    <row r="295" spans="1:11" x14ac:dyDescent="0.35">
      <c r="A295" s="277"/>
      <c r="B295" s="277"/>
      <c r="C295" s="286"/>
      <c r="D295" s="287"/>
      <c r="E295" s="287"/>
      <c r="F295" s="304"/>
      <c r="G295" s="277"/>
      <c r="H295" s="136" t="s">
        <v>75</v>
      </c>
      <c r="I295" s="137">
        <v>105411.85</v>
      </c>
      <c r="J295" s="137">
        <f>I295/D293</f>
        <v>39.36</v>
      </c>
      <c r="K295" s="137">
        <v>64</v>
      </c>
    </row>
    <row r="296" spans="1:11" x14ac:dyDescent="0.35">
      <c r="A296" s="270">
        <f>A293+1</f>
        <v>8</v>
      </c>
      <c r="B296" s="270">
        <v>5166</v>
      </c>
      <c r="C296" s="278" t="s">
        <v>244</v>
      </c>
      <c r="D296" s="273">
        <v>8014.4</v>
      </c>
      <c r="E296" s="273" t="s">
        <v>70</v>
      </c>
      <c r="F296" s="282">
        <v>9</v>
      </c>
      <c r="G296" s="167"/>
      <c r="H296" s="136" t="s">
        <v>72</v>
      </c>
      <c r="I296" s="137">
        <f>SUM(I297:I308)</f>
        <v>7002104</v>
      </c>
      <c r="J296" s="137">
        <f>SUM(J297:J308)</f>
        <v>873.69</v>
      </c>
      <c r="K296" s="137">
        <f>SUM(K297:K308)</f>
        <v>885.96</v>
      </c>
    </row>
    <row r="297" spans="1:11" ht="46.5" x14ac:dyDescent="0.35">
      <c r="A297" s="271"/>
      <c r="B297" s="271"/>
      <c r="C297" s="279"/>
      <c r="D297" s="274"/>
      <c r="E297" s="274"/>
      <c r="F297" s="283"/>
      <c r="G297" s="270" t="s">
        <v>641</v>
      </c>
      <c r="H297" s="136" t="s">
        <v>634</v>
      </c>
      <c r="I297" s="137">
        <v>0</v>
      </c>
      <c r="J297" s="137">
        <v>0</v>
      </c>
      <c r="K297" s="137">
        <f>24580/D296-0.01</f>
        <v>3.06</v>
      </c>
    </row>
    <row r="298" spans="1:11" x14ac:dyDescent="0.35">
      <c r="A298" s="271"/>
      <c r="B298" s="271"/>
      <c r="C298" s="279"/>
      <c r="D298" s="274"/>
      <c r="E298" s="274"/>
      <c r="F298" s="283"/>
      <c r="G298" s="271"/>
      <c r="H298" s="136" t="s">
        <v>642</v>
      </c>
      <c r="I298" s="137">
        <v>1713850</v>
      </c>
      <c r="J298" s="137">
        <f>I298/D296</f>
        <v>213.85</v>
      </c>
      <c r="K298" s="137">
        <f>1713850/D296</f>
        <v>213.85</v>
      </c>
    </row>
    <row r="299" spans="1:11" x14ac:dyDescent="0.35">
      <c r="A299" s="271"/>
      <c r="B299" s="271"/>
      <c r="C299" s="279"/>
      <c r="D299" s="274"/>
      <c r="E299" s="274"/>
      <c r="F299" s="283"/>
      <c r="G299" s="272"/>
      <c r="H299" s="136" t="s">
        <v>75</v>
      </c>
      <c r="I299" s="137">
        <v>36676</v>
      </c>
      <c r="J299" s="137">
        <f>I299/D296</f>
        <v>4.58</v>
      </c>
      <c r="K299" s="137">
        <f>36676/D296</f>
        <v>4.58</v>
      </c>
    </row>
    <row r="300" spans="1:11" ht="46.5" x14ac:dyDescent="0.35">
      <c r="A300" s="271"/>
      <c r="B300" s="271"/>
      <c r="C300" s="279"/>
      <c r="D300" s="274"/>
      <c r="E300" s="274"/>
      <c r="F300" s="283"/>
      <c r="G300" s="270" t="s">
        <v>647</v>
      </c>
      <c r="H300" s="136" t="s">
        <v>634</v>
      </c>
      <c r="I300" s="137">
        <v>0</v>
      </c>
      <c r="J300" s="137">
        <v>0</v>
      </c>
      <c r="K300" s="137">
        <f>24580/D296-0.01</f>
        <v>3.06</v>
      </c>
    </row>
    <row r="301" spans="1:11" x14ac:dyDescent="0.35">
      <c r="A301" s="271"/>
      <c r="B301" s="271"/>
      <c r="C301" s="279"/>
      <c r="D301" s="274"/>
      <c r="E301" s="274"/>
      <c r="F301" s="283"/>
      <c r="G301" s="271"/>
      <c r="H301" s="136" t="s">
        <v>642</v>
      </c>
      <c r="I301" s="137">
        <v>1713850</v>
      </c>
      <c r="J301" s="137">
        <f>I301/D296-0.01</f>
        <v>213.84</v>
      </c>
      <c r="K301" s="137">
        <f>1713850/D296</f>
        <v>213.85</v>
      </c>
    </row>
    <row r="302" spans="1:11" x14ac:dyDescent="0.35">
      <c r="A302" s="271"/>
      <c r="B302" s="271"/>
      <c r="C302" s="279"/>
      <c r="D302" s="274"/>
      <c r="E302" s="274"/>
      <c r="F302" s="283"/>
      <c r="G302" s="272"/>
      <c r="H302" s="136" t="s">
        <v>75</v>
      </c>
      <c r="I302" s="137">
        <v>36676</v>
      </c>
      <c r="J302" s="137">
        <f>I302/D296</f>
        <v>4.58</v>
      </c>
      <c r="K302" s="137">
        <f>36676/D296</f>
        <v>4.58</v>
      </c>
    </row>
    <row r="303" spans="1:11" ht="46.5" x14ac:dyDescent="0.35">
      <c r="A303" s="271"/>
      <c r="B303" s="271"/>
      <c r="C303" s="279"/>
      <c r="D303" s="274"/>
      <c r="E303" s="274"/>
      <c r="F303" s="283"/>
      <c r="G303" s="270" t="s">
        <v>648</v>
      </c>
      <c r="H303" s="136" t="s">
        <v>634</v>
      </c>
      <c r="I303" s="137">
        <v>0</v>
      </c>
      <c r="J303" s="137">
        <v>0</v>
      </c>
      <c r="K303" s="137">
        <f>24580/D296-0.01</f>
        <v>3.06</v>
      </c>
    </row>
    <row r="304" spans="1:11" x14ac:dyDescent="0.35">
      <c r="A304" s="271"/>
      <c r="B304" s="271"/>
      <c r="C304" s="279"/>
      <c r="D304" s="274"/>
      <c r="E304" s="274"/>
      <c r="F304" s="283"/>
      <c r="G304" s="271"/>
      <c r="H304" s="136" t="s">
        <v>642</v>
      </c>
      <c r="I304" s="137">
        <v>1713850</v>
      </c>
      <c r="J304" s="137">
        <f>I304/D296-0.01</f>
        <v>213.84</v>
      </c>
      <c r="K304" s="137">
        <f>1713850/D296</f>
        <v>213.85</v>
      </c>
    </row>
    <row r="305" spans="1:11" x14ac:dyDescent="0.35">
      <c r="A305" s="271"/>
      <c r="B305" s="271"/>
      <c r="C305" s="279"/>
      <c r="D305" s="274"/>
      <c r="E305" s="274"/>
      <c r="F305" s="283"/>
      <c r="G305" s="272"/>
      <c r="H305" s="136" t="s">
        <v>75</v>
      </c>
      <c r="I305" s="137">
        <v>36676</v>
      </c>
      <c r="J305" s="137">
        <f>I305/D296</f>
        <v>4.58</v>
      </c>
      <c r="K305" s="137">
        <f>36676/D296</f>
        <v>4.58</v>
      </c>
    </row>
    <row r="306" spans="1:11" ht="46.5" x14ac:dyDescent="0.35">
      <c r="A306" s="271"/>
      <c r="B306" s="271"/>
      <c r="C306" s="279"/>
      <c r="D306" s="274"/>
      <c r="E306" s="274"/>
      <c r="F306" s="283"/>
      <c r="G306" s="270" t="s">
        <v>649</v>
      </c>
      <c r="H306" s="136" t="s">
        <v>634</v>
      </c>
      <c r="I306" s="137">
        <v>0</v>
      </c>
      <c r="J306" s="137">
        <v>0</v>
      </c>
      <c r="K306" s="137">
        <f>24580/D296</f>
        <v>3.07</v>
      </c>
    </row>
    <row r="307" spans="1:11" x14ac:dyDescent="0.35">
      <c r="A307" s="271"/>
      <c r="B307" s="271"/>
      <c r="C307" s="279"/>
      <c r="D307" s="274"/>
      <c r="E307" s="274"/>
      <c r="F307" s="283"/>
      <c r="G307" s="271"/>
      <c r="H307" s="136" t="s">
        <v>642</v>
      </c>
      <c r="I307" s="137">
        <v>1713850</v>
      </c>
      <c r="J307" s="137">
        <f>I307/D296-0.01</f>
        <v>213.84</v>
      </c>
      <c r="K307" s="137">
        <f>1713850/D296-0.01</f>
        <v>213.84</v>
      </c>
    </row>
    <row r="308" spans="1:11" x14ac:dyDescent="0.35">
      <c r="A308" s="271"/>
      <c r="B308" s="271"/>
      <c r="C308" s="279"/>
      <c r="D308" s="274"/>
      <c r="E308" s="274"/>
      <c r="F308" s="283"/>
      <c r="G308" s="272"/>
      <c r="H308" s="136" t="s">
        <v>75</v>
      </c>
      <c r="I308" s="137">
        <v>36676</v>
      </c>
      <c r="J308" s="137">
        <f>I308/D296</f>
        <v>4.58</v>
      </c>
      <c r="K308" s="137">
        <f>36676/D296</f>
        <v>4.58</v>
      </c>
    </row>
    <row r="309" spans="1:11" x14ac:dyDescent="0.35">
      <c r="A309" s="270">
        <f>A296+1</f>
        <v>9</v>
      </c>
      <c r="B309" s="270">
        <v>5167</v>
      </c>
      <c r="C309" s="278" t="s">
        <v>245</v>
      </c>
      <c r="D309" s="273">
        <v>3743</v>
      </c>
      <c r="E309" s="273" t="s">
        <v>70</v>
      </c>
      <c r="F309" s="282">
        <v>9</v>
      </c>
      <c r="G309" s="167"/>
      <c r="H309" s="136" t="s">
        <v>72</v>
      </c>
      <c r="I309" s="137">
        <f>SUM(I310:I315)</f>
        <v>3501052</v>
      </c>
      <c r="J309" s="137">
        <f>SUM(J310:J315)</f>
        <v>935.36</v>
      </c>
      <c r="K309" s="137">
        <f>SUM(K310:K315)</f>
        <v>948.49</v>
      </c>
    </row>
    <row r="310" spans="1:11" ht="46.5" x14ac:dyDescent="0.35">
      <c r="A310" s="271"/>
      <c r="B310" s="271"/>
      <c r="C310" s="279"/>
      <c r="D310" s="274"/>
      <c r="E310" s="274"/>
      <c r="F310" s="283"/>
      <c r="G310" s="270" t="s">
        <v>641</v>
      </c>
      <c r="H310" s="136" t="s">
        <v>634</v>
      </c>
      <c r="I310" s="137">
        <v>0</v>
      </c>
      <c r="J310" s="137">
        <v>0</v>
      </c>
      <c r="K310" s="137">
        <f>24580/D309-0.01</f>
        <v>6.56</v>
      </c>
    </row>
    <row r="311" spans="1:11" x14ac:dyDescent="0.35">
      <c r="A311" s="271"/>
      <c r="B311" s="271"/>
      <c r="C311" s="279"/>
      <c r="D311" s="274"/>
      <c r="E311" s="274"/>
      <c r="F311" s="283"/>
      <c r="G311" s="271"/>
      <c r="H311" s="136" t="s">
        <v>642</v>
      </c>
      <c r="I311" s="137">
        <v>1713850</v>
      </c>
      <c r="J311" s="137">
        <f>I311/D309</f>
        <v>457.88</v>
      </c>
      <c r="K311" s="137">
        <f>1713850/D309</f>
        <v>457.88</v>
      </c>
    </row>
    <row r="312" spans="1:11" x14ac:dyDescent="0.35">
      <c r="A312" s="271"/>
      <c r="B312" s="271"/>
      <c r="C312" s="279"/>
      <c r="D312" s="274"/>
      <c r="E312" s="274"/>
      <c r="F312" s="283"/>
      <c r="G312" s="272"/>
      <c r="H312" s="136" t="s">
        <v>75</v>
      </c>
      <c r="I312" s="137">
        <v>36676</v>
      </c>
      <c r="J312" s="137">
        <f>I312/D309</f>
        <v>9.8000000000000007</v>
      </c>
      <c r="K312" s="137">
        <f>36676/D309</f>
        <v>9.8000000000000007</v>
      </c>
    </row>
    <row r="313" spans="1:11" ht="46.5" x14ac:dyDescent="0.35">
      <c r="A313" s="271"/>
      <c r="B313" s="271"/>
      <c r="C313" s="279"/>
      <c r="D313" s="274"/>
      <c r="E313" s="274"/>
      <c r="F313" s="283"/>
      <c r="G313" s="270" t="s">
        <v>647</v>
      </c>
      <c r="H313" s="136" t="s">
        <v>634</v>
      </c>
      <c r="I313" s="137">
        <v>0</v>
      </c>
      <c r="J313" s="137">
        <v>0</v>
      </c>
      <c r="K313" s="137">
        <f>24580/D309</f>
        <v>6.57</v>
      </c>
    </row>
    <row r="314" spans="1:11" x14ac:dyDescent="0.35">
      <c r="A314" s="271"/>
      <c r="B314" s="271"/>
      <c r="C314" s="279"/>
      <c r="D314" s="274"/>
      <c r="E314" s="274"/>
      <c r="F314" s="283"/>
      <c r="G314" s="271"/>
      <c r="H314" s="136" t="s">
        <v>642</v>
      </c>
      <c r="I314" s="137">
        <v>1713850</v>
      </c>
      <c r="J314" s="137">
        <f>I314/D309</f>
        <v>457.88</v>
      </c>
      <c r="K314" s="137">
        <f>1713850/D309-0.005</f>
        <v>457.88</v>
      </c>
    </row>
    <row r="315" spans="1:11" x14ac:dyDescent="0.35">
      <c r="A315" s="272"/>
      <c r="B315" s="272"/>
      <c r="C315" s="285"/>
      <c r="D315" s="275"/>
      <c r="E315" s="275"/>
      <c r="F315" s="284"/>
      <c r="G315" s="272"/>
      <c r="H315" s="136" t="s">
        <v>75</v>
      </c>
      <c r="I315" s="137">
        <v>36676</v>
      </c>
      <c r="J315" s="137">
        <f>I315/D309</f>
        <v>9.8000000000000007</v>
      </c>
      <c r="K315" s="137">
        <f>36676/D309</f>
        <v>9.8000000000000007</v>
      </c>
    </row>
    <row r="316" spans="1:11" x14ac:dyDescent="0.35">
      <c r="A316" s="270">
        <f>A309+1</f>
        <v>10</v>
      </c>
      <c r="B316" s="270">
        <v>5180</v>
      </c>
      <c r="C316" s="278" t="s">
        <v>246</v>
      </c>
      <c r="D316" s="273">
        <v>7928</v>
      </c>
      <c r="E316" s="273" t="s">
        <v>70</v>
      </c>
      <c r="F316" s="282">
        <v>9</v>
      </c>
      <c r="G316" s="167"/>
      <c r="H316" s="136" t="s">
        <v>72</v>
      </c>
      <c r="I316" s="137">
        <f>SUM(I317:I328)</f>
        <v>7002104</v>
      </c>
      <c r="J316" s="137">
        <f>SUM(J317:J328)</f>
        <v>883.21</v>
      </c>
      <c r="K316" s="137">
        <f>SUM(K317:K328)</f>
        <v>895.61</v>
      </c>
    </row>
    <row r="317" spans="1:11" ht="46.5" x14ac:dyDescent="0.35">
      <c r="A317" s="271"/>
      <c r="B317" s="271"/>
      <c r="C317" s="279"/>
      <c r="D317" s="274"/>
      <c r="E317" s="274"/>
      <c r="F317" s="283"/>
      <c r="G317" s="270" t="s">
        <v>641</v>
      </c>
      <c r="H317" s="136" t="s">
        <v>634</v>
      </c>
      <c r="I317" s="137">
        <v>0</v>
      </c>
      <c r="J317" s="137">
        <v>0</v>
      </c>
      <c r="K317" s="137">
        <f>24580/D316</f>
        <v>3.1</v>
      </c>
    </row>
    <row r="318" spans="1:11" x14ac:dyDescent="0.35">
      <c r="A318" s="271"/>
      <c r="B318" s="271"/>
      <c r="C318" s="279"/>
      <c r="D318" s="274"/>
      <c r="E318" s="274"/>
      <c r="F318" s="283"/>
      <c r="G318" s="271"/>
      <c r="H318" s="136" t="s">
        <v>642</v>
      </c>
      <c r="I318" s="137">
        <v>1713850</v>
      </c>
      <c r="J318" s="137">
        <f>I318/D316-0.01</f>
        <v>216.17</v>
      </c>
      <c r="K318" s="137">
        <f>1713850/D316-0.01</f>
        <v>216.17</v>
      </c>
    </row>
    <row r="319" spans="1:11" x14ac:dyDescent="0.35">
      <c r="A319" s="271"/>
      <c r="B319" s="271"/>
      <c r="C319" s="279"/>
      <c r="D319" s="274"/>
      <c r="E319" s="274"/>
      <c r="F319" s="283"/>
      <c r="G319" s="272"/>
      <c r="H319" s="136" t="s">
        <v>75</v>
      </c>
      <c r="I319" s="137">
        <v>36676</v>
      </c>
      <c r="J319" s="137">
        <f>I319/D316</f>
        <v>4.63</v>
      </c>
      <c r="K319" s="137">
        <f>36676/D316</f>
        <v>4.63</v>
      </c>
    </row>
    <row r="320" spans="1:11" ht="46.5" x14ac:dyDescent="0.35">
      <c r="A320" s="271"/>
      <c r="B320" s="271"/>
      <c r="C320" s="279"/>
      <c r="D320" s="274"/>
      <c r="E320" s="274"/>
      <c r="F320" s="283"/>
      <c r="G320" s="270" t="s">
        <v>647</v>
      </c>
      <c r="H320" s="136" t="s">
        <v>634</v>
      </c>
      <c r="I320" s="137">
        <v>0</v>
      </c>
      <c r="J320" s="137">
        <v>0</v>
      </c>
      <c r="K320" s="137">
        <f>24580/D316</f>
        <v>3.1</v>
      </c>
    </row>
    <row r="321" spans="1:11" x14ac:dyDescent="0.35">
      <c r="A321" s="271"/>
      <c r="B321" s="271"/>
      <c r="C321" s="279"/>
      <c r="D321" s="274"/>
      <c r="E321" s="274"/>
      <c r="F321" s="283"/>
      <c r="G321" s="271"/>
      <c r="H321" s="136" t="s">
        <v>642</v>
      </c>
      <c r="I321" s="137">
        <v>1713850</v>
      </c>
      <c r="J321" s="137">
        <f>I321/D316-0.01</f>
        <v>216.17</v>
      </c>
      <c r="K321" s="137">
        <f>1713850/D316-0.01</f>
        <v>216.17</v>
      </c>
    </row>
    <row r="322" spans="1:11" x14ac:dyDescent="0.35">
      <c r="A322" s="271"/>
      <c r="B322" s="271"/>
      <c r="C322" s="279"/>
      <c r="D322" s="274"/>
      <c r="E322" s="274"/>
      <c r="F322" s="283"/>
      <c r="G322" s="272"/>
      <c r="H322" s="136" t="s">
        <v>75</v>
      </c>
      <c r="I322" s="137">
        <v>36676</v>
      </c>
      <c r="J322" s="137">
        <f>I322/D316</f>
        <v>4.63</v>
      </c>
      <c r="K322" s="137">
        <f>36676/D316</f>
        <v>4.63</v>
      </c>
    </row>
    <row r="323" spans="1:11" ht="46.5" x14ac:dyDescent="0.35">
      <c r="A323" s="271"/>
      <c r="B323" s="271"/>
      <c r="C323" s="279"/>
      <c r="D323" s="274"/>
      <c r="E323" s="274"/>
      <c r="F323" s="283"/>
      <c r="G323" s="270" t="s">
        <v>648</v>
      </c>
      <c r="H323" s="136" t="s">
        <v>634</v>
      </c>
      <c r="I323" s="137">
        <v>0</v>
      </c>
      <c r="J323" s="137">
        <v>0</v>
      </c>
      <c r="K323" s="137">
        <f>24580/D316</f>
        <v>3.1</v>
      </c>
    </row>
    <row r="324" spans="1:11" x14ac:dyDescent="0.35">
      <c r="A324" s="271"/>
      <c r="B324" s="271"/>
      <c r="C324" s="279"/>
      <c r="D324" s="274"/>
      <c r="E324" s="274"/>
      <c r="F324" s="283"/>
      <c r="G324" s="271"/>
      <c r="H324" s="136" t="s">
        <v>642</v>
      </c>
      <c r="I324" s="137">
        <v>1713850</v>
      </c>
      <c r="J324" s="137">
        <f>I324/D316-0.01</f>
        <v>216.17</v>
      </c>
      <c r="K324" s="137">
        <f>1713850/D316-0.01</f>
        <v>216.17</v>
      </c>
    </row>
    <row r="325" spans="1:11" x14ac:dyDescent="0.35">
      <c r="A325" s="271"/>
      <c r="B325" s="271"/>
      <c r="C325" s="279"/>
      <c r="D325" s="274"/>
      <c r="E325" s="274"/>
      <c r="F325" s="283"/>
      <c r="G325" s="272"/>
      <c r="H325" s="136" t="s">
        <v>75</v>
      </c>
      <c r="I325" s="137">
        <v>36676</v>
      </c>
      <c r="J325" s="137">
        <f>I325/D316</f>
        <v>4.63</v>
      </c>
      <c r="K325" s="137">
        <f>36676/D316</f>
        <v>4.63</v>
      </c>
    </row>
    <row r="326" spans="1:11" ht="46.5" x14ac:dyDescent="0.35">
      <c r="A326" s="271"/>
      <c r="B326" s="271"/>
      <c r="C326" s="279"/>
      <c r="D326" s="274"/>
      <c r="E326" s="274"/>
      <c r="F326" s="283"/>
      <c r="G326" s="270" t="s">
        <v>649</v>
      </c>
      <c r="H326" s="136" t="s">
        <v>634</v>
      </c>
      <c r="I326" s="137">
        <v>0</v>
      </c>
      <c r="J326" s="137">
        <v>0</v>
      </c>
      <c r="K326" s="137">
        <f>24580/D316</f>
        <v>3.1</v>
      </c>
    </row>
    <row r="327" spans="1:11" x14ac:dyDescent="0.35">
      <c r="A327" s="271"/>
      <c r="B327" s="271"/>
      <c r="C327" s="279"/>
      <c r="D327" s="274"/>
      <c r="E327" s="274"/>
      <c r="F327" s="283"/>
      <c r="G327" s="271"/>
      <c r="H327" s="136" t="s">
        <v>642</v>
      </c>
      <c r="I327" s="137">
        <v>1713850</v>
      </c>
      <c r="J327" s="137">
        <f>I327/D316</f>
        <v>216.18</v>
      </c>
      <c r="K327" s="137">
        <f>1713850/D316</f>
        <v>216.18</v>
      </c>
    </row>
    <row r="328" spans="1:11" x14ac:dyDescent="0.35">
      <c r="A328" s="272"/>
      <c r="B328" s="272"/>
      <c r="C328" s="285"/>
      <c r="D328" s="275"/>
      <c r="E328" s="275"/>
      <c r="F328" s="284"/>
      <c r="G328" s="272"/>
      <c r="H328" s="136" t="s">
        <v>75</v>
      </c>
      <c r="I328" s="137">
        <v>36676</v>
      </c>
      <c r="J328" s="137">
        <f>I328/D316</f>
        <v>4.63</v>
      </c>
      <c r="K328" s="137">
        <f>36676/D316</f>
        <v>4.63</v>
      </c>
    </row>
    <row r="329" spans="1:11" x14ac:dyDescent="0.35">
      <c r="A329" s="270">
        <f>A316+1</f>
        <v>11</v>
      </c>
      <c r="B329" s="270">
        <v>5194</v>
      </c>
      <c r="C329" s="278" t="s">
        <v>247</v>
      </c>
      <c r="D329" s="273">
        <v>10125.4</v>
      </c>
      <c r="E329" s="273" t="s">
        <v>70</v>
      </c>
      <c r="F329" s="282">
        <v>9</v>
      </c>
      <c r="G329" s="167"/>
      <c r="H329" s="136" t="s">
        <v>72</v>
      </c>
      <c r="I329" s="137">
        <f>SUM(I330:I344)</f>
        <v>8752630</v>
      </c>
      <c r="J329" s="137">
        <f>SUM(J330:J344)</f>
        <v>864.42</v>
      </c>
      <c r="K329" s="137">
        <f>SUM(K330:K344)</f>
        <v>876.56</v>
      </c>
    </row>
    <row r="330" spans="1:11" ht="46.5" x14ac:dyDescent="0.35">
      <c r="A330" s="271"/>
      <c r="B330" s="271"/>
      <c r="C330" s="279"/>
      <c r="D330" s="274"/>
      <c r="E330" s="274"/>
      <c r="F330" s="283"/>
      <c r="G330" s="270" t="s">
        <v>641</v>
      </c>
      <c r="H330" s="136" t="s">
        <v>634</v>
      </c>
      <c r="I330" s="137">
        <v>0</v>
      </c>
      <c r="J330" s="137">
        <v>0</v>
      </c>
      <c r="K330" s="137">
        <f>24580/D329-0.01</f>
        <v>2.42</v>
      </c>
    </row>
    <row r="331" spans="1:11" x14ac:dyDescent="0.35">
      <c r="A331" s="271"/>
      <c r="B331" s="271"/>
      <c r="C331" s="279"/>
      <c r="D331" s="274"/>
      <c r="E331" s="274"/>
      <c r="F331" s="283"/>
      <c r="G331" s="271"/>
      <c r="H331" s="136" t="s">
        <v>642</v>
      </c>
      <c r="I331" s="137">
        <v>1713850</v>
      </c>
      <c r="J331" s="137">
        <f>I331/D329+0.01</f>
        <v>169.27</v>
      </c>
      <c r="K331" s="137">
        <f>1713850/D329+0.01</f>
        <v>169.27</v>
      </c>
    </row>
    <row r="332" spans="1:11" x14ac:dyDescent="0.35">
      <c r="A332" s="271"/>
      <c r="B332" s="271"/>
      <c r="C332" s="279"/>
      <c r="D332" s="274"/>
      <c r="E332" s="274"/>
      <c r="F332" s="283"/>
      <c r="G332" s="272"/>
      <c r="H332" s="136" t="s">
        <v>75</v>
      </c>
      <c r="I332" s="137">
        <v>36676</v>
      </c>
      <c r="J332" s="137">
        <f>I332/D329</f>
        <v>3.62</v>
      </c>
      <c r="K332" s="137">
        <f>36676/D329</f>
        <v>3.62</v>
      </c>
    </row>
    <row r="333" spans="1:11" ht="46.5" x14ac:dyDescent="0.35">
      <c r="A333" s="271"/>
      <c r="B333" s="271"/>
      <c r="C333" s="279"/>
      <c r="D333" s="274"/>
      <c r="E333" s="274"/>
      <c r="F333" s="283"/>
      <c r="G333" s="270" t="s">
        <v>647</v>
      </c>
      <c r="H333" s="136" t="s">
        <v>634</v>
      </c>
      <c r="I333" s="137">
        <v>0</v>
      </c>
      <c r="J333" s="137">
        <v>0</v>
      </c>
      <c r="K333" s="137">
        <f>24580/D329</f>
        <v>2.4300000000000002</v>
      </c>
    </row>
    <row r="334" spans="1:11" x14ac:dyDescent="0.35">
      <c r="A334" s="271"/>
      <c r="B334" s="271"/>
      <c r="C334" s="279"/>
      <c r="D334" s="274"/>
      <c r="E334" s="274"/>
      <c r="F334" s="283"/>
      <c r="G334" s="271"/>
      <c r="H334" s="136" t="s">
        <v>642</v>
      </c>
      <c r="I334" s="137">
        <v>1713850</v>
      </c>
      <c r="J334" s="137">
        <f>I334/D329+0.01</f>
        <v>169.27</v>
      </c>
      <c r="K334" s="137">
        <f>1713850/D329+0.01</f>
        <v>169.27</v>
      </c>
    </row>
    <row r="335" spans="1:11" x14ac:dyDescent="0.35">
      <c r="A335" s="271"/>
      <c r="B335" s="271"/>
      <c r="C335" s="279"/>
      <c r="D335" s="274"/>
      <c r="E335" s="274"/>
      <c r="F335" s="283"/>
      <c r="G335" s="272"/>
      <c r="H335" s="136" t="s">
        <v>75</v>
      </c>
      <c r="I335" s="137">
        <v>36676</v>
      </c>
      <c r="J335" s="137">
        <f>I335/D329</f>
        <v>3.62</v>
      </c>
      <c r="K335" s="137">
        <f>36676/D329</f>
        <v>3.62</v>
      </c>
    </row>
    <row r="336" spans="1:11" ht="46.5" x14ac:dyDescent="0.35">
      <c r="A336" s="271"/>
      <c r="B336" s="271"/>
      <c r="C336" s="279"/>
      <c r="D336" s="274"/>
      <c r="E336" s="274"/>
      <c r="F336" s="283"/>
      <c r="G336" s="270" t="s">
        <v>648</v>
      </c>
      <c r="H336" s="136" t="s">
        <v>634</v>
      </c>
      <c r="I336" s="137">
        <v>0</v>
      </c>
      <c r="J336" s="137">
        <v>0</v>
      </c>
      <c r="K336" s="137">
        <f>24580/D329</f>
        <v>2.4300000000000002</v>
      </c>
    </row>
    <row r="337" spans="1:11" x14ac:dyDescent="0.35">
      <c r="A337" s="271"/>
      <c r="B337" s="271"/>
      <c r="C337" s="279"/>
      <c r="D337" s="274"/>
      <c r="E337" s="274"/>
      <c r="F337" s="283"/>
      <c r="G337" s="271"/>
      <c r="H337" s="136" t="s">
        <v>642</v>
      </c>
      <c r="I337" s="137">
        <v>1713850</v>
      </c>
      <c r="J337" s="137">
        <f>I337/D329</f>
        <v>169.26</v>
      </c>
      <c r="K337" s="137">
        <f>1713850/D329</f>
        <v>169.26</v>
      </c>
    </row>
    <row r="338" spans="1:11" x14ac:dyDescent="0.35">
      <c r="A338" s="271"/>
      <c r="B338" s="271"/>
      <c r="C338" s="279"/>
      <c r="D338" s="274"/>
      <c r="E338" s="274"/>
      <c r="F338" s="283"/>
      <c r="G338" s="272"/>
      <c r="H338" s="136" t="s">
        <v>75</v>
      </c>
      <c r="I338" s="137">
        <v>36676</v>
      </c>
      <c r="J338" s="137">
        <f>I338/D329</f>
        <v>3.62</v>
      </c>
      <c r="K338" s="137">
        <f>36676/D329</f>
        <v>3.62</v>
      </c>
    </row>
    <row r="339" spans="1:11" ht="52" customHeight="1" x14ac:dyDescent="0.35">
      <c r="A339" s="271"/>
      <c r="B339" s="271"/>
      <c r="C339" s="279"/>
      <c r="D339" s="274"/>
      <c r="E339" s="274"/>
      <c r="F339" s="283"/>
      <c r="G339" s="270" t="s">
        <v>649</v>
      </c>
      <c r="H339" s="136" t="s">
        <v>634</v>
      </c>
      <c r="I339" s="137">
        <v>0</v>
      </c>
      <c r="J339" s="137">
        <v>0</v>
      </c>
      <c r="K339" s="137">
        <f>24580/D329</f>
        <v>2.4300000000000002</v>
      </c>
    </row>
    <row r="340" spans="1:11" x14ac:dyDescent="0.35">
      <c r="A340" s="271"/>
      <c r="B340" s="271"/>
      <c r="C340" s="279"/>
      <c r="D340" s="274"/>
      <c r="E340" s="274"/>
      <c r="F340" s="283"/>
      <c r="G340" s="271"/>
      <c r="H340" s="136" t="s">
        <v>642</v>
      </c>
      <c r="I340" s="137">
        <v>1713850</v>
      </c>
      <c r="J340" s="137">
        <f>I340/D329</f>
        <v>169.26</v>
      </c>
      <c r="K340" s="137">
        <f>1713850/D329</f>
        <v>169.26</v>
      </c>
    </row>
    <row r="341" spans="1:11" x14ac:dyDescent="0.35">
      <c r="A341" s="271"/>
      <c r="B341" s="271"/>
      <c r="C341" s="279"/>
      <c r="D341" s="274"/>
      <c r="E341" s="274"/>
      <c r="F341" s="283"/>
      <c r="G341" s="272"/>
      <c r="H341" s="136" t="s">
        <v>75</v>
      </c>
      <c r="I341" s="137">
        <v>36676</v>
      </c>
      <c r="J341" s="137">
        <f>I341/D329</f>
        <v>3.62</v>
      </c>
      <c r="K341" s="137">
        <f>36676/D329</f>
        <v>3.62</v>
      </c>
    </row>
    <row r="342" spans="1:11" ht="54.5" customHeight="1" x14ac:dyDescent="0.35">
      <c r="A342" s="271"/>
      <c r="B342" s="271"/>
      <c r="C342" s="279"/>
      <c r="D342" s="274"/>
      <c r="E342" s="274"/>
      <c r="F342" s="283"/>
      <c r="G342" s="270" t="s">
        <v>646</v>
      </c>
      <c r="H342" s="136" t="s">
        <v>634</v>
      </c>
      <c r="I342" s="137">
        <v>0</v>
      </c>
      <c r="J342" s="137">
        <v>0</v>
      </c>
      <c r="K342" s="137">
        <f>24580/D329</f>
        <v>2.4300000000000002</v>
      </c>
    </row>
    <row r="343" spans="1:11" ht="17" customHeight="1" x14ac:dyDescent="0.35">
      <c r="A343" s="271"/>
      <c r="B343" s="271"/>
      <c r="C343" s="279"/>
      <c r="D343" s="274"/>
      <c r="E343" s="274"/>
      <c r="F343" s="283"/>
      <c r="G343" s="271"/>
      <c r="H343" s="136" t="s">
        <v>642</v>
      </c>
      <c r="I343" s="137">
        <v>1713850</v>
      </c>
      <c r="J343" s="137">
        <f>I343/D329</f>
        <v>169.26</v>
      </c>
      <c r="K343" s="137">
        <f>1713850/D329</f>
        <v>169.26</v>
      </c>
    </row>
    <row r="344" spans="1:11" x14ac:dyDescent="0.35">
      <c r="A344" s="272"/>
      <c r="B344" s="272"/>
      <c r="C344" s="285"/>
      <c r="D344" s="275"/>
      <c r="E344" s="275"/>
      <c r="F344" s="284"/>
      <c r="G344" s="272"/>
      <c r="H344" s="136" t="s">
        <v>75</v>
      </c>
      <c r="I344" s="137">
        <v>36676</v>
      </c>
      <c r="J344" s="137">
        <f>I344/D329</f>
        <v>3.62</v>
      </c>
      <c r="K344" s="137">
        <f>36676/D329</f>
        <v>3.62</v>
      </c>
    </row>
    <row r="345" spans="1:11" x14ac:dyDescent="0.35">
      <c r="A345" s="270">
        <f>A329+1</f>
        <v>12</v>
      </c>
      <c r="B345" s="270">
        <v>5196</v>
      </c>
      <c r="C345" s="278" t="s">
        <v>248</v>
      </c>
      <c r="D345" s="273">
        <v>10201.1</v>
      </c>
      <c r="E345" s="273" t="s">
        <v>70</v>
      </c>
      <c r="F345" s="282">
        <v>9</v>
      </c>
      <c r="G345" s="167"/>
      <c r="H345" s="136" t="s">
        <v>72</v>
      </c>
      <c r="I345" s="137">
        <f>SUM(I346:I360)</f>
        <v>8752630</v>
      </c>
      <c r="J345" s="137">
        <f>SUM(J346:J360)</f>
        <v>858.01</v>
      </c>
      <c r="K345" s="137">
        <f>SUM(K346:K360)</f>
        <v>870.06</v>
      </c>
    </row>
    <row r="346" spans="1:11" ht="58.5" customHeight="1" x14ac:dyDescent="0.35">
      <c r="A346" s="271"/>
      <c r="B346" s="271"/>
      <c r="C346" s="279"/>
      <c r="D346" s="274"/>
      <c r="E346" s="274"/>
      <c r="F346" s="283"/>
      <c r="G346" s="270" t="s">
        <v>641</v>
      </c>
      <c r="H346" s="136" t="s">
        <v>634</v>
      </c>
      <c r="I346" s="137">
        <v>0</v>
      </c>
      <c r="J346" s="137">
        <v>0</v>
      </c>
      <c r="K346" s="137">
        <f>24580/D345</f>
        <v>2.41</v>
      </c>
    </row>
    <row r="347" spans="1:11" x14ac:dyDescent="0.35">
      <c r="A347" s="271"/>
      <c r="B347" s="271"/>
      <c r="C347" s="279"/>
      <c r="D347" s="274"/>
      <c r="E347" s="274"/>
      <c r="F347" s="283"/>
      <c r="G347" s="271"/>
      <c r="H347" s="136" t="s">
        <v>642</v>
      </c>
      <c r="I347" s="137">
        <v>1713850</v>
      </c>
      <c r="J347" s="137">
        <f>I347/D345-0.01</f>
        <v>168</v>
      </c>
      <c r="K347" s="137">
        <f>1713850/D345-0.01</f>
        <v>168</v>
      </c>
    </row>
    <row r="348" spans="1:11" x14ac:dyDescent="0.35">
      <c r="A348" s="271"/>
      <c r="B348" s="271"/>
      <c r="C348" s="279"/>
      <c r="D348" s="274"/>
      <c r="E348" s="274"/>
      <c r="F348" s="283"/>
      <c r="G348" s="272"/>
      <c r="H348" s="136" t="s">
        <v>75</v>
      </c>
      <c r="I348" s="137">
        <v>36676</v>
      </c>
      <c r="J348" s="137">
        <f>I348/D345</f>
        <v>3.6</v>
      </c>
      <c r="K348" s="137">
        <f>36676/D345</f>
        <v>3.6</v>
      </c>
    </row>
    <row r="349" spans="1:11" ht="54.5" customHeight="1" x14ac:dyDescent="0.35">
      <c r="A349" s="271"/>
      <c r="B349" s="271"/>
      <c r="C349" s="279"/>
      <c r="D349" s="274"/>
      <c r="E349" s="274"/>
      <c r="F349" s="283"/>
      <c r="G349" s="270" t="s">
        <v>647</v>
      </c>
      <c r="H349" s="136" t="s">
        <v>634</v>
      </c>
      <c r="I349" s="137">
        <v>0</v>
      </c>
      <c r="J349" s="137">
        <v>0</v>
      </c>
      <c r="K349" s="137">
        <f>24580/D345</f>
        <v>2.41</v>
      </c>
    </row>
    <row r="350" spans="1:11" x14ac:dyDescent="0.35">
      <c r="A350" s="271"/>
      <c r="B350" s="271"/>
      <c r="C350" s="279"/>
      <c r="D350" s="274"/>
      <c r="E350" s="274"/>
      <c r="F350" s="283"/>
      <c r="G350" s="271"/>
      <c r="H350" s="136" t="s">
        <v>642</v>
      </c>
      <c r="I350" s="137">
        <v>1713850</v>
      </c>
      <c r="J350" s="137">
        <f>I350/D345-0.01</f>
        <v>168</v>
      </c>
      <c r="K350" s="137">
        <f>1713850/D345-0.01</f>
        <v>168</v>
      </c>
    </row>
    <row r="351" spans="1:11" x14ac:dyDescent="0.35">
      <c r="A351" s="271"/>
      <c r="B351" s="271"/>
      <c r="C351" s="279"/>
      <c r="D351" s="274"/>
      <c r="E351" s="274"/>
      <c r="F351" s="283"/>
      <c r="G351" s="272"/>
      <c r="H351" s="136" t="s">
        <v>75</v>
      </c>
      <c r="I351" s="137">
        <v>36676</v>
      </c>
      <c r="J351" s="137">
        <f>I351/D345</f>
        <v>3.6</v>
      </c>
      <c r="K351" s="137">
        <f>36676/D345</f>
        <v>3.6</v>
      </c>
    </row>
    <row r="352" spans="1:11" ht="58.5" customHeight="1" x14ac:dyDescent="0.35">
      <c r="A352" s="271"/>
      <c r="B352" s="271"/>
      <c r="C352" s="279"/>
      <c r="D352" s="274"/>
      <c r="E352" s="274"/>
      <c r="F352" s="283"/>
      <c r="G352" s="270" t="s">
        <v>648</v>
      </c>
      <c r="H352" s="136" t="s">
        <v>634</v>
      </c>
      <c r="I352" s="137">
        <v>0</v>
      </c>
      <c r="J352" s="137">
        <v>0</v>
      </c>
      <c r="K352" s="137">
        <f>24580/D345</f>
        <v>2.41</v>
      </c>
    </row>
    <row r="353" spans="1:11" x14ac:dyDescent="0.35">
      <c r="A353" s="271"/>
      <c r="B353" s="271"/>
      <c r="C353" s="279"/>
      <c r="D353" s="274"/>
      <c r="E353" s="274"/>
      <c r="F353" s="283"/>
      <c r="G353" s="271"/>
      <c r="H353" s="136" t="s">
        <v>642</v>
      </c>
      <c r="I353" s="137">
        <v>1713850</v>
      </c>
      <c r="J353" s="137">
        <f>I353/D345-0.01</f>
        <v>168</v>
      </c>
      <c r="K353" s="137">
        <f>1713850/D345-0.01</f>
        <v>168</v>
      </c>
    </row>
    <row r="354" spans="1:11" x14ac:dyDescent="0.35">
      <c r="A354" s="271"/>
      <c r="B354" s="271"/>
      <c r="C354" s="279"/>
      <c r="D354" s="274"/>
      <c r="E354" s="274"/>
      <c r="F354" s="283"/>
      <c r="G354" s="272"/>
      <c r="H354" s="136" t="s">
        <v>75</v>
      </c>
      <c r="I354" s="137">
        <v>36676</v>
      </c>
      <c r="J354" s="137">
        <f>I354/D345</f>
        <v>3.6</v>
      </c>
      <c r="K354" s="137">
        <f>36676/D345</f>
        <v>3.6</v>
      </c>
    </row>
    <row r="355" spans="1:11" ht="61" customHeight="1" x14ac:dyDescent="0.35">
      <c r="A355" s="271"/>
      <c r="B355" s="271"/>
      <c r="C355" s="279"/>
      <c r="D355" s="274"/>
      <c r="E355" s="274"/>
      <c r="F355" s="283"/>
      <c r="G355" s="270" t="s">
        <v>649</v>
      </c>
      <c r="H355" s="136" t="s">
        <v>634</v>
      </c>
      <c r="I355" s="137">
        <v>0</v>
      </c>
      <c r="J355" s="137">
        <v>0</v>
      </c>
      <c r="K355" s="137">
        <f>24580/D345</f>
        <v>2.41</v>
      </c>
    </row>
    <row r="356" spans="1:11" x14ac:dyDescent="0.35">
      <c r="A356" s="271"/>
      <c r="B356" s="271"/>
      <c r="C356" s="279"/>
      <c r="D356" s="274"/>
      <c r="E356" s="274"/>
      <c r="F356" s="283"/>
      <c r="G356" s="271"/>
      <c r="H356" s="136" t="s">
        <v>642</v>
      </c>
      <c r="I356" s="137">
        <v>1713850</v>
      </c>
      <c r="J356" s="137">
        <f>I356/D345-0.01</f>
        <v>168</v>
      </c>
      <c r="K356" s="137">
        <f>1713850/D345-0.01</f>
        <v>168</v>
      </c>
    </row>
    <row r="357" spans="1:11" x14ac:dyDescent="0.35">
      <c r="A357" s="271"/>
      <c r="B357" s="271"/>
      <c r="C357" s="279"/>
      <c r="D357" s="274"/>
      <c r="E357" s="274"/>
      <c r="F357" s="283"/>
      <c r="G357" s="272"/>
      <c r="H357" s="136" t="s">
        <v>75</v>
      </c>
      <c r="I357" s="137">
        <v>36676</v>
      </c>
      <c r="J357" s="137">
        <f>I357/D345</f>
        <v>3.6</v>
      </c>
      <c r="K357" s="137">
        <f>36676/D345</f>
        <v>3.6</v>
      </c>
    </row>
    <row r="358" spans="1:11" ht="56.5" customHeight="1" x14ac:dyDescent="0.35">
      <c r="A358" s="271"/>
      <c r="B358" s="271"/>
      <c r="C358" s="279"/>
      <c r="D358" s="274"/>
      <c r="E358" s="274"/>
      <c r="F358" s="283"/>
      <c r="G358" s="270" t="s">
        <v>646</v>
      </c>
      <c r="H358" s="136" t="s">
        <v>634</v>
      </c>
      <c r="I358" s="137">
        <v>0</v>
      </c>
      <c r="J358" s="137">
        <v>0</v>
      </c>
      <c r="K358" s="137">
        <f>24580/D345</f>
        <v>2.41</v>
      </c>
    </row>
    <row r="359" spans="1:11" x14ac:dyDescent="0.35">
      <c r="A359" s="271"/>
      <c r="B359" s="271"/>
      <c r="C359" s="279"/>
      <c r="D359" s="274"/>
      <c r="E359" s="274"/>
      <c r="F359" s="283"/>
      <c r="G359" s="271"/>
      <c r="H359" s="136" t="s">
        <v>642</v>
      </c>
      <c r="I359" s="137">
        <v>1713850</v>
      </c>
      <c r="J359" s="137">
        <f>I359/D345</f>
        <v>168.01</v>
      </c>
      <c r="K359" s="137">
        <f>1713850/D345</f>
        <v>168.01</v>
      </c>
    </row>
    <row r="360" spans="1:11" x14ac:dyDescent="0.35">
      <c r="A360" s="272"/>
      <c r="B360" s="272"/>
      <c r="C360" s="285"/>
      <c r="D360" s="275"/>
      <c r="E360" s="275"/>
      <c r="F360" s="284"/>
      <c r="G360" s="272"/>
      <c r="H360" s="136" t="s">
        <v>75</v>
      </c>
      <c r="I360" s="137">
        <v>36676</v>
      </c>
      <c r="J360" s="137">
        <f>I360/D345</f>
        <v>3.6</v>
      </c>
      <c r="K360" s="137">
        <f>36676/D345</f>
        <v>3.6</v>
      </c>
    </row>
    <row r="361" spans="1:11" x14ac:dyDescent="0.35">
      <c r="A361" s="265">
        <f>A345+1</f>
        <v>13</v>
      </c>
      <c r="B361" s="265">
        <v>5210</v>
      </c>
      <c r="C361" s="333" t="s">
        <v>249</v>
      </c>
      <c r="D361" s="256">
        <v>990.3</v>
      </c>
      <c r="E361" s="256" t="s">
        <v>74</v>
      </c>
      <c r="F361" s="300">
        <v>2</v>
      </c>
      <c r="G361" s="160"/>
      <c r="H361" s="151" t="s">
        <v>72</v>
      </c>
      <c r="I361" s="35">
        <f>SUM(I362:I367)</f>
        <v>1240947.3</v>
      </c>
      <c r="J361" s="35">
        <f>SUM(J362:J367)</f>
        <v>1253.0999999999999</v>
      </c>
      <c r="K361" s="35">
        <f>SUM(K362:K367)</f>
        <v>3923</v>
      </c>
    </row>
    <row r="362" spans="1:11" ht="56.5" customHeight="1" x14ac:dyDescent="0.35">
      <c r="A362" s="265"/>
      <c r="B362" s="265"/>
      <c r="C362" s="334"/>
      <c r="D362" s="257"/>
      <c r="E362" s="257"/>
      <c r="F362" s="301"/>
      <c r="G362" s="259" t="s">
        <v>76</v>
      </c>
      <c r="H362" s="151" t="s">
        <v>634</v>
      </c>
      <c r="I362" s="35">
        <f>81411+D361*9</f>
        <v>90323.7</v>
      </c>
      <c r="J362" s="35">
        <f>I362/D361</f>
        <v>91.21</v>
      </c>
      <c r="K362" s="35">
        <f>110+9</f>
        <v>119</v>
      </c>
    </row>
    <row r="363" spans="1:11" x14ac:dyDescent="0.35">
      <c r="A363" s="265"/>
      <c r="B363" s="265"/>
      <c r="C363" s="334"/>
      <c r="D363" s="257"/>
      <c r="E363" s="257"/>
      <c r="F363" s="301"/>
      <c r="G363" s="260"/>
      <c r="H363" s="151" t="s">
        <v>73</v>
      </c>
      <c r="I363" s="35">
        <f>D361*K363*30/100</f>
        <v>814917.87</v>
      </c>
      <c r="J363" s="35">
        <f>I363/D361</f>
        <v>822.9</v>
      </c>
      <c r="K363" s="35">
        <v>2743</v>
      </c>
    </row>
    <row r="364" spans="1:11" ht="55" customHeight="1" x14ac:dyDescent="0.35">
      <c r="A364" s="265"/>
      <c r="B364" s="265"/>
      <c r="C364" s="334"/>
      <c r="D364" s="257"/>
      <c r="E364" s="257"/>
      <c r="F364" s="301"/>
      <c r="G364" s="265" t="s">
        <v>77</v>
      </c>
      <c r="H364" s="151" t="s">
        <v>634</v>
      </c>
      <c r="I364" s="35">
        <f>15542.1+D361*2</f>
        <v>17522.7</v>
      </c>
      <c r="J364" s="35">
        <f>I364/D361</f>
        <v>17.690000000000001</v>
      </c>
      <c r="K364" s="35">
        <f>21+2</f>
        <v>23</v>
      </c>
    </row>
    <row r="365" spans="1:11" x14ac:dyDescent="0.35">
      <c r="A365" s="265"/>
      <c r="B365" s="265"/>
      <c r="C365" s="334"/>
      <c r="D365" s="257"/>
      <c r="E365" s="257"/>
      <c r="F365" s="301"/>
      <c r="G365" s="265"/>
      <c r="H365" s="151" t="s">
        <v>73</v>
      </c>
      <c r="I365" s="35">
        <f>D361*K365*30/100</f>
        <v>157457.70000000001</v>
      </c>
      <c r="J365" s="35">
        <f>I365/D361</f>
        <v>159</v>
      </c>
      <c r="K365" s="35">
        <v>530</v>
      </c>
    </row>
    <row r="366" spans="1:11" ht="55" customHeight="1" x14ac:dyDescent="0.35">
      <c r="A366" s="265"/>
      <c r="B366" s="265"/>
      <c r="C366" s="334"/>
      <c r="D366" s="257"/>
      <c r="E366" s="257"/>
      <c r="F366" s="301"/>
      <c r="G366" s="260" t="s">
        <v>89</v>
      </c>
      <c r="H366" s="151" t="s">
        <v>634</v>
      </c>
      <c r="I366" s="35">
        <f>14061.9+D361*2</f>
        <v>16042.5</v>
      </c>
      <c r="J366" s="35">
        <f>I366/D361</f>
        <v>16.2</v>
      </c>
      <c r="K366" s="35">
        <f>19+2</f>
        <v>21</v>
      </c>
    </row>
    <row r="367" spans="1:11" x14ac:dyDescent="0.35">
      <c r="A367" s="265"/>
      <c r="B367" s="265"/>
      <c r="C367" s="334"/>
      <c r="D367" s="257"/>
      <c r="E367" s="257"/>
      <c r="F367" s="301"/>
      <c r="G367" s="260"/>
      <c r="H367" s="151" t="s">
        <v>73</v>
      </c>
      <c r="I367" s="35">
        <f>D361*K367*30/100</f>
        <v>144682.82999999999</v>
      </c>
      <c r="J367" s="35">
        <f>I367/D361</f>
        <v>146.1</v>
      </c>
      <c r="K367" s="35">
        <v>487</v>
      </c>
    </row>
    <row r="368" spans="1:11" x14ac:dyDescent="0.35">
      <c r="A368" s="277">
        <f>A361+1</f>
        <v>14</v>
      </c>
      <c r="B368" s="277">
        <v>5234</v>
      </c>
      <c r="C368" s="286" t="s">
        <v>659</v>
      </c>
      <c r="D368" s="287">
        <v>665.8</v>
      </c>
      <c r="E368" s="287" t="s">
        <v>70</v>
      </c>
      <c r="F368" s="304">
        <v>2</v>
      </c>
      <c r="G368" s="277" t="s">
        <v>71</v>
      </c>
      <c r="H368" s="136" t="s">
        <v>72</v>
      </c>
      <c r="I368" s="137">
        <f>I369+I370</f>
        <v>3585081.87</v>
      </c>
      <c r="J368" s="137">
        <f>J369+J370</f>
        <v>5384.62</v>
      </c>
      <c r="K368" s="137">
        <f>K369+K370</f>
        <v>7539</v>
      </c>
    </row>
    <row r="369" spans="1:11" x14ac:dyDescent="0.35">
      <c r="A369" s="277"/>
      <c r="B369" s="277"/>
      <c r="C369" s="286"/>
      <c r="D369" s="287"/>
      <c r="E369" s="287"/>
      <c r="F369" s="304"/>
      <c r="G369" s="277"/>
      <c r="H369" s="136" t="s">
        <v>73</v>
      </c>
      <c r="I369" s="137">
        <v>3545842.18</v>
      </c>
      <c r="J369" s="137">
        <f>I369/D368-0.01</f>
        <v>5325.68</v>
      </c>
      <c r="K369" s="137">
        <v>7381</v>
      </c>
    </row>
    <row r="370" spans="1:11" x14ac:dyDescent="0.35">
      <c r="A370" s="277"/>
      <c r="B370" s="277"/>
      <c r="C370" s="286"/>
      <c r="D370" s="287"/>
      <c r="E370" s="287"/>
      <c r="F370" s="304"/>
      <c r="G370" s="277"/>
      <c r="H370" s="136" t="s">
        <v>75</v>
      </c>
      <c r="I370" s="137">
        <v>39239.69</v>
      </c>
      <c r="J370" s="137">
        <f>I370/D368</f>
        <v>58.94</v>
      </c>
      <c r="K370" s="137">
        <v>158</v>
      </c>
    </row>
    <row r="371" spans="1:11" x14ac:dyDescent="0.35">
      <c r="A371" s="277">
        <f>A368+1</f>
        <v>15</v>
      </c>
      <c r="B371" s="277">
        <v>5235</v>
      </c>
      <c r="C371" s="286" t="s">
        <v>660</v>
      </c>
      <c r="D371" s="287">
        <v>681.6</v>
      </c>
      <c r="E371" s="287" t="s">
        <v>70</v>
      </c>
      <c r="F371" s="304">
        <v>2</v>
      </c>
      <c r="G371" s="277" t="s">
        <v>71</v>
      </c>
      <c r="H371" s="136" t="s">
        <v>72</v>
      </c>
      <c r="I371" s="137">
        <f>I372+I373</f>
        <v>3747269.67</v>
      </c>
      <c r="J371" s="137">
        <f>J372+J373</f>
        <v>5497.75</v>
      </c>
      <c r="K371" s="137">
        <f>K372+K373</f>
        <v>7539</v>
      </c>
    </row>
    <row r="372" spans="1:11" x14ac:dyDescent="0.35">
      <c r="A372" s="277"/>
      <c r="B372" s="277"/>
      <c r="C372" s="286"/>
      <c r="D372" s="287"/>
      <c r="E372" s="287"/>
      <c r="F372" s="304"/>
      <c r="G372" s="277"/>
      <c r="H372" s="136" t="s">
        <v>73</v>
      </c>
      <c r="I372" s="137">
        <v>3669144.55</v>
      </c>
      <c r="J372" s="137">
        <f>I372/D371</f>
        <v>5383.13</v>
      </c>
      <c r="K372" s="137">
        <v>7381</v>
      </c>
    </row>
    <row r="373" spans="1:11" x14ac:dyDescent="0.35">
      <c r="A373" s="277"/>
      <c r="B373" s="277"/>
      <c r="C373" s="286"/>
      <c r="D373" s="287"/>
      <c r="E373" s="287"/>
      <c r="F373" s="304"/>
      <c r="G373" s="277"/>
      <c r="H373" s="136" t="s">
        <v>75</v>
      </c>
      <c r="I373" s="137">
        <v>78125.119999999995</v>
      </c>
      <c r="J373" s="137">
        <f>I373/D371</f>
        <v>114.62</v>
      </c>
      <c r="K373" s="137">
        <v>158</v>
      </c>
    </row>
    <row r="374" spans="1:11" x14ac:dyDescent="0.35">
      <c r="A374" s="270">
        <f>A371+1</f>
        <v>16</v>
      </c>
      <c r="B374" s="277">
        <v>5261</v>
      </c>
      <c r="C374" s="286" t="s">
        <v>661</v>
      </c>
      <c r="D374" s="287">
        <v>579.1</v>
      </c>
      <c r="E374" s="287" t="s">
        <v>74</v>
      </c>
      <c r="F374" s="304">
        <v>2</v>
      </c>
      <c r="G374" s="277" t="s">
        <v>71</v>
      </c>
      <c r="H374" s="136" t="s">
        <v>72</v>
      </c>
      <c r="I374" s="137">
        <f>I375+I376</f>
        <v>3413784.27</v>
      </c>
      <c r="J374" s="137">
        <f>J375+J376</f>
        <v>5894.98</v>
      </c>
      <c r="K374" s="137">
        <f>K375+K376</f>
        <v>7539</v>
      </c>
    </row>
    <row r="375" spans="1:11" x14ac:dyDescent="0.35">
      <c r="A375" s="271"/>
      <c r="B375" s="277"/>
      <c r="C375" s="286"/>
      <c r="D375" s="287"/>
      <c r="E375" s="287"/>
      <c r="F375" s="304"/>
      <c r="G375" s="277"/>
      <c r="H375" s="136" t="s">
        <v>73</v>
      </c>
      <c r="I375" s="137">
        <v>3342611.83</v>
      </c>
      <c r="J375" s="137">
        <f>I375/D374</f>
        <v>5772.08</v>
      </c>
      <c r="K375" s="137">
        <v>7381</v>
      </c>
    </row>
    <row r="376" spans="1:11" x14ac:dyDescent="0.35">
      <c r="A376" s="272"/>
      <c r="B376" s="277"/>
      <c r="C376" s="286"/>
      <c r="D376" s="287"/>
      <c r="E376" s="287"/>
      <c r="F376" s="304"/>
      <c r="G376" s="277"/>
      <c r="H376" s="136" t="s">
        <v>75</v>
      </c>
      <c r="I376" s="137">
        <v>71172.44</v>
      </c>
      <c r="J376" s="137">
        <f>I376/D374</f>
        <v>122.9</v>
      </c>
      <c r="K376" s="137">
        <v>158</v>
      </c>
    </row>
    <row r="377" spans="1:11" x14ac:dyDescent="0.35">
      <c r="A377" s="168" t="s">
        <v>47</v>
      </c>
      <c r="B377" s="168"/>
      <c r="C377" s="169"/>
      <c r="D377" s="181">
        <f>D378+D381+D383+D386+D389+D391+D398+D405+D408+D415+D418+D421+D424+D426+D428+D431+D433+D436+D439+D441+D448+D451+D454+D457+D459+D462+D465+D468+D471+D474+D477+D480+D487+D490+D493+D497+D500+D503+D506+D509+D512+D515+D517+D524+D527+D530+D533+D535+D540+D543+D547+D549+D552+D557+D566+D568+D571+D573+D576+D579+D582+D585+D588+D591+D594+D597+D604+D611+D614+D616+D619+D622+D625+D628+D635+D638+D641+D644+D647+D649+D652+D654+D656+D659+D662+D664+D667+D670+D672+D685+D688+D690+D693+D700+D704+D717+D720+D723+D726+D745+D754+D759+D764+D767+D783+D811+D827+D837+D840+D843+D846+D849+D852+D855+D858+D861+D864+D867+D870+D873+D876+D879+D882+D895+D898+D902+D909+D912+D915+D918+D921+D926+D929+D932+D935+D938+D941+D944+D946+D953+D966+D970+D979+D986+D989+D992+D995+D1008+D1011+D1014+D1024+D1027+D1030+D1040+D1043+D1046</f>
        <v>601488.34</v>
      </c>
      <c r="E377" s="181"/>
      <c r="F377" s="135"/>
      <c r="G377" s="146"/>
      <c r="H377" s="136"/>
      <c r="I377" s="137">
        <f>I378+I381+I383+I386+I389+I391+I398+I405+I408+I415+I418+I421+I424+I426+I428+I431+I433+I436+I439+I441+I448+I451+I454+I457+I459+I462+I465+I468+I471+I474+I477+I480+I487+I490+I493+I497+I500+I503+I506+I509+I512+I515+I517+I524+I527+I530+I533+I535+I540+I543+I547+I549+I552+I557+I566+I568+I571+I573+I576+I579+I582+I585+I588+I591+I594+I597+I604+I611+I614+I616+I619+I622+I625+I628+I635+I638+I641+I644+I647+I649+I652+I654+I656+I659+I662+I664+I667+I670+I672+I685+I688+I690+I693+I700+I704+I717+I720+I723+I726+I745+I754+I759+I764+I767+I783+I811+I827+I837+I840+I843+I846+I849+I852+I855+I858+I861+I864+I867+I870+I873+I876+I879+I882+I895+I898+I902+I909+I912+I915+I918+I921+I926+I929+I932+I935+I938+I941+I944+I946+I953+I966+I970+I979+I986+I989+I992+I995+I1008+I1011+I1014+I1024+I1027+I1030+I1040+I1043+I1046</f>
        <v>562144146.09000003</v>
      </c>
      <c r="J377" s="137"/>
      <c r="K377" s="137"/>
    </row>
    <row r="378" spans="1:11" x14ac:dyDescent="0.35">
      <c r="A378" s="277">
        <v>1</v>
      </c>
      <c r="B378" s="277">
        <v>734</v>
      </c>
      <c r="C378" s="286" t="s">
        <v>255</v>
      </c>
      <c r="D378" s="287">
        <v>3971.1</v>
      </c>
      <c r="E378" s="287" t="s">
        <v>70</v>
      </c>
      <c r="F378" s="304">
        <v>5</v>
      </c>
      <c r="G378" s="277" t="s">
        <v>71</v>
      </c>
      <c r="H378" s="136" t="s">
        <v>72</v>
      </c>
      <c r="I378" s="137">
        <f>I379+I380</f>
        <v>3949853.91</v>
      </c>
      <c r="J378" s="137">
        <f>J379+J380</f>
        <v>994.65</v>
      </c>
      <c r="K378" s="137">
        <f>K379+K380</f>
        <v>2936</v>
      </c>
    </row>
    <row r="379" spans="1:11" ht="46.5" x14ac:dyDescent="0.35">
      <c r="A379" s="277"/>
      <c r="B379" s="277"/>
      <c r="C379" s="286"/>
      <c r="D379" s="287"/>
      <c r="E379" s="287"/>
      <c r="F379" s="304"/>
      <c r="G379" s="277"/>
      <c r="H379" s="136" t="s">
        <v>673</v>
      </c>
      <c r="I379" s="137">
        <f>595862.85+D378*13</f>
        <v>647487.15</v>
      </c>
      <c r="J379" s="137">
        <f>I379/D378</f>
        <v>163.05000000000001</v>
      </c>
      <c r="K379" s="137">
        <f>151+13</f>
        <v>164</v>
      </c>
    </row>
    <row r="380" spans="1:11" x14ac:dyDescent="0.35">
      <c r="A380" s="277"/>
      <c r="B380" s="277"/>
      <c r="C380" s="286"/>
      <c r="D380" s="287"/>
      <c r="E380" s="287"/>
      <c r="F380" s="304"/>
      <c r="G380" s="277"/>
      <c r="H380" s="136" t="s">
        <v>73</v>
      </c>
      <c r="I380" s="137">
        <f>K380*D378*0.3</f>
        <v>3302366.76</v>
      </c>
      <c r="J380" s="137">
        <f>I380/D378</f>
        <v>831.6</v>
      </c>
      <c r="K380" s="137">
        <v>2772</v>
      </c>
    </row>
    <row r="381" spans="1:11" x14ac:dyDescent="0.35">
      <c r="A381" s="277">
        <f>A378+1</f>
        <v>2</v>
      </c>
      <c r="B381" s="277">
        <v>757</v>
      </c>
      <c r="C381" s="286" t="s">
        <v>256</v>
      </c>
      <c r="D381" s="287">
        <v>1020.67</v>
      </c>
      <c r="E381" s="287" t="s">
        <v>74</v>
      </c>
      <c r="F381" s="304">
        <v>5</v>
      </c>
      <c r="G381" s="277" t="s">
        <v>71</v>
      </c>
      <c r="H381" s="136" t="s">
        <v>72</v>
      </c>
      <c r="I381" s="137">
        <f>I382</f>
        <v>166420.07</v>
      </c>
      <c r="J381" s="137">
        <f>J382</f>
        <v>163.05000000000001</v>
      </c>
      <c r="K381" s="137">
        <f>K382</f>
        <v>164</v>
      </c>
    </row>
    <row r="382" spans="1:11" ht="46.5" x14ac:dyDescent="0.35">
      <c r="A382" s="277">
        <v>75</v>
      </c>
      <c r="B382" s="277"/>
      <c r="C382" s="286"/>
      <c r="D382" s="287"/>
      <c r="E382" s="287"/>
      <c r="F382" s="304"/>
      <c r="G382" s="277"/>
      <c r="H382" s="136" t="s">
        <v>673</v>
      </c>
      <c r="I382" s="137">
        <f>153151.36+D381*13</f>
        <v>166420.07</v>
      </c>
      <c r="J382" s="137">
        <f>I382/D381</f>
        <v>163.05000000000001</v>
      </c>
      <c r="K382" s="137">
        <f>151+13</f>
        <v>164</v>
      </c>
    </row>
    <row r="383" spans="1:11" x14ac:dyDescent="0.35">
      <c r="A383" s="277">
        <f>A381+1</f>
        <v>3</v>
      </c>
      <c r="B383" s="277">
        <v>818</v>
      </c>
      <c r="C383" s="286" t="s">
        <v>258</v>
      </c>
      <c r="D383" s="287">
        <v>746.74</v>
      </c>
      <c r="E383" s="287" t="s">
        <v>74</v>
      </c>
      <c r="F383" s="304">
        <v>4</v>
      </c>
      <c r="G383" s="277" t="s">
        <v>71</v>
      </c>
      <c r="H383" s="136" t="s">
        <v>72</v>
      </c>
      <c r="I383" s="137">
        <f>I384+I385</f>
        <v>1102262.1499999999</v>
      </c>
      <c r="J383" s="137">
        <f>J384+J385</f>
        <v>1476.1</v>
      </c>
      <c r="K383" s="137">
        <f>K384+K385</f>
        <v>4793</v>
      </c>
    </row>
    <row r="384" spans="1:11" ht="46.5" x14ac:dyDescent="0.35">
      <c r="A384" s="277">
        <v>75</v>
      </c>
      <c r="B384" s="277"/>
      <c r="C384" s="286"/>
      <c r="D384" s="287"/>
      <c r="E384" s="287"/>
      <c r="F384" s="304"/>
      <c r="G384" s="277"/>
      <c r="H384" s="136" t="s">
        <v>673</v>
      </c>
      <c r="I384" s="137">
        <f>102008.46+D383*13</f>
        <v>111716.08</v>
      </c>
      <c r="J384" s="137">
        <f>I384/D383</f>
        <v>149.61000000000001</v>
      </c>
      <c r="K384" s="137">
        <f>151+13</f>
        <v>164</v>
      </c>
    </row>
    <row r="385" spans="1:11" x14ac:dyDescent="0.35">
      <c r="A385" s="277"/>
      <c r="B385" s="277"/>
      <c r="C385" s="286"/>
      <c r="D385" s="287"/>
      <c r="E385" s="287"/>
      <c r="F385" s="304"/>
      <c r="G385" s="277"/>
      <c r="H385" s="136" t="s">
        <v>73</v>
      </c>
      <c r="I385" s="137">
        <f>3301820.23*0.3</f>
        <v>990546.07</v>
      </c>
      <c r="J385" s="137">
        <f>I385/D383</f>
        <v>1326.49</v>
      </c>
      <c r="K385" s="137">
        <v>4629</v>
      </c>
    </row>
    <row r="386" spans="1:11" x14ac:dyDescent="0.35">
      <c r="A386" s="277">
        <f>A383+1</f>
        <v>4</v>
      </c>
      <c r="B386" s="277">
        <v>722</v>
      </c>
      <c r="C386" s="286" t="s">
        <v>259</v>
      </c>
      <c r="D386" s="287">
        <v>722.6</v>
      </c>
      <c r="E386" s="287" t="s">
        <v>74</v>
      </c>
      <c r="F386" s="304">
        <v>4</v>
      </c>
      <c r="G386" s="277" t="s">
        <v>71</v>
      </c>
      <c r="H386" s="136" t="s">
        <v>72</v>
      </c>
      <c r="I386" s="137">
        <f>I387+I388</f>
        <v>1069378.25</v>
      </c>
      <c r="J386" s="137">
        <f>J387+J388</f>
        <v>1479.9</v>
      </c>
      <c r="K386" s="137">
        <f>K387+K388</f>
        <v>4793</v>
      </c>
    </row>
    <row r="387" spans="1:11" ht="46.5" x14ac:dyDescent="0.35">
      <c r="A387" s="277">
        <v>75</v>
      </c>
      <c r="B387" s="277"/>
      <c r="C387" s="286"/>
      <c r="D387" s="287"/>
      <c r="E387" s="287"/>
      <c r="F387" s="304"/>
      <c r="G387" s="277"/>
      <c r="H387" s="136" t="s">
        <v>673</v>
      </c>
      <c r="I387" s="137">
        <f>108425.99+D386*13</f>
        <v>117819.79</v>
      </c>
      <c r="J387" s="137">
        <f>I387/D386</f>
        <v>163.05000000000001</v>
      </c>
      <c r="K387" s="137">
        <f>151+13</f>
        <v>164</v>
      </c>
    </row>
    <row r="388" spans="1:11" x14ac:dyDescent="0.35">
      <c r="A388" s="277"/>
      <c r="B388" s="277"/>
      <c r="C388" s="286"/>
      <c r="D388" s="287"/>
      <c r="E388" s="287"/>
      <c r="F388" s="304"/>
      <c r="G388" s="277"/>
      <c r="H388" s="136" t="s">
        <v>73</v>
      </c>
      <c r="I388" s="137">
        <f>3171861.52*0.3</f>
        <v>951558.46</v>
      </c>
      <c r="J388" s="137">
        <f>I388/D386</f>
        <v>1316.85</v>
      </c>
      <c r="K388" s="137">
        <v>4629</v>
      </c>
    </row>
    <row r="389" spans="1:11" x14ac:dyDescent="0.35">
      <c r="A389" s="277">
        <f>A386+1</f>
        <v>5</v>
      </c>
      <c r="B389" s="277">
        <v>743</v>
      </c>
      <c r="C389" s="286" t="s">
        <v>260</v>
      </c>
      <c r="D389" s="287">
        <v>3996.6</v>
      </c>
      <c r="E389" s="287" t="s">
        <v>70</v>
      </c>
      <c r="F389" s="304">
        <v>5</v>
      </c>
      <c r="G389" s="277" t="s">
        <v>71</v>
      </c>
      <c r="H389" s="136" t="s">
        <v>72</v>
      </c>
      <c r="I389" s="137">
        <f>I390</f>
        <v>655442.4</v>
      </c>
      <c r="J389" s="137">
        <f>J390</f>
        <v>164</v>
      </c>
      <c r="K389" s="137">
        <f>K390</f>
        <v>164</v>
      </c>
    </row>
    <row r="390" spans="1:11" ht="46.5" x14ac:dyDescent="0.35">
      <c r="A390" s="277">
        <v>75</v>
      </c>
      <c r="B390" s="277"/>
      <c r="C390" s="286"/>
      <c r="D390" s="287"/>
      <c r="E390" s="287"/>
      <c r="F390" s="304"/>
      <c r="G390" s="277"/>
      <c r="H390" s="136" t="s">
        <v>760</v>
      </c>
      <c r="I390" s="137">
        <f>603486.6+D389*13</f>
        <v>655442.4</v>
      </c>
      <c r="J390" s="137">
        <f>I390/D389</f>
        <v>164</v>
      </c>
      <c r="K390" s="137">
        <f>151+13</f>
        <v>164</v>
      </c>
    </row>
    <row r="391" spans="1:11" x14ac:dyDescent="0.35">
      <c r="A391" s="277">
        <f>A389+1</f>
        <v>6</v>
      </c>
      <c r="B391" s="277">
        <v>881</v>
      </c>
      <c r="C391" s="286" t="s">
        <v>261</v>
      </c>
      <c r="D391" s="287">
        <v>6399.8</v>
      </c>
      <c r="E391" s="287" t="s">
        <v>74</v>
      </c>
      <c r="F391" s="304">
        <v>10</v>
      </c>
      <c r="G391" s="146"/>
      <c r="H391" s="136" t="s">
        <v>72</v>
      </c>
      <c r="I391" s="137">
        <f>SUM(I392:I397)</f>
        <v>3915651.77</v>
      </c>
      <c r="J391" s="137">
        <f>SUM(J392:J397)</f>
        <v>611.84</v>
      </c>
      <c r="K391" s="137">
        <f>SUM(K392:K397)</f>
        <v>818.18</v>
      </c>
    </row>
    <row r="392" spans="1:11" x14ac:dyDescent="0.35">
      <c r="A392" s="277">
        <v>756</v>
      </c>
      <c r="B392" s="277"/>
      <c r="C392" s="286"/>
      <c r="D392" s="287"/>
      <c r="E392" s="287"/>
      <c r="F392" s="304"/>
      <c r="G392" s="277" t="s">
        <v>641</v>
      </c>
      <c r="H392" s="136" t="s">
        <v>642</v>
      </c>
      <c r="I392" s="137">
        <v>1277852.29</v>
      </c>
      <c r="J392" s="137">
        <f>I392/D391</f>
        <v>199.67</v>
      </c>
      <c r="K392" s="137">
        <f>1708823/D391+0.01</f>
        <v>267.02</v>
      </c>
    </row>
    <row r="393" spans="1:11" x14ac:dyDescent="0.35">
      <c r="A393" s="277">
        <v>757</v>
      </c>
      <c r="B393" s="277"/>
      <c r="C393" s="286"/>
      <c r="D393" s="287"/>
      <c r="E393" s="287"/>
      <c r="F393" s="304"/>
      <c r="G393" s="277"/>
      <c r="H393" s="136" t="s">
        <v>75</v>
      </c>
      <c r="I393" s="137">
        <v>27346.04</v>
      </c>
      <c r="J393" s="137">
        <f>I393/D391</f>
        <v>4.2699999999999996</v>
      </c>
      <c r="K393" s="137">
        <f>36569/D391</f>
        <v>5.71</v>
      </c>
    </row>
    <row r="394" spans="1:11" x14ac:dyDescent="0.35">
      <c r="A394" s="277"/>
      <c r="B394" s="277"/>
      <c r="C394" s="286"/>
      <c r="D394" s="287"/>
      <c r="E394" s="287"/>
      <c r="F394" s="304"/>
      <c r="G394" s="277" t="s">
        <v>647</v>
      </c>
      <c r="H394" s="136" t="s">
        <v>642</v>
      </c>
      <c r="I394" s="137">
        <v>1277852.29</v>
      </c>
      <c r="J394" s="137">
        <f>I394/D391+0.01</f>
        <v>199.68</v>
      </c>
      <c r="K394" s="137">
        <f>1708823/D391+0.01</f>
        <v>267.02</v>
      </c>
    </row>
    <row r="395" spans="1:11" x14ac:dyDescent="0.35">
      <c r="A395" s="277"/>
      <c r="B395" s="277"/>
      <c r="C395" s="286"/>
      <c r="D395" s="287"/>
      <c r="E395" s="287"/>
      <c r="F395" s="304"/>
      <c r="G395" s="277"/>
      <c r="H395" s="136" t="s">
        <v>75</v>
      </c>
      <c r="I395" s="137">
        <v>27346.04</v>
      </c>
      <c r="J395" s="137">
        <f>I395/D391</f>
        <v>4.2699999999999996</v>
      </c>
      <c r="K395" s="137">
        <f>36569/D391</f>
        <v>5.71</v>
      </c>
    </row>
    <row r="396" spans="1:11" x14ac:dyDescent="0.35">
      <c r="A396" s="277"/>
      <c r="B396" s="277"/>
      <c r="C396" s="286"/>
      <c r="D396" s="287"/>
      <c r="E396" s="287"/>
      <c r="F396" s="304"/>
      <c r="G396" s="277" t="s">
        <v>648</v>
      </c>
      <c r="H396" s="136" t="s">
        <v>642</v>
      </c>
      <c r="I396" s="137">
        <v>1277907.8799999999</v>
      </c>
      <c r="J396" s="137">
        <f>I396/D391</f>
        <v>199.68</v>
      </c>
      <c r="K396" s="137">
        <f>1708823/D391</f>
        <v>267.01</v>
      </c>
    </row>
    <row r="397" spans="1:11" x14ac:dyDescent="0.35">
      <c r="A397" s="277"/>
      <c r="B397" s="277"/>
      <c r="C397" s="286"/>
      <c r="D397" s="287"/>
      <c r="E397" s="287"/>
      <c r="F397" s="304"/>
      <c r="G397" s="277"/>
      <c r="H397" s="136" t="s">
        <v>75</v>
      </c>
      <c r="I397" s="137">
        <v>27347.23</v>
      </c>
      <c r="J397" s="137">
        <f>I397/D391</f>
        <v>4.2699999999999996</v>
      </c>
      <c r="K397" s="137">
        <f>36569/D391</f>
        <v>5.71</v>
      </c>
    </row>
    <row r="398" spans="1:11" x14ac:dyDescent="0.35">
      <c r="A398" s="277">
        <f>A391+1</f>
        <v>7</v>
      </c>
      <c r="B398" s="277">
        <v>548</v>
      </c>
      <c r="C398" s="286" t="s">
        <v>262</v>
      </c>
      <c r="D398" s="287">
        <v>2962.5</v>
      </c>
      <c r="E398" s="287" t="s">
        <v>74</v>
      </c>
      <c r="F398" s="304">
        <v>5</v>
      </c>
      <c r="G398" s="146"/>
      <c r="H398" s="136" t="s">
        <v>72</v>
      </c>
      <c r="I398" s="137">
        <f>I399+I400+I401+I402+I403+I404</f>
        <v>8844854.4000000004</v>
      </c>
      <c r="J398" s="137">
        <f>J399+J400+J401+J402+J403+J404</f>
        <v>2985.6</v>
      </c>
      <c r="K398" s="137">
        <f>K399+K400+K401+K402+K403+K404</f>
        <v>3640</v>
      </c>
    </row>
    <row r="399" spans="1:11" x14ac:dyDescent="0.35">
      <c r="A399" s="277">
        <v>882</v>
      </c>
      <c r="B399" s="277"/>
      <c r="C399" s="286"/>
      <c r="D399" s="287"/>
      <c r="E399" s="287"/>
      <c r="F399" s="304"/>
      <c r="G399" s="277" t="s">
        <v>76</v>
      </c>
      <c r="H399" s="136" t="s">
        <v>73</v>
      </c>
      <c r="I399" s="137">
        <v>6624685.4100000001</v>
      </c>
      <c r="J399" s="137">
        <f>I399/D398</f>
        <v>2236.1799999999998</v>
      </c>
      <c r="K399" s="137">
        <v>2691</v>
      </c>
    </row>
    <row r="400" spans="1:11" x14ac:dyDescent="0.35">
      <c r="A400" s="277">
        <v>883</v>
      </c>
      <c r="B400" s="277"/>
      <c r="C400" s="286"/>
      <c r="D400" s="287"/>
      <c r="E400" s="287"/>
      <c r="F400" s="304"/>
      <c r="G400" s="277"/>
      <c r="H400" s="136" t="s">
        <v>75</v>
      </c>
      <c r="I400" s="137">
        <v>87986.25</v>
      </c>
      <c r="J400" s="137">
        <f>I400/D398</f>
        <v>29.7</v>
      </c>
      <c r="K400" s="137">
        <v>58</v>
      </c>
    </row>
    <row r="401" spans="1:11" x14ac:dyDescent="0.35">
      <c r="A401" s="277">
        <v>884</v>
      </c>
      <c r="B401" s="277"/>
      <c r="C401" s="286"/>
      <c r="D401" s="287"/>
      <c r="E401" s="287"/>
      <c r="F401" s="304"/>
      <c r="G401" s="277" t="s">
        <v>77</v>
      </c>
      <c r="H401" s="136" t="s">
        <v>73</v>
      </c>
      <c r="I401" s="137">
        <v>870661.37</v>
      </c>
      <c r="J401" s="137">
        <f>I401/D398</f>
        <v>293.89</v>
      </c>
      <c r="K401" s="137">
        <v>463</v>
      </c>
    </row>
    <row r="402" spans="1:11" x14ac:dyDescent="0.35">
      <c r="A402" s="277">
        <v>885</v>
      </c>
      <c r="B402" s="277"/>
      <c r="C402" s="286"/>
      <c r="D402" s="287"/>
      <c r="E402" s="287"/>
      <c r="F402" s="304"/>
      <c r="G402" s="277"/>
      <c r="H402" s="136" t="s">
        <v>75</v>
      </c>
      <c r="I402" s="137">
        <v>29328.75</v>
      </c>
      <c r="J402" s="137">
        <f>I402/D398</f>
        <v>9.9</v>
      </c>
      <c r="K402" s="137">
        <v>10</v>
      </c>
    </row>
    <row r="403" spans="1:11" x14ac:dyDescent="0.35">
      <c r="A403" s="277">
        <v>886</v>
      </c>
      <c r="B403" s="277"/>
      <c r="C403" s="286"/>
      <c r="D403" s="287"/>
      <c r="E403" s="287"/>
      <c r="F403" s="304"/>
      <c r="G403" s="277" t="s">
        <v>78</v>
      </c>
      <c r="H403" s="136" t="s">
        <v>73</v>
      </c>
      <c r="I403" s="137">
        <f>D398*K403</f>
        <v>1211662.5</v>
      </c>
      <c r="J403" s="137">
        <f>I403/D398</f>
        <v>409</v>
      </c>
      <c r="K403" s="137">
        <v>409</v>
      </c>
    </row>
    <row r="404" spans="1:11" x14ac:dyDescent="0.35">
      <c r="A404" s="277">
        <v>887</v>
      </c>
      <c r="B404" s="277"/>
      <c r="C404" s="286"/>
      <c r="D404" s="287"/>
      <c r="E404" s="287"/>
      <c r="F404" s="304"/>
      <c r="G404" s="277"/>
      <c r="H404" s="136" t="s">
        <v>75</v>
      </c>
      <c r="I404" s="137">
        <v>20530.12</v>
      </c>
      <c r="J404" s="137">
        <f>I404/D398</f>
        <v>6.93</v>
      </c>
      <c r="K404" s="137">
        <v>9</v>
      </c>
    </row>
    <row r="405" spans="1:11" x14ac:dyDescent="0.35">
      <c r="A405" s="277">
        <f>A398+1</f>
        <v>8</v>
      </c>
      <c r="B405" s="277">
        <v>324</v>
      </c>
      <c r="C405" s="286" t="s">
        <v>264</v>
      </c>
      <c r="D405" s="295">
        <v>3374.5</v>
      </c>
      <c r="E405" s="295" t="s">
        <v>74</v>
      </c>
      <c r="F405" s="344">
        <v>5</v>
      </c>
      <c r="G405" s="277" t="s">
        <v>71</v>
      </c>
      <c r="H405" s="136" t="s">
        <v>72</v>
      </c>
      <c r="I405" s="137">
        <f>I406+I407</f>
        <v>5737346.5800000001</v>
      </c>
      <c r="J405" s="137">
        <f>J406+J407</f>
        <v>1700.21</v>
      </c>
      <c r="K405" s="137">
        <f>K406+K407</f>
        <v>2831</v>
      </c>
    </row>
    <row r="406" spans="1:11" x14ac:dyDescent="0.35">
      <c r="A406" s="277">
        <v>75</v>
      </c>
      <c r="B406" s="277"/>
      <c r="C406" s="286"/>
      <c r="D406" s="295"/>
      <c r="E406" s="295"/>
      <c r="F406" s="344"/>
      <c r="G406" s="277"/>
      <c r="H406" s="136" t="s">
        <v>73</v>
      </c>
      <c r="I406" s="137">
        <v>5617139.79</v>
      </c>
      <c r="J406" s="137">
        <f>I406/D405+0.01</f>
        <v>1664.59</v>
      </c>
      <c r="K406" s="137">
        <v>2772</v>
      </c>
    </row>
    <row r="407" spans="1:11" x14ac:dyDescent="0.35">
      <c r="A407" s="277">
        <v>76</v>
      </c>
      <c r="B407" s="277"/>
      <c r="C407" s="286"/>
      <c r="D407" s="295"/>
      <c r="E407" s="295"/>
      <c r="F407" s="344"/>
      <c r="G407" s="277"/>
      <c r="H407" s="136" t="s">
        <v>75</v>
      </c>
      <c r="I407" s="137">
        <v>120206.79</v>
      </c>
      <c r="J407" s="137">
        <f>I407/D405</f>
        <v>35.619999999999997</v>
      </c>
      <c r="K407" s="137">
        <v>59</v>
      </c>
    </row>
    <row r="408" spans="1:11" x14ac:dyDescent="0.35">
      <c r="A408" s="277">
        <f>A405+1</f>
        <v>9</v>
      </c>
      <c r="B408" s="277">
        <v>373</v>
      </c>
      <c r="C408" s="286" t="s">
        <v>265</v>
      </c>
      <c r="D408" s="287">
        <v>3339.5</v>
      </c>
      <c r="E408" s="287" t="s">
        <v>74</v>
      </c>
      <c r="F408" s="304">
        <v>5</v>
      </c>
      <c r="G408" s="146"/>
      <c r="H408" s="136" t="s">
        <v>72</v>
      </c>
      <c r="I408" s="137">
        <f>I409+I410+I411+I412+I413+I414</f>
        <v>4598043.3600000003</v>
      </c>
      <c r="J408" s="137">
        <f>J409+J410+J411+J412+J413+J414</f>
        <v>1376.87</v>
      </c>
      <c r="K408" s="137">
        <f>K409+K410+K411+K412+K413+K414</f>
        <v>3055</v>
      </c>
    </row>
    <row r="409" spans="1:11" x14ac:dyDescent="0.35">
      <c r="A409" s="277">
        <v>882</v>
      </c>
      <c r="B409" s="277"/>
      <c r="C409" s="286"/>
      <c r="D409" s="287"/>
      <c r="E409" s="287"/>
      <c r="F409" s="304"/>
      <c r="G409" s="277" t="s">
        <v>76</v>
      </c>
      <c r="H409" s="136" t="s">
        <v>73</v>
      </c>
      <c r="I409" s="137">
        <v>3631407.38</v>
      </c>
      <c r="J409" s="137">
        <f>I409/D408+0.01</f>
        <v>1087.42</v>
      </c>
      <c r="K409" s="137">
        <v>2119</v>
      </c>
    </row>
    <row r="410" spans="1:11" x14ac:dyDescent="0.35">
      <c r="A410" s="277">
        <v>883</v>
      </c>
      <c r="B410" s="277"/>
      <c r="C410" s="286"/>
      <c r="D410" s="287"/>
      <c r="E410" s="287"/>
      <c r="F410" s="304"/>
      <c r="G410" s="277"/>
      <c r="H410" s="136" t="s">
        <v>75</v>
      </c>
      <c r="I410" s="137">
        <v>50089.15</v>
      </c>
      <c r="J410" s="137">
        <f>I410/D408</f>
        <v>15</v>
      </c>
      <c r="K410" s="137">
        <v>45</v>
      </c>
    </row>
    <row r="411" spans="1:11" x14ac:dyDescent="0.35">
      <c r="A411" s="277">
        <v>884</v>
      </c>
      <c r="B411" s="277"/>
      <c r="C411" s="286"/>
      <c r="D411" s="287"/>
      <c r="E411" s="287"/>
      <c r="F411" s="304"/>
      <c r="G411" s="277" t="s">
        <v>77</v>
      </c>
      <c r="H411" s="136" t="s">
        <v>73</v>
      </c>
      <c r="I411" s="137">
        <v>320798.92</v>
      </c>
      <c r="J411" s="137">
        <f>I411/D408</f>
        <v>96.06</v>
      </c>
      <c r="K411" s="137">
        <v>463</v>
      </c>
    </row>
    <row r="412" spans="1:11" x14ac:dyDescent="0.35">
      <c r="A412" s="277">
        <v>885</v>
      </c>
      <c r="B412" s="277"/>
      <c r="C412" s="286"/>
      <c r="D412" s="287"/>
      <c r="E412" s="287"/>
      <c r="F412" s="304"/>
      <c r="G412" s="277"/>
      <c r="H412" s="136" t="s">
        <v>75</v>
      </c>
      <c r="I412" s="137">
        <v>16696.38</v>
      </c>
      <c r="J412" s="137">
        <f>I412/D408</f>
        <v>5</v>
      </c>
      <c r="K412" s="137">
        <v>10</v>
      </c>
    </row>
    <row r="413" spans="1:11" x14ac:dyDescent="0.35">
      <c r="A413" s="277">
        <v>886</v>
      </c>
      <c r="B413" s="277"/>
      <c r="C413" s="286"/>
      <c r="D413" s="287"/>
      <c r="E413" s="287"/>
      <c r="F413" s="304"/>
      <c r="G413" s="277" t="s">
        <v>78</v>
      </c>
      <c r="H413" s="136" t="s">
        <v>73</v>
      </c>
      <c r="I413" s="137">
        <v>567364.06000000006</v>
      </c>
      <c r="J413" s="137">
        <f>I413/D408</f>
        <v>169.89</v>
      </c>
      <c r="K413" s="137">
        <v>409</v>
      </c>
    </row>
    <row r="414" spans="1:11" x14ac:dyDescent="0.35">
      <c r="A414" s="277">
        <v>887</v>
      </c>
      <c r="B414" s="277"/>
      <c r="C414" s="286"/>
      <c r="D414" s="287"/>
      <c r="E414" s="287"/>
      <c r="F414" s="304"/>
      <c r="G414" s="277"/>
      <c r="H414" s="136" t="s">
        <v>75</v>
      </c>
      <c r="I414" s="137">
        <v>11687.47</v>
      </c>
      <c r="J414" s="137">
        <f>I414/D408</f>
        <v>3.5</v>
      </c>
      <c r="K414" s="137">
        <v>9</v>
      </c>
    </row>
    <row r="415" spans="1:11" x14ac:dyDescent="0.35">
      <c r="A415" s="277">
        <f>A408+1</f>
        <v>10</v>
      </c>
      <c r="B415" s="277">
        <v>339</v>
      </c>
      <c r="C415" s="286" t="s">
        <v>266</v>
      </c>
      <c r="D415" s="287">
        <v>7469.5</v>
      </c>
      <c r="E415" s="287" t="s">
        <v>74</v>
      </c>
      <c r="F415" s="304">
        <v>5</v>
      </c>
      <c r="G415" s="277" t="s">
        <v>71</v>
      </c>
      <c r="H415" s="136" t="s">
        <v>72</v>
      </c>
      <c r="I415" s="137">
        <f>I416+I417</f>
        <v>2311662.9900000002</v>
      </c>
      <c r="J415" s="137">
        <f>J416+J417</f>
        <v>309.48</v>
      </c>
      <c r="K415" s="137">
        <f>K416+K417</f>
        <v>2936</v>
      </c>
    </row>
    <row r="416" spans="1:11" ht="46.5" x14ac:dyDescent="0.35">
      <c r="A416" s="277">
        <v>75</v>
      </c>
      <c r="B416" s="277"/>
      <c r="C416" s="286"/>
      <c r="D416" s="287"/>
      <c r="E416" s="287"/>
      <c r="F416" s="304"/>
      <c r="G416" s="277"/>
      <c r="H416" s="136" t="s">
        <v>673</v>
      </c>
      <c r="I416" s="137">
        <f>44060.27+2037.93</f>
        <v>46098.2</v>
      </c>
      <c r="J416" s="137">
        <f>I416/D415</f>
        <v>6.17</v>
      </c>
      <c r="K416" s="137">
        <f>151+13</f>
        <v>164</v>
      </c>
    </row>
    <row r="417" spans="1:11" x14ac:dyDescent="0.35">
      <c r="A417" s="277">
        <v>77</v>
      </c>
      <c r="B417" s="277"/>
      <c r="C417" s="286"/>
      <c r="D417" s="287"/>
      <c r="E417" s="287"/>
      <c r="F417" s="304"/>
      <c r="G417" s="277"/>
      <c r="H417" s="136" t="s">
        <v>73</v>
      </c>
      <c r="I417" s="137">
        <f>7551882.63*0.3</f>
        <v>2265564.79</v>
      </c>
      <c r="J417" s="137">
        <f>I417/D415</f>
        <v>303.31</v>
      </c>
      <c r="K417" s="137">
        <v>2772</v>
      </c>
    </row>
    <row r="418" spans="1:11" x14ac:dyDescent="0.35">
      <c r="A418" s="277">
        <f>A415+1</f>
        <v>11</v>
      </c>
      <c r="B418" s="277">
        <v>124</v>
      </c>
      <c r="C418" s="286" t="s">
        <v>267</v>
      </c>
      <c r="D418" s="287">
        <v>562.79999999999995</v>
      </c>
      <c r="E418" s="287" t="s">
        <v>633</v>
      </c>
      <c r="F418" s="304">
        <v>2</v>
      </c>
      <c r="G418" s="277" t="s">
        <v>71</v>
      </c>
      <c r="H418" s="136" t="s">
        <v>72</v>
      </c>
      <c r="I418" s="137">
        <f>I419+I420</f>
        <v>2478607.6</v>
      </c>
      <c r="J418" s="137">
        <f>J419+J420</f>
        <v>4404.0600000000004</v>
      </c>
      <c r="K418" s="137">
        <f>K419+K420</f>
        <v>7066</v>
      </c>
    </row>
    <row r="419" spans="1:11" x14ac:dyDescent="0.35">
      <c r="A419" s="277">
        <v>75</v>
      </c>
      <c r="B419" s="277"/>
      <c r="C419" s="286"/>
      <c r="D419" s="287"/>
      <c r="E419" s="287"/>
      <c r="F419" s="304"/>
      <c r="G419" s="277"/>
      <c r="H419" s="136" t="s">
        <v>73</v>
      </c>
      <c r="I419" s="137">
        <v>2450475</v>
      </c>
      <c r="J419" s="137">
        <f>I419/D418-0.01</f>
        <v>4354.07</v>
      </c>
      <c r="K419" s="137">
        <v>6918</v>
      </c>
    </row>
    <row r="420" spans="1:11" x14ac:dyDescent="0.35">
      <c r="A420" s="277">
        <v>76</v>
      </c>
      <c r="B420" s="277"/>
      <c r="C420" s="286"/>
      <c r="D420" s="287"/>
      <c r="E420" s="287"/>
      <c r="F420" s="304"/>
      <c r="G420" s="277"/>
      <c r="H420" s="136" t="s">
        <v>75</v>
      </c>
      <c r="I420" s="137">
        <v>28132.6</v>
      </c>
      <c r="J420" s="137">
        <f>I420/D418</f>
        <v>49.99</v>
      </c>
      <c r="K420" s="137">
        <v>148</v>
      </c>
    </row>
    <row r="421" spans="1:11" x14ac:dyDescent="0.35">
      <c r="A421" s="277">
        <f>A418+1</f>
        <v>12</v>
      </c>
      <c r="B421" s="277">
        <v>626</v>
      </c>
      <c r="C421" s="286" t="s">
        <v>268</v>
      </c>
      <c r="D421" s="287">
        <v>2793.5</v>
      </c>
      <c r="E421" s="287" t="s">
        <v>70</v>
      </c>
      <c r="F421" s="304">
        <v>5</v>
      </c>
      <c r="G421" s="277" t="s">
        <v>71</v>
      </c>
      <c r="H421" s="136" t="s">
        <v>72</v>
      </c>
      <c r="I421" s="137">
        <f>I422+I423</f>
        <v>2778445.98</v>
      </c>
      <c r="J421" s="137">
        <f>J422+J423</f>
        <v>994.61</v>
      </c>
      <c r="K421" s="137">
        <f>K422+K423</f>
        <v>2936</v>
      </c>
    </row>
    <row r="422" spans="1:11" ht="46.5" x14ac:dyDescent="0.35">
      <c r="A422" s="277">
        <v>75</v>
      </c>
      <c r="B422" s="277"/>
      <c r="C422" s="286"/>
      <c r="D422" s="287"/>
      <c r="E422" s="287"/>
      <c r="F422" s="304"/>
      <c r="G422" s="277"/>
      <c r="H422" s="136" t="s">
        <v>673</v>
      </c>
      <c r="I422" s="137">
        <f>419055.88+D421*13</f>
        <v>455371.38</v>
      </c>
      <c r="J422" s="137">
        <f>I422/D421</f>
        <v>163.01</v>
      </c>
      <c r="K422" s="137">
        <f>151+13</f>
        <v>164</v>
      </c>
    </row>
    <row r="423" spans="1:11" x14ac:dyDescent="0.35">
      <c r="A423" s="277"/>
      <c r="B423" s="277"/>
      <c r="C423" s="286"/>
      <c r="D423" s="287"/>
      <c r="E423" s="287"/>
      <c r="F423" s="304"/>
      <c r="G423" s="277"/>
      <c r="H423" s="136" t="s">
        <v>73</v>
      </c>
      <c r="I423" s="137">
        <f>K423*D421*0.3</f>
        <v>2323074.6</v>
      </c>
      <c r="J423" s="137">
        <f>I423/D421</f>
        <v>831.6</v>
      </c>
      <c r="K423" s="137">
        <v>2772</v>
      </c>
    </row>
    <row r="424" spans="1:11" x14ac:dyDescent="0.35">
      <c r="A424" s="277">
        <f>A421+1</f>
        <v>13</v>
      </c>
      <c r="B424" s="277">
        <v>842</v>
      </c>
      <c r="C424" s="286" t="s">
        <v>269</v>
      </c>
      <c r="D424" s="287">
        <v>4014.5</v>
      </c>
      <c r="E424" s="287" t="s">
        <v>70</v>
      </c>
      <c r="F424" s="304">
        <v>5</v>
      </c>
      <c r="G424" s="277" t="s">
        <v>71</v>
      </c>
      <c r="H424" s="136" t="s">
        <v>72</v>
      </c>
      <c r="I424" s="137">
        <f>I425</f>
        <v>611106.02</v>
      </c>
      <c r="J424" s="137">
        <f>J425</f>
        <v>152.22</v>
      </c>
      <c r="K424" s="137">
        <f>K425</f>
        <v>164</v>
      </c>
    </row>
    <row r="425" spans="1:11" ht="46.5" x14ac:dyDescent="0.35">
      <c r="A425" s="277">
        <v>75</v>
      </c>
      <c r="B425" s="277"/>
      <c r="C425" s="286"/>
      <c r="D425" s="287"/>
      <c r="E425" s="287"/>
      <c r="F425" s="304"/>
      <c r="G425" s="277"/>
      <c r="H425" s="136" t="s">
        <v>673</v>
      </c>
      <c r="I425" s="137">
        <f>558917.52+D424*13</f>
        <v>611106.02</v>
      </c>
      <c r="J425" s="137">
        <f>I425/D424</f>
        <v>152.22</v>
      </c>
      <c r="K425" s="137">
        <f>151+13</f>
        <v>164</v>
      </c>
    </row>
    <row r="426" spans="1:11" x14ac:dyDescent="0.35">
      <c r="A426" s="277">
        <f>A424+1</f>
        <v>14</v>
      </c>
      <c r="B426" s="277">
        <v>767</v>
      </c>
      <c r="C426" s="286" t="s">
        <v>270</v>
      </c>
      <c r="D426" s="287">
        <v>1666.3</v>
      </c>
      <c r="E426" s="287" t="s">
        <v>74</v>
      </c>
      <c r="F426" s="304">
        <v>4</v>
      </c>
      <c r="G426" s="277" t="s">
        <v>71</v>
      </c>
      <c r="H426" s="136" t="s">
        <v>72</v>
      </c>
      <c r="I426" s="137">
        <f>I427</f>
        <v>179219.18</v>
      </c>
      <c r="J426" s="137">
        <f>J427</f>
        <v>107.56</v>
      </c>
      <c r="K426" s="137">
        <f>K427</f>
        <v>164</v>
      </c>
    </row>
    <row r="427" spans="1:11" ht="58.5" customHeight="1" x14ac:dyDescent="0.35">
      <c r="A427" s="277">
        <v>75</v>
      </c>
      <c r="B427" s="277"/>
      <c r="C427" s="286"/>
      <c r="D427" s="287"/>
      <c r="E427" s="287"/>
      <c r="F427" s="304"/>
      <c r="G427" s="277"/>
      <c r="H427" s="136" t="s">
        <v>673</v>
      </c>
      <c r="I427" s="137">
        <v>179219.18</v>
      </c>
      <c r="J427" s="137">
        <f>I427/D426</f>
        <v>107.56</v>
      </c>
      <c r="K427" s="137">
        <f>151+13</f>
        <v>164</v>
      </c>
    </row>
    <row r="428" spans="1:11" x14ac:dyDescent="0.35">
      <c r="A428" s="277">
        <f>A426+1</f>
        <v>15</v>
      </c>
      <c r="B428" s="277">
        <v>759</v>
      </c>
      <c r="C428" s="286" t="s">
        <v>271</v>
      </c>
      <c r="D428" s="287">
        <v>1217.5</v>
      </c>
      <c r="E428" s="287" t="s">
        <v>74</v>
      </c>
      <c r="F428" s="304">
        <v>4</v>
      </c>
      <c r="G428" s="277" t="s">
        <v>71</v>
      </c>
      <c r="H428" s="136" t="s">
        <v>72</v>
      </c>
      <c r="I428" s="137">
        <f>I429+I430</f>
        <v>1845303.48</v>
      </c>
      <c r="J428" s="137">
        <f>J429+J430</f>
        <v>1515.65</v>
      </c>
      <c r="K428" s="137">
        <f>K429+K430</f>
        <v>4793</v>
      </c>
    </row>
    <row r="429" spans="1:11" ht="57" customHeight="1" x14ac:dyDescent="0.35">
      <c r="A429" s="277">
        <v>75</v>
      </c>
      <c r="B429" s="277"/>
      <c r="C429" s="286"/>
      <c r="D429" s="287"/>
      <c r="E429" s="287"/>
      <c r="F429" s="304"/>
      <c r="G429" s="277"/>
      <c r="H429" s="136" t="s">
        <v>673</v>
      </c>
      <c r="I429" s="137">
        <f>138733.73+D428*13</f>
        <v>154561.23000000001</v>
      </c>
      <c r="J429" s="137">
        <f>I429/D428</f>
        <v>126.95</v>
      </c>
      <c r="K429" s="137">
        <f>151+13</f>
        <v>164</v>
      </c>
    </row>
    <row r="430" spans="1:11" x14ac:dyDescent="0.35">
      <c r="A430" s="277"/>
      <c r="B430" s="277"/>
      <c r="C430" s="286"/>
      <c r="D430" s="287"/>
      <c r="E430" s="287"/>
      <c r="F430" s="304"/>
      <c r="G430" s="277"/>
      <c r="H430" s="136" t="s">
        <v>73</v>
      </c>
      <c r="I430" s="137">
        <f>K430*D428*0.3</f>
        <v>1690742.25</v>
      </c>
      <c r="J430" s="137">
        <f>I430/D428</f>
        <v>1388.7</v>
      </c>
      <c r="K430" s="137">
        <v>4629</v>
      </c>
    </row>
    <row r="431" spans="1:11" x14ac:dyDescent="0.35">
      <c r="A431" s="277">
        <f>A428+1</f>
        <v>16</v>
      </c>
      <c r="B431" s="277">
        <v>845</v>
      </c>
      <c r="C431" s="286" t="s">
        <v>272</v>
      </c>
      <c r="D431" s="287">
        <v>2810.3</v>
      </c>
      <c r="E431" s="287" t="s">
        <v>74</v>
      </c>
      <c r="F431" s="304">
        <v>5</v>
      </c>
      <c r="G431" s="277" t="s">
        <v>71</v>
      </c>
      <c r="H431" s="136" t="s">
        <v>72</v>
      </c>
      <c r="I431" s="137">
        <f>I432</f>
        <v>215887.41</v>
      </c>
      <c r="J431" s="137">
        <f>J432</f>
        <v>76.819999999999993</v>
      </c>
      <c r="K431" s="137">
        <f>K432</f>
        <v>164</v>
      </c>
    </row>
    <row r="432" spans="1:11" ht="58.5" customHeight="1" x14ac:dyDescent="0.35">
      <c r="A432" s="277"/>
      <c r="B432" s="277"/>
      <c r="C432" s="286"/>
      <c r="D432" s="287"/>
      <c r="E432" s="287"/>
      <c r="F432" s="304"/>
      <c r="G432" s="277"/>
      <c r="H432" s="136" t="s">
        <v>673</v>
      </c>
      <c r="I432" s="137">
        <f>179353.51+D431*13</f>
        <v>215887.41</v>
      </c>
      <c r="J432" s="137">
        <f>I432/D431</f>
        <v>76.819999999999993</v>
      </c>
      <c r="K432" s="137">
        <f>151+13</f>
        <v>164</v>
      </c>
    </row>
    <row r="433" spans="1:11" x14ac:dyDescent="0.35">
      <c r="A433" s="277">
        <f>A431+1</f>
        <v>17</v>
      </c>
      <c r="B433" s="277">
        <v>202</v>
      </c>
      <c r="C433" s="286" t="s">
        <v>273</v>
      </c>
      <c r="D433" s="287">
        <v>1028.7</v>
      </c>
      <c r="E433" s="287" t="s">
        <v>79</v>
      </c>
      <c r="F433" s="304">
        <v>3</v>
      </c>
      <c r="G433" s="277" t="s">
        <v>71</v>
      </c>
      <c r="H433" s="136" t="s">
        <v>72</v>
      </c>
      <c r="I433" s="137">
        <f>I434+I435</f>
        <v>2958165.6</v>
      </c>
      <c r="J433" s="137">
        <f>J434+J435</f>
        <v>2875.63</v>
      </c>
      <c r="K433" s="137">
        <f>K434+K435</f>
        <v>4728</v>
      </c>
    </row>
    <row r="434" spans="1:11" x14ac:dyDescent="0.35">
      <c r="A434" s="277">
        <v>75</v>
      </c>
      <c r="B434" s="277"/>
      <c r="C434" s="286"/>
      <c r="D434" s="287"/>
      <c r="E434" s="287"/>
      <c r="F434" s="304"/>
      <c r="G434" s="277"/>
      <c r="H434" s="136" t="s">
        <v>73</v>
      </c>
      <c r="I434" s="137">
        <v>2920859</v>
      </c>
      <c r="J434" s="137">
        <f>I434/D433-0.01</f>
        <v>2839.36</v>
      </c>
      <c r="K434" s="137">
        <v>4629</v>
      </c>
    </row>
    <row r="435" spans="1:11" x14ac:dyDescent="0.35">
      <c r="A435" s="277">
        <v>76</v>
      </c>
      <c r="B435" s="277"/>
      <c r="C435" s="286"/>
      <c r="D435" s="287"/>
      <c r="E435" s="287"/>
      <c r="F435" s="304"/>
      <c r="G435" s="277"/>
      <c r="H435" s="136" t="s">
        <v>75</v>
      </c>
      <c r="I435" s="137">
        <v>37306.6</v>
      </c>
      <c r="J435" s="137">
        <f>I435/D433</f>
        <v>36.270000000000003</v>
      </c>
      <c r="K435" s="137">
        <v>99</v>
      </c>
    </row>
    <row r="436" spans="1:11" x14ac:dyDescent="0.35">
      <c r="A436" s="277">
        <f>A433+1</f>
        <v>18</v>
      </c>
      <c r="B436" s="277">
        <v>236</v>
      </c>
      <c r="C436" s="286" t="s">
        <v>274</v>
      </c>
      <c r="D436" s="287">
        <v>741.7</v>
      </c>
      <c r="E436" s="287" t="s">
        <v>79</v>
      </c>
      <c r="F436" s="304">
        <v>2</v>
      </c>
      <c r="G436" s="277" t="s">
        <v>71</v>
      </c>
      <c r="H436" s="136" t="s">
        <v>72</v>
      </c>
      <c r="I436" s="137">
        <f>I437+I438</f>
        <v>3115705.07</v>
      </c>
      <c r="J436" s="137">
        <f>J437+J438</f>
        <v>4200.76</v>
      </c>
      <c r="K436" s="137">
        <f>K437+K438</f>
        <v>7066</v>
      </c>
    </row>
    <row r="437" spans="1:11" x14ac:dyDescent="0.35">
      <c r="A437" s="277">
        <v>75</v>
      </c>
      <c r="B437" s="277"/>
      <c r="C437" s="286"/>
      <c r="D437" s="287"/>
      <c r="E437" s="287"/>
      <c r="F437" s="304"/>
      <c r="G437" s="277"/>
      <c r="H437" s="136" t="s">
        <v>73</v>
      </c>
      <c r="I437" s="137">
        <v>3074467.27</v>
      </c>
      <c r="J437" s="137">
        <f>I437/D436</f>
        <v>4145.16</v>
      </c>
      <c r="K437" s="137">
        <v>6918</v>
      </c>
    </row>
    <row r="438" spans="1:11" x14ac:dyDescent="0.35">
      <c r="A438" s="277">
        <v>76</v>
      </c>
      <c r="B438" s="277"/>
      <c r="C438" s="286"/>
      <c r="D438" s="287"/>
      <c r="E438" s="287"/>
      <c r="F438" s="304"/>
      <c r="G438" s="277"/>
      <c r="H438" s="136" t="s">
        <v>75</v>
      </c>
      <c r="I438" s="137">
        <v>41237.800000000003</v>
      </c>
      <c r="J438" s="137">
        <f>I438/D436</f>
        <v>55.6</v>
      </c>
      <c r="K438" s="137">
        <v>148</v>
      </c>
    </row>
    <row r="439" spans="1:11" x14ac:dyDescent="0.35">
      <c r="A439" s="277">
        <f>A436+1</f>
        <v>19</v>
      </c>
      <c r="B439" s="277">
        <v>664</v>
      </c>
      <c r="C439" s="286" t="s">
        <v>275</v>
      </c>
      <c r="D439" s="287">
        <v>4429</v>
      </c>
      <c r="E439" s="287" t="s">
        <v>70</v>
      </c>
      <c r="F439" s="304">
        <v>5</v>
      </c>
      <c r="G439" s="277" t="s">
        <v>71</v>
      </c>
      <c r="H439" s="136" t="s">
        <v>72</v>
      </c>
      <c r="I439" s="137">
        <f>I440</f>
        <v>695011.08</v>
      </c>
      <c r="J439" s="137">
        <f>J440</f>
        <v>156.91999999999999</v>
      </c>
      <c r="K439" s="137">
        <f>K440</f>
        <v>164</v>
      </c>
    </row>
    <row r="440" spans="1:11" ht="59.5" customHeight="1" x14ac:dyDescent="0.35">
      <c r="A440" s="277">
        <v>75</v>
      </c>
      <c r="B440" s="277"/>
      <c r="C440" s="286"/>
      <c r="D440" s="287"/>
      <c r="E440" s="287"/>
      <c r="F440" s="304"/>
      <c r="G440" s="277"/>
      <c r="H440" s="136" t="s">
        <v>673</v>
      </c>
      <c r="I440" s="137">
        <f>664637.88+30373.2</f>
        <v>695011.08</v>
      </c>
      <c r="J440" s="137">
        <f>I440/D439</f>
        <v>156.91999999999999</v>
      </c>
      <c r="K440" s="137">
        <f>151+13</f>
        <v>164</v>
      </c>
    </row>
    <row r="441" spans="1:11" x14ac:dyDescent="0.35">
      <c r="A441" s="277">
        <f>A439+1</f>
        <v>20</v>
      </c>
      <c r="B441" s="277">
        <v>883</v>
      </c>
      <c r="C441" s="286" t="s">
        <v>276</v>
      </c>
      <c r="D441" s="287">
        <v>6735.9</v>
      </c>
      <c r="E441" s="287" t="s">
        <v>70</v>
      </c>
      <c r="F441" s="304">
        <v>10</v>
      </c>
      <c r="G441" s="146"/>
      <c r="H441" s="136" t="s">
        <v>72</v>
      </c>
      <c r="I441" s="137">
        <f>SUM(I442:I447)</f>
        <v>3888446.08</v>
      </c>
      <c r="J441" s="137">
        <f>SUM(J442:J447)</f>
        <v>577.27</v>
      </c>
      <c r="K441" s="137">
        <f>SUM(K442:K447)</f>
        <v>777.35</v>
      </c>
    </row>
    <row r="442" spans="1:11" x14ac:dyDescent="0.35">
      <c r="A442" s="277">
        <v>756</v>
      </c>
      <c r="B442" s="277"/>
      <c r="C442" s="286"/>
      <c r="D442" s="287"/>
      <c r="E442" s="287"/>
      <c r="F442" s="304"/>
      <c r="G442" s="277" t="s">
        <v>641</v>
      </c>
      <c r="H442" s="136" t="s">
        <v>642</v>
      </c>
      <c r="I442" s="137">
        <v>1277859.47</v>
      </c>
      <c r="J442" s="137">
        <f>I442/D441+0.01</f>
        <v>189.72</v>
      </c>
      <c r="K442" s="137">
        <f>1708823/D441-0.01</f>
        <v>253.68</v>
      </c>
    </row>
    <row r="443" spans="1:11" x14ac:dyDescent="0.35">
      <c r="A443" s="277">
        <v>757</v>
      </c>
      <c r="B443" s="277"/>
      <c r="C443" s="286"/>
      <c r="D443" s="287"/>
      <c r="E443" s="287"/>
      <c r="F443" s="304"/>
      <c r="G443" s="277"/>
      <c r="H443" s="136" t="s">
        <v>75</v>
      </c>
      <c r="I443" s="137">
        <v>18283.330000000002</v>
      </c>
      <c r="J443" s="137">
        <f>I443/D441</f>
        <v>2.71</v>
      </c>
      <c r="K443" s="137">
        <f>36569/D441</f>
        <v>5.43</v>
      </c>
    </row>
    <row r="444" spans="1:11" x14ac:dyDescent="0.35">
      <c r="A444" s="277"/>
      <c r="B444" s="277"/>
      <c r="C444" s="286"/>
      <c r="D444" s="287"/>
      <c r="E444" s="287"/>
      <c r="F444" s="304"/>
      <c r="G444" s="277" t="s">
        <v>647</v>
      </c>
      <c r="H444" s="136" t="s">
        <v>642</v>
      </c>
      <c r="I444" s="137">
        <v>1277877.1399999999</v>
      </c>
      <c r="J444" s="137">
        <f>I444/D441</f>
        <v>189.71</v>
      </c>
      <c r="K444" s="137">
        <f>1708823/D441</f>
        <v>253.69</v>
      </c>
    </row>
    <row r="445" spans="1:11" x14ac:dyDescent="0.35">
      <c r="A445" s="277"/>
      <c r="B445" s="277"/>
      <c r="C445" s="286"/>
      <c r="D445" s="287"/>
      <c r="E445" s="287"/>
      <c r="F445" s="304"/>
      <c r="G445" s="277"/>
      <c r="H445" s="136" t="s">
        <v>75</v>
      </c>
      <c r="I445" s="137">
        <v>18283.330000000002</v>
      </c>
      <c r="J445" s="137">
        <f>I445/D441</f>
        <v>2.71</v>
      </c>
      <c r="K445" s="137">
        <f>36569/D441</f>
        <v>5.43</v>
      </c>
    </row>
    <row r="446" spans="1:11" x14ac:dyDescent="0.35">
      <c r="A446" s="277"/>
      <c r="B446" s="277"/>
      <c r="C446" s="286"/>
      <c r="D446" s="287"/>
      <c r="E446" s="287"/>
      <c r="F446" s="304"/>
      <c r="G446" s="277" t="s">
        <v>648</v>
      </c>
      <c r="H446" s="136" t="s">
        <v>642</v>
      </c>
      <c r="I446" s="137">
        <v>1277859.47</v>
      </c>
      <c r="J446" s="137">
        <f>I446/D441</f>
        <v>189.71</v>
      </c>
      <c r="K446" s="137">
        <f>1708823/D441</f>
        <v>253.69</v>
      </c>
    </row>
    <row r="447" spans="1:11" x14ac:dyDescent="0.35">
      <c r="A447" s="277"/>
      <c r="B447" s="277"/>
      <c r="C447" s="286"/>
      <c r="D447" s="287"/>
      <c r="E447" s="287"/>
      <c r="F447" s="304"/>
      <c r="G447" s="277"/>
      <c r="H447" s="136" t="s">
        <v>75</v>
      </c>
      <c r="I447" s="137">
        <v>18283.34</v>
      </c>
      <c r="J447" s="137">
        <f>I447/D441</f>
        <v>2.71</v>
      </c>
      <c r="K447" s="137">
        <f>36569/D441</f>
        <v>5.43</v>
      </c>
    </row>
    <row r="448" spans="1:11" x14ac:dyDescent="0.35">
      <c r="A448" s="277">
        <f>A441+1</f>
        <v>21</v>
      </c>
      <c r="B448" s="277">
        <v>585</v>
      </c>
      <c r="C448" s="286" t="s">
        <v>277</v>
      </c>
      <c r="D448" s="287">
        <v>4627.3999999999996</v>
      </c>
      <c r="E448" s="287" t="s">
        <v>74</v>
      </c>
      <c r="F448" s="304">
        <v>5</v>
      </c>
      <c r="G448" s="277" t="s">
        <v>71</v>
      </c>
      <c r="H448" s="136" t="s">
        <v>72</v>
      </c>
      <c r="I448" s="137">
        <f>I449+I450</f>
        <v>4160040.58</v>
      </c>
      <c r="J448" s="137">
        <f>J449+J450</f>
        <v>899</v>
      </c>
      <c r="K448" s="137">
        <f>K449+K450</f>
        <v>2936</v>
      </c>
    </row>
    <row r="449" spans="1:11" ht="56" customHeight="1" x14ac:dyDescent="0.35">
      <c r="A449" s="277">
        <v>75</v>
      </c>
      <c r="B449" s="277"/>
      <c r="C449" s="286"/>
      <c r="D449" s="287"/>
      <c r="E449" s="287"/>
      <c r="F449" s="304"/>
      <c r="G449" s="277"/>
      <c r="H449" s="136" t="s">
        <v>673</v>
      </c>
      <c r="I449" s="137">
        <f>251738.54+D448*13</f>
        <v>311894.74</v>
      </c>
      <c r="J449" s="137">
        <f>I449/D448</f>
        <v>67.400000000000006</v>
      </c>
      <c r="K449" s="137">
        <f>151+13</f>
        <v>164</v>
      </c>
    </row>
    <row r="450" spans="1:11" x14ac:dyDescent="0.35">
      <c r="A450" s="277"/>
      <c r="B450" s="277"/>
      <c r="C450" s="286"/>
      <c r="D450" s="287"/>
      <c r="E450" s="287"/>
      <c r="F450" s="304"/>
      <c r="G450" s="277"/>
      <c r="H450" s="136" t="s">
        <v>73</v>
      </c>
      <c r="I450" s="137">
        <f>K450*D448*0.3</f>
        <v>3848145.84</v>
      </c>
      <c r="J450" s="137">
        <f>I450/D448</f>
        <v>831.6</v>
      </c>
      <c r="K450" s="137">
        <v>2772</v>
      </c>
    </row>
    <row r="451" spans="1:11" x14ac:dyDescent="0.35">
      <c r="A451" s="277">
        <f>A448+1</f>
        <v>22</v>
      </c>
      <c r="B451" s="277">
        <v>293</v>
      </c>
      <c r="C451" s="286" t="s">
        <v>279</v>
      </c>
      <c r="D451" s="273">
        <v>1262.0999999999999</v>
      </c>
      <c r="E451" s="273" t="s">
        <v>74</v>
      </c>
      <c r="F451" s="282">
        <v>4</v>
      </c>
      <c r="G451" s="277" t="s">
        <v>71</v>
      </c>
      <c r="H451" s="136" t="s">
        <v>72</v>
      </c>
      <c r="I451" s="137">
        <f>I452+I453</f>
        <v>2710650.86</v>
      </c>
      <c r="J451" s="137">
        <f>J452+J453</f>
        <v>2147.73</v>
      </c>
      <c r="K451" s="137">
        <f>K452+K453</f>
        <v>4728</v>
      </c>
    </row>
    <row r="452" spans="1:11" x14ac:dyDescent="0.35">
      <c r="A452" s="277">
        <v>75</v>
      </c>
      <c r="B452" s="277"/>
      <c r="C452" s="286"/>
      <c r="D452" s="274"/>
      <c r="E452" s="274"/>
      <c r="F452" s="283"/>
      <c r="G452" s="277"/>
      <c r="H452" s="136" t="s">
        <v>73</v>
      </c>
      <c r="I452" s="137">
        <v>2654696.79</v>
      </c>
      <c r="J452" s="137">
        <f>I452/D451</f>
        <v>2103.4</v>
      </c>
      <c r="K452" s="137">
        <v>4629</v>
      </c>
    </row>
    <row r="453" spans="1:11" x14ac:dyDescent="0.35">
      <c r="A453" s="277">
        <v>76</v>
      </c>
      <c r="B453" s="277"/>
      <c r="C453" s="286"/>
      <c r="D453" s="275"/>
      <c r="E453" s="275"/>
      <c r="F453" s="284"/>
      <c r="G453" s="277"/>
      <c r="H453" s="136" t="s">
        <v>75</v>
      </c>
      <c r="I453" s="137">
        <v>55954.07</v>
      </c>
      <c r="J453" s="137">
        <f>I453/D451</f>
        <v>44.33</v>
      </c>
      <c r="K453" s="137">
        <v>99</v>
      </c>
    </row>
    <row r="454" spans="1:11" x14ac:dyDescent="0.35">
      <c r="A454" s="277">
        <f>A451+1</f>
        <v>23</v>
      </c>
      <c r="B454" s="277">
        <v>527</v>
      </c>
      <c r="C454" s="286" t="s">
        <v>280</v>
      </c>
      <c r="D454" s="287">
        <v>3506</v>
      </c>
      <c r="E454" s="287" t="s">
        <v>70</v>
      </c>
      <c r="F454" s="304">
        <v>5</v>
      </c>
      <c r="G454" s="277" t="s">
        <v>71</v>
      </c>
      <c r="H454" s="136" t="s">
        <v>72</v>
      </c>
      <c r="I454" s="137">
        <f>I455+I456</f>
        <v>3149883.64</v>
      </c>
      <c r="J454" s="137">
        <f>J455+J456</f>
        <v>898.43</v>
      </c>
      <c r="K454" s="137">
        <f>K455+K456</f>
        <v>2936</v>
      </c>
    </row>
    <row r="455" spans="1:11" ht="46.5" x14ac:dyDescent="0.35">
      <c r="A455" s="277">
        <v>75</v>
      </c>
      <c r="B455" s="277"/>
      <c r="C455" s="286"/>
      <c r="D455" s="287"/>
      <c r="E455" s="287"/>
      <c r="F455" s="304"/>
      <c r="G455" s="277"/>
      <c r="H455" s="136" t="s">
        <v>673</v>
      </c>
      <c r="I455" s="137">
        <v>234294.04</v>
      </c>
      <c r="J455" s="137">
        <f>I455/D454</f>
        <v>66.83</v>
      </c>
      <c r="K455" s="137">
        <f>151+13</f>
        <v>164</v>
      </c>
    </row>
    <row r="456" spans="1:11" x14ac:dyDescent="0.35">
      <c r="A456" s="277"/>
      <c r="B456" s="277"/>
      <c r="C456" s="286"/>
      <c r="D456" s="287"/>
      <c r="E456" s="287"/>
      <c r="F456" s="304"/>
      <c r="G456" s="277"/>
      <c r="H456" s="136" t="s">
        <v>73</v>
      </c>
      <c r="I456" s="137">
        <f>K456*D454*0.3</f>
        <v>2915589.6</v>
      </c>
      <c r="J456" s="137">
        <f>I456/D454</f>
        <v>831.6</v>
      </c>
      <c r="K456" s="137">
        <v>2772</v>
      </c>
    </row>
    <row r="457" spans="1:11" x14ac:dyDescent="0.35">
      <c r="A457" s="277">
        <f>A454+1</f>
        <v>24</v>
      </c>
      <c r="B457" s="277">
        <v>860</v>
      </c>
      <c r="C457" s="286" t="s">
        <v>281</v>
      </c>
      <c r="D457" s="287">
        <v>3521.6</v>
      </c>
      <c r="E457" s="287" t="s">
        <v>74</v>
      </c>
      <c r="F457" s="304">
        <v>6</v>
      </c>
      <c r="G457" s="277" t="s">
        <v>71</v>
      </c>
      <c r="H457" s="136" t="s">
        <v>72</v>
      </c>
      <c r="I457" s="137">
        <f>I458</f>
        <v>245941.8</v>
      </c>
      <c r="J457" s="137">
        <f>J458</f>
        <v>69.84</v>
      </c>
      <c r="K457" s="137">
        <f>K458</f>
        <v>164</v>
      </c>
    </row>
    <row r="458" spans="1:11" ht="46.5" x14ac:dyDescent="0.35">
      <c r="A458" s="277">
        <v>75</v>
      </c>
      <c r="B458" s="277"/>
      <c r="C458" s="286"/>
      <c r="D458" s="287"/>
      <c r="E458" s="287"/>
      <c r="F458" s="304"/>
      <c r="G458" s="277"/>
      <c r="H458" s="136" t="s">
        <v>673</v>
      </c>
      <c r="I458" s="137">
        <f>200161+D457*13</f>
        <v>245941.8</v>
      </c>
      <c r="J458" s="137">
        <f>I458/D457</f>
        <v>69.84</v>
      </c>
      <c r="K458" s="137">
        <f>151+13</f>
        <v>164</v>
      </c>
    </row>
    <row r="459" spans="1:11" x14ac:dyDescent="0.35">
      <c r="A459" s="277">
        <f>A457+1</f>
        <v>25</v>
      </c>
      <c r="B459" s="277">
        <v>414</v>
      </c>
      <c r="C459" s="286" t="s">
        <v>282</v>
      </c>
      <c r="D459" s="287">
        <v>2522.1999999999998</v>
      </c>
      <c r="E459" s="287" t="s">
        <v>74</v>
      </c>
      <c r="F459" s="304">
        <v>4</v>
      </c>
      <c r="G459" s="277" t="s">
        <v>71</v>
      </c>
      <c r="H459" s="136" t="s">
        <v>72</v>
      </c>
      <c r="I459" s="137">
        <f>I460+I461</f>
        <v>5464498.3899999997</v>
      </c>
      <c r="J459" s="137">
        <f>J460+J461</f>
        <v>2166.56</v>
      </c>
      <c r="K459" s="137">
        <f>K460+K461</f>
        <v>4728</v>
      </c>
    </row>
    <row r="460" spans="1:11" x14ac:dyDescent="0.35">
      <c r="A460" s="277">
        <v>75</v>
      </c>
      <c r="B460" s="277"/>
      <c r="C460" s="286"/>
      <c r="D460" s="287"/>
      <c r="E460" s="287"/>
      <c r="F460" s="304"/>
      <c r="G460" s="277"/>
      <c r="H460" s="136" t="s">
        <v>73</v>
      </c>
      <c r="I460" s="137">
        <v>5350008.21</v>
      </c>
      <c r="J460" s="137">
        <f>I460/D459</f>
        <v>2121.17</v>
      </c>
      <c r="K460" s="137">
        <v>4629</v>
      </c>
    </row>
    <row r="461" spans="1:11" x14ac:dyDescent="0.35">
      <c r="A461" s="277">
        <v>76</v>
      </c>
      <c r="B461" s="277"/>
      <c r="C461" s="286"/>
      <c r="D461" s="287"/>
      <c r="E461" s="287"/>
      <c r="F461" s="304"/>
      <c r="G461" s="277"/>
      <c r="H461" s="136" t="s">
        <v>75</v>
      </c>
      <c r="I461" s="137">
        <v>114490.18</v>
      </c>
      <c r="J461" s="137">
        <f>I461/D459</f>
        <v>45.39</v>
      </c>
      <c r="K461" s="137">
        <v>99</v>
      </c>
    </row>
    <row r="462" spans="1:11" x14ac:dyDescent="0.35">
      <c r="A462" s="277">
        <f>A459+1</f>
        <v>26</v>
      </c>
      <c r="B462" s="277">
        <v>546</v>
      </c>
      <c r="C462" s="286" t="s">
        <v>283</v>
      </c>
      <c r="D462" s="287">
        <v>3568.8</v>
      </c>
      <c r="E462" s="287" t="s">
        <v>70</v>
      </c>
      <c r="F462" s="304">
        <v>5</v>
      </c>
      <c r="G462" s="277" t="s">
        <v>71</v>
      </c>
      <c r="H462" s="136" t="s">
        <v>72</v>
      </c>
      <c r="I462" s="137">
        <f>I463+I464</f>
        <v>3523559.48</v>
      </c>
      <c r="J462" s="137">
        <f>J463+J464</f>
        <v>987.32</v>
      </c>
      <c r="K462" s="137">
        <f>K463+K464</f>
        <v>2936</v>
      </c>
    </row>
    <row r="463" spans="1:11" ht="46.5" x14ac:dyDescent="0.35">
      <c r="A463" s="277">
        <v>75</v>
      </c>
      <c r="B463" s="277"/>
      <c r="C463" s="286"/>
      <c r="D463" s="287"/>
      <c r="E463" s="287"/>
      <c r="F463" s="304"/>
      <c r="G463" s="277"/>
      <c r="H463" s="136" t="s">
        <v>673</v>
      </c>
      <c r="I463" s="137">
        <f>535243.49+20501.91</f>
        <v>555745.4</v>
      </c>
      <c r="J463" s="137">
        <f>I463/D462</f>
        <v>155.72</v>
      </c>
      <c r="K463" s="137">
        <f>151+13</f>
        <v>164</v>
      </c>
    </row>
    <row r="464" spans="1:11" x14ac:dyDescent="0.35">
      <c r="A464" s="277"/>
      <c r="B464" s="277"/>
      <c r="C464" s="286"/>
      <c r="D464" s="287"/>
      <c r="E464" s="287"/>
      <c r="F464" s="304"/>
      <c r="G464" s="277"/>
      <c r="H464" s="136" t="s">
        <v>73</v>
      </c>
      <c r="I464" s="137">
        <f>K464*D462*0.3</f>
        <v>2967814.08</v>
      </c>
      <c r="J464" s="137">
        <f>I464/D462</f>
        <v>831.6</v>
      </c>
      <c r="K464" s="137">
        <v>2772</v>
      </c>
    </row>
    <row r="465" spans="1:11" x14ac:dyDescent="0.35">
      <c r="A465" s="277">
        <f>A462+1</f>
        <v>27</v>
      </c>
      <c r="B465" s="277">
        <v>559</v>
      </c>
      <c r="C465" s="286" t="s">
        <v>284</v>
      </c>
      <c r="D465" s="287">
        <v>3585.2</v>
      </c>
      <c r="E465" s="287" t="s">
        <v>70</v>
      </c>
      <c r="F465" s="304">
        <v>5</v>
      </c>
      <c r="G465" s="277" t="s">
        <v>71</v>
      </c>
      <c r="H465" s="136" t="s">
        <v>72</v>
      </c>
      <c r="I465" s="137">
        <f>I466+I467</f>
        <v>3210129.94</v>
      </c>
      <c r="J465" s="137">
        <f>J466+J467</f>
        <v>895.38</v>
      </c>
      <c r="K465" s="137">
        <f>K466+K467</f>
        <v>2936</v>
      </c>
    </row>
    <row r="466" spans="1:11" ht="46.5" x14ac:dyDescent="0.35">
      <c r="A466" s="277">
        <v>75</v>
      </c>
      <c r="B466" s="277"/>
      <c r="C466" s="286"/>
      <c r="D466" s="287"/>
      <c r="E466" s="287"/>
      <c r="F466" s="304"/>
      <c r="G466" s="277"/>
      <c r="H466" s="136" t="s">
        <v>673</v>
      </c>
      <c r="I466" s="137">
        <f>209996.93+18680.69</f>
        <v>228677.62</v>
      </c>
      <c r="J466" s="137">
        <f>I466/D465</f>
        <v>63.78</v>
      </c>
      <c r="K466" s="137">
        <f>151+13</f>
        <v>164</v>
      </c>
    </row>
    <row r="467" spans="1:11" x14ac:dyDescent="0.35">
      <c r="A467" s="277"/>
      <c r="B467" s="277"/>
      <c r="C467" s="286"/>
      <c r="D467" s="287"/>
      <c r="E467" s="287"/>
      <c r="F467" s="304"/>
      <c r="G467" s="277"/>
      <c r="H467" s="136" t="s">
        <v>73</v>
      </c>
      <c r="I467" s="137">
        <f>K467*D465*0.3</f>
        <v>2981452.32</v>
      </c>
      <c r="J467" s="137">
        <f>I467/D465</f>
        <v>831.6</v>
      </c>
      <c r="K467" s="137">
        <v>2772</v>
      </c>
    </row>
    <row r="468" spans="1:11" x14ac:dyDescent="0.35">
      <c r="A468" s="277">
        <f>A465+1</f>
        <v>28</v>
      </c>
      <c r="B468" s="277">
        <v>524</v>
      </c>
      <c r="C468" s="286" t="s">
        <v>285</v>
      </c>
      <c r="D468" s="287">
        <v>3856.05</v>
      </c>
      <c r="E468" s="287" t="s">
        <v>74</v>
      </c>
      <c r="F468" s="304">
        <v>5</v>
      </c>
      <c r="G468" s="277" t="s">
        <v>71</v>
      </c>
      <c r="H468" s="136" t="s">
        <v>72</v>
      </c>
      <c r="I468" s="137">
        <f>I469+I470</f>
        <v>2688445.24</v>
      </c>
      <c r="J468" s="137">
        <f>J469+J470</f>
        <v>697.2</v>
      </c>
      <c r="K468" s="137">
        <f>K469+K470</f>
        <v>2936</v>
      </c>
    </row>
    <row r="469" spans="1:11" ht="46.5" x14ac:dyDescent="0.35">
      <c r="A469" s="277">
        <v>75</v>
      </c>
      <c r="B469" s="277"/>
      <c r="C469" s="286"/>
      <c r="D469" s="287"/>
      <c r="E469" s="287"/>
      <c r="F469" s="304"/>
      <c r="G469" s="277"/>
      <c r="H469" s="136" t="s">
        <v>673</v>
      </c>
      <c r="I469" s="137">
        <f>217226.47+50048.05</f>
        <v>267274.52</v>
      </c>
      <c r="J469" s="137">
        <f>I469/D468</f>
        <v>69.31</v>
      </c>
      <c r="K469" s="137">
        <f>151+13</f>
        <v>164</v>
      </c>
    </row>
    <row r="470" spans="1:11" x14ac:dyDescent="0.35">
      <c r="A470" s="277"/>
      <c r="B470" s="277"/>
      <c r="C470" s="286"/>
      <c r="D470" s="287"/>
      <c r="E470" s="287"/>
      <c r="F470" s="304"/>
      <c r="G470" s="277"/>
      <c r="H470" s="136" t="s">
        <v>73</v>
      </c>
      <c r="I470" s="137">
        <f>8070569.08*0.3</f>
        <v>2421170.7200000002</v>
      </c>
      <c r="J470" s="137">
        <f>I470/D468</f>
        <v>627.89</v>
      </c>
      <c r="K470" s="137">
        <v>2772</v>
      </c>
    </row>
    <row r="471" spans="1:11" x14ac:dyDescent="0.35">
      <c r="A471" s="277">
        <f>A468+1</f>
        <v>29</v>
      </c>
      <c r="B471" s="277">
        <v>509</v>
      </c>
      <c r="C471" s="286" t="s">
        <v>286</v>
      </c>
      <c r="D471" s="287">
        <v>3004.2</v>
      </c>
      <c r="E471" s="287" t="s">
        <v>74</v>
      </c>
      <c r="F471" s="304">
        <v>5</v>
      </c>
      <c r="G471" s="277" t="s">
        <v>71</v>
      </c>
      <c r="H471" s="136" t="s">
        <v>72</v>
      </c>
      <c r="I471" s="137">
        <f>I472+I473</f>
        <v>2472001.6</v>
      </c>
      <c r="J471" s="137">
        <f>J472+J473</f>
        <v>822.85</v>
      </c>
      <c r="K471" s="137">
        <f>K472+K473</f>
        <v>2936</v>
      </c>
    </row>
    <row r="472" spans="1:11" ht="46.5" x14ac:dyDescent="0.35">
      <c r="A472" s="277">
        <v>75</v>
      </c>
      <c r="B472" s="277"/>
      <c r="C472" s="286"/>
      <c r="D472" s="287"/>
      <c r="E472" s="287"/>
      <c r="F472" s="304"/>
      <c r="G472" s="277"/>
      <c r="H472" s="136" t="s">
        <v>673</v>
      </c>
      <c r="I472" s="137">
        <f>226059.68+17440</f>
        <v>243499.68</v>
      </c>
      <c r="J472" s="137">
        <f>I472/D471</f>
        <v>81.05</v>
      </c>
      <c r="K472" s="137">
        <f>151+13</f>
        <v>164</v>
      </c>
    </row>
    <row r="473" spans="1:11" x14ac:dyDescent="0.35">
      <c r="A473" s="277"/>
      <c r="B473" s="277"/>
      <c r="C473" s="286"/>
      <c r="D473" s="287"/>
      <c r="E473" s="287"/>
      <c r="F473" s="304"/>
      <c r="G473" s="277"/>
      <c r="H473" s="136" t="s">
        <v>73</v>
      </c>
      <c r="I473" s="137">
        <f>7428339.72*0.3</f>
        <v>2228501.92</v>
      </c>
      <c r="J473" s="137">
        <f>I473/D471</f>
        <v>741.8</v>
      </c>
      <c r="K473" s="137">
        <v>2772</v>
      </c>
    </row>
    <row r="474" spans="1:11" x14ac:dyDescent="0.35">
      <c r="A474" s="277">
        <f>A471+1</f>
        <v>30</v>
      </c>
      <c r="B474" s="277">
        <v>617</v>
      </c>
      <c r="C474" s="286" t="s">
        <v>287</v>
      </c>
      <c r="D474" s="287">
        <v>4525.22</v>
      </c>
      <c r="E474" s="287" t="s">
        <v>74</v>
      </c>
      <c r="F474" s="304">
        <v>5</v>
      </c>
      <c r="G474" s="277" t="s">
        <v>71</v>
      </c>
      <c r="H474" s="136" t="s">
        <v>72</v>
      </c>
      <c r="I474" s="137">
        <f>I475+I476</f>
        <v>3153965.94</v>
      </c>
      <c r="J474" s="137">
        <f>J475+J476</f>
        <v>696.98</v>
      </c>
      <c r="K474" s="137">
        <f>K475+K476</f>
        <v>2936</v>
      </c>
    </row>
    <row r="475" spans="1:11" ht="46.5" x14ac:dyDescent="0.35">
      <c r="A475" s="277">
        <v>75</v>
      </c>
      <c r="B475" s="277"/>
      <c r="C475" s="286"/>
      <c r="D475" s="287"/>
      <c r="E475" s="287"/>
      <c r="F475" s="304"/>
      <c r="G475" s="277"/>
      <c r="H475" s="136" t="s">
        <v>673</v>
      </c>
      <c r="I475" s="137">
        <f>273591.61+19440</f>
        <v>293031.61</v>
      </c>
      <c r="J475" s="137">
        <f>I475/D474</f>
        <v>64.760000000000005</v>
      </c>
      <c r="K475" s="137">
        <f>151+13</f>
        <v>164</v>
      </c>
    </row>
    <row r="476" spans="1:11" x14ac:dyDescent="0.35">
      <c r="A476" s="277"/>
      <c r="B476" s="277"/>
      <c r="C476" s="286"/>
      <c r="D476" s="287"/>
      <c r="E476" s="287"/>
      <c r="F476" s="304"/>
      <c r="G476" s="277"/>
      <c r="H476" s="136" t="s">
        <v>73</v>
      </c>
      <c r="I476" s="137">
        <f>9536447.77*0.3</f>
        <v>2860934.33</v>
      </c>
      <c r="J476" s="137">
        <f>I476/D474</f>
        <v>632.22</v>
      </c>
      <c r="K476" s="137">
        <v>2772</v>
      </c>
    </row>
    <row r="477" spans="1:11" ht="13.5" customHeight="1" x14ac:dyDescent="0.35">
      <c r="A477" s="277">
        <f>A474+1</f>
        <v>31</v>
      </c>
      <c r="B477" s="277">
        <v>574</v>
      </c>
      <c r="C477" s="286" t="s">
        <v>290</v>
      </c>
      <c r="D477" s="287">
        <v>3042.6</v>
      </c>
      <c r="E477" s="287" t="s">
        <v>74</v>
      </c>
      <c r="F477" s="304">
        <v>5</v>
      </c>
      <c r="G477" s="277" t="s">
        <v>71</v>
      </c>
      <c r="H477" s="136" t="s">
        <v>72</v>
      </c>
      <c r="I477" s="137">
        <f>I478+I479</f>
        <v>2301908.66</v>
      </c>
      <c r="J477" s="137">
        <f>J478+J479</f>
        <v>756.56</v>
      </c>
      <c r="K477" s="137">
        <f>K478+K479</f>
        <v>2936</v>
      </c>
    </row>
    <row r="478" spans="1:11" ht="46.5" x14ac:dyDescent="0.35">
      <c r="A478" s="277">
        <v>75</v>
      </c>
      <c r="B478" s="277"/>
      <c r="C478" s="286"/>
      <c r="D478" s="287"/>
      <c r="E478" s="287"/>
      <c r="F478" s="304"/>
      <c r="G478" s="277"/>
      <c r="H478" s="136" t="s">
        <v>673</v>
      </c>
      <c r="I478" s="137">
        <f>232309.93+17730.94</f>
        <v>250040.87</v>
      </c>
      <c r="J478" s="137">
        <f>I478/D477</f>
        <v>82.18</v>
      </c>
      <c r="K478" s="137">
        <f>151+13</f>
        <v>164</v>
      </c>
    </row>
    <row r="479" spans="1:11" x14ac:dyDescent="0.35">
      <c r="A479" s="277"/>
      <c r="B479" s="277"/>
      <c r="C479" s="286"/>
      <c r="D479" s="287"/>
      <c r="E479" s="287"/>
      <c r="F479" s="304"/>
      <c r="G479" s="277"/>
      <c r="H479" s="136" t="s">
        <v>73</v>
      </c>
      <c r="I479" s="137">
        <f>6839559.31*0.3</f>
        <v>2051867.79</v>
      </c>
      <c r="J479" s="137">
        <f>I479/D477</f>
        <v>674.38</v>
      </c>
      <c r="K479" s="137">
        <v>2772</v>
      </c>
    </row>
    <row r="480" spans="1:11" ht="14" customHeight="1" x14ac:dyDescent="0.35">
      <c r="A480" s="277">
        <f>A477+1</f>
        <v>32</v>
      </c>
      <c r="B480" s="277">
        <v>402</v>
      </c>
      <c r="C480" s="286" t="s">
        <v>291</v>
      </c>
      <c r="D480" s="287">
        <v>1350.1</v>
      </c>
      <c r="E480" s="287" t="s">
        <v>74</v>
      </c>
      <c r="F480" s="304">
        <v>4</v>
      </c>
      <c r="G480" s="146"/>
      <c r="H480" s="136" t="s">
        <v>72</v>
      </c>
      <c r="I480" s="137">
        <f>I481+I482+I483+I484+I485+I486</f>
        <v>3275335.36</v>
      </c>
      <c r="J480" s="137">
        <f>J481+J482+J483+J484+J485+J486</f>
        <v>2425.9899999999998</v>
      </c>
      <c r="K480" s="137">
        <f>K481+K482+K483+K484+K485+K486</f>
        <v>3640</v>
      </c>
    </row>
    <row r="481" spans="1:11" x14ac:dyDescent="0.35">
      <c r="A481" s="277">
        <v>882</v>
      </c>
      <c r="B481" s="277"/>
      <c r="C481" s="286"/>
      <c r="D481" s="287"/>
      <c r="E481" s="287"/>
      <c r="F481" s="304"/>
      <c r="G481" s="277" t="s">
        <v>76</v>
      </c>
      <c r="H481" s="136" t="s">
        <v>73</v>
      </c>
      <c r="I481" s="137">
        <v>2615082.36</v>
      </c>
      <c r="J481" s="137">
        <f>I481/D480</f>
        <v>1936.95</v>
      </c>
      <c r="K481" s="137">
        <v>2691</v>
      </c>
    </row>
    <row r="482" spans="1:11" x14ac:dyDescent="0.35">
      <c r="A482" s="277">
        <v>883</v>
      </c>
      <c r="B482" s="277"/>
      <c r="C482" s="286"/>
      <c r="D482" s="287"/>
      <c r="E482" s="287"/>
      <c r="F482" s="304"/>
      <c r="G482" s="277"/>
      <c r="H482" s="136" t="s">
        <v>75</v>
      </c>
      <c r="I482" s="137">
        <v>39692.93</v>
      </c>
      <c r="J482" s="137">
        <f>I482/D480</f>
        <v>29.4</v>
      </c>
      <c r="K482" s="137">
        <v>58</v>
      </c>
    </row>
    <row r="483" spans="1:11" x14ac:dyDescent="0.35">
      <c r="A483" s="277">
        <v>884</v>
      </c>
      <c r="B483" s="277"/>
      <c r="C483" s="286"/>
      <c r="D483" s="287"/>
      <c r="E483" s="287"/>
      <c r="F483" s="304"/>
      <c r="G483" s="277" t="s">
        <v>77</v>
      </c>
      <c r="H483" s="136" t="s">
        <v>73</v>
      </c>
      <c r="I483" s="137">
        <v>206656.75</v>
      </c>
      <c r="J483" s="137">
        <f>I483/D480</f>
        <v>153.07</v>
      </c>
      <c r="K483" s="137">
        <v>463</v>
      </c>
    </row>
    <row r="484" spans="1:11" x14ac:dyDescent="0.35">
      <c r="A484" s="277">
        <v>885</v>
      </c>
      <c r="B484" s="277"/>
      <c r="C484" s="286"/>
      <c r="D484" s="287"/>
      <c r="E484" s="287"/>
      <c r="F484" s="304"/>
      <c r="G484" s="277"/>
      <c r="H484" s="136" t="s">
        <v>75</v>
      </c>
      <c r="I484" s="137">
        <v>13230.98</v>
      </c>
      <c r="J484" s="137">
        <f>I484/D480</f>
        <v>9.8000000000000007</v>
      </c>
      <c r="K484" s="137">
        <v>10</v>
      </c>
    </row>
    <row r="485" spans="1:11" x14ac:dyDescent="0.35">
      <c r="A485" s="277">
        <v>886</v>
      </c>
      <c r="B485" s="277"/>
      <c r="C485" s="286"/>
      <c r="D485" s="287"/>
      <c r="E485" s="287"/>
      <c r="F485" s="304"/>
      <c r="G485" s="277" t="s">
        <v>78</v>
      </c>
      <c r="H485" s="136" t="s">
        <v>73</v>
      </c>
      <c r="I485" s="137">
        <v>391410.65</v>
      </c>
      <c r="J485" s="137">
        <f>I485/D480</f>
        <v>289.91000000000003</v>
      </c>
      <c r="K485" s="137">
        <v>409</v>
      </c>
    </row>
    <row r="486" spans="1:11" x14ac:dyDescent="0.35">
      <c r="A486" s="277">
        <v>887</v>
      </c>
      <c r="B486" s="277"/>
      <c r="C486" s="286"/>
      <c r="D486" s="287"/>
      <c r="E486" s="287"/>
      <c r="F486" s="304"/>
      <c r="G486" s="277"/>
      <c r="H486" s="136" t="s">
        <v>75</v>
      </c>
      <c r="I486" s="137">
        <v>9261.69</v>
      </c>
      <c r="J486" s="137">
        <f>I486/D480</f>
        <v>6.86</v>
      </c>
      <c r="K486" s="137">
        <v>9</v>
      </c>
    </row>
    <row r="487" spans="1:11" ht="14" customHeight="1" x14ac:dyDescent="0.35">
      <c r="A487" s="277">
        <f>A480+1</f>
        <v>33</v>
      </c>
      <c r="B487" s="277">
        <v>566</v>
      </c>
      <c r="C487" s="278" t="s">
        <v>292</v>
      </c>
      <c r="D487" s="287">
        <v>3195.7</v>
      </c>
      <c r="E487" s="287" t="s">
        <v>74</v>
      </c>
      <c r="F487" s="304">
        <v>5</v>
      </c>
      <c r="G487" s="277" t="s">
        <v>71</v>
      </c>
      <c r="H487" s="136" t="s">
        <v>72</v>
      </c>
      <c r="I487" s="137">
        <f>I488+I489</f>
        <v>2099527.02</v>
      </c>
      <c r="J487" s="137">
        <f>J488+J489</f>
        <v>656.99</v>
      </c>
      <c r="K487" s="137">
        <f>K488+K489</f>
        <v>2936</v>
      </c>
    </row>
    <row r="488" spans="1:11" ht="46.5" x14ac:dyDescent="0.35">
      <c r="A488" s="277">
        <v>75</v>
      </c>
      <c r="B488" s="277"/>
      <c r="C488" s="279"/>
      <c r="D488" s="287"/>
      <c r="E488" s="287"/>
      <c r="F488" s="304"/>
      <c r="G488" s="277"/>
      <c r="H488" s="136" t="s">
        <v>673</v>
      </c>
      <c r="I488" s="137">
        <v>245534.68</v>
      </c>
      <c r="J488" s="137">
        <f>I488/D487+0.01</f>
        <v>76.84</v>
      </c>
      <c r="K488" s="137">
        <f>151+13</f>
        <v>164</v>
      </c>
    </row>
    <row r="489" spans="1:11" x14ac:dyDescent="0.35">
      <c r="A489" s="277"/>
      <c r="B489" s="277"/>
      <c r="C489" s="285"/>
      <c r="D489" s="287"/>
      <c r="E489" s="287"/>
      <c r="F489" s="304"/>
      <c r="G489" s="277"/>
      <c r="H489" s="136" t="s">
        <v>73</v>
      </c>
      <c r="I489" s="137">
        <f>6179974.47*0.3</f>
        <v>1853992.34</v>
      </c>
      <c r="J489" s="137">
        <f>I489/D487</f>
        <v>580.15</v>
      </c>
      <c r="K489" s="137">
        <v>2772</v>
      </c>
    </row>
    <row r="490" spans="1:11" x14ac:dyDescent="0.35">
      <c r="A490" s="277">
        <f>A487+1</f>
        <v>34</v>
      </c>
      <c r="B490" s="277">
        <v>653</v>
      </c>
      <c r="C490" s="286" t="s">
        <v>293</v>
      </c>
      <c r="D490" s="287">
        <v>3054.95</v>
      </c>
      <c r="E490" s="287" t="s">
        <v>74</v>
      </c>
      <c r="F490" s="304">
        <v>5</v>
      </c>
      <c r="G490" s="277" t="s">
        <v>71</v>
      </c>
      <c r="H490" s="136" t="s">
        <v>72</v>
      </c>
      <c r="I490" s="137">
        <f>I491+I492</f>
        <v>2247604.9700000002</v>
      </c>
      <c r="J490" s="137">
        <f>J491+J492</f>
        <v>735.73</v>
      </c>
      <c r="K490" s="137">
        <f>K491+K492</f>
        <v>2936</v>
      </c>
    </row>
    <row r="491" spans="1:11" ht="46.5" x14ac:dyDescent="0.35">
      <c r="A491" s="277">
        <v>75</v>
      </c>
      <c r="B491" s="277"/>
      <c r="C491" s="286"/>
      <c r="D491" s="287"/>
      <c r="E491" s="287"/>
      <c r="F491" s="304"/>
      <c r="G491" s="277"/>
      <c r="H491" s="136" t="s">
        <v>673</v>
      </c>
      <c r="I491" s="137">
        <v>243531.7</v>
      </c>
      <c r="J491" s="137">
        <f>I491/D490</f>
        <v>79.72</v>
      </c>
      <c r="K491" s="137">
        <f>151+13</f>
        <v>164</v>
      </c>
    </row>
    <row r="492" spans="1:11" x14ac:dyDescent="0.35">
      <c r="A492" s="277"/>
      <c r="B492" s="277"/>
      <c r="C492" s="286"/>
      <c r="D492" s="287"/>
      <c r="E492" s="287"/>
      <c r="F492" s="304"/>
      <c r="G492" s="277"/>
      <c r="H492" s="136" t="s">
        <v>73</v>
      </c>
      <c r="I492" s="137">
        <f>6680244.24*0.3</f>
        <v>2004073.27</v>
      </c>
      <c r="J492" s="137">
        <f>I492/D490</f>
        <v>656.01</v>
      </c>
      <c r="K492" s="137">
        <v>2772</v>
      </c>
    </row>
    <row r="493" spans="1:11" x14ac:dyDescent="0.35">
      <c r="A493" s="270">
        <f>A490+1</f>
        <v>35</v>
      </c>
      <c r="B493" s="270">
        <v>647</v>
      </c>
      <c r="C493" s="278" t="s">
        <v>294</v>
      </c>
      <c r="D493" s="256">
        <v>2026</v>
      </c>
      <c r="E493" s="256" t="s">
        <v>74</v>
      </c>
      <c r="F493" s="300">
        <v>9</v>
      </c>
      <c r="G493" s="146"/>
      <c r="H493" s="136" t="s">
        <v>72</v>
      </c>
      <c r="I493" s="137">
        <f>I494+I495+I496</f>
        <v>314030</v>
      </c>
      <c r="J493" s="137">
        <f>J494+J495+J496</f>
        <v>155</v>
      </c>
      <c r="K493" s="137">
        <f>K494+K495+K496</f>
        <v>155</v>
      </c>
    </row>
    <row r="494" spans="1:11" ht="46.5" x14ac:dyDescent="0.35">
      <c r="A494" s="271"/>
      <c r="B494" s="271"/>
      <c r="C494" s="279"/>
      <c r="D494" s="257"/>
      <c r="E494" s="257"/>
      <c r="F494" s="301"/>
      <c r="G494" s="141" t="s">
        <v>76</v>
      </c>
      <c r="H494" s="136" t="s">
        <v>634</v>
      </c>
      <c r="I494" s="137">
        <f>D493*K494</f>
        <v>237042</v>
      </c>
      <c r="J494" s="137">
        <f>I494/D493</f>
        <v>117</v>
      </c>
      <c r="K494" s="137">
        <f>108+9</f>
        <v>117</v>
      </c>
    </row>
    <row r="495" spans="1:11" ht="46.5" x14ac:dyDescent="0.35">
      <c r="A495" s="271"/>
      <c r="B495" s="271"/>
      <c r="C495" s="279"/>
      <c r="D495" s="257"/>
      <c r="E495" s="257"/>
      <c r="F495" s="301"/>
      <c r="G495" s="141" t="s">
        <v>77</v>
      </c>
      <c r="H495" s="136" t="s">
        <v>634</v>
      </c>
      <c r="I495" s="137">
        <f>D493*K495</f>
        <v>42546</v>
      </c>
      <c r="J495" s="137">
        <f>I495/D493</f>
        <v>21</v>
      </c>
      <c r="K495" s="137">
        <f>19+2</f>
        <v>21</v>
      </c>
    </row>
    <row r="496" spans="1:11" ht="46.5" x14ac:dyDescent="0.35">
      <c r="A496" s="271"/>
      <c r="B496" s="271"/>
      <c r="C496" s="279"/>
      <c r="D496" s="257"/>
      <c r="E496" s="257"/>
      <c r="F496" s="301"/>
      <c r="G496" s="141" t="s">
        <v>78</v>
      </c>
      <c r="H496" s="136" t="s">
        <v>634</v>
      </c>
      <c r="I496" s="137">
        <f>D493*K496</f>
        <v>34442</v>
      </c>
      <c r="J496" s="137">
        <f>I496/D493</f>
        <v>17</v>
      </c>
      <c r="K496" s="137">
        <f>16+1</f>
        <v>17</v>
      </c>
    </row>
    <row r="497" spans="1:11" x14ac:dyDescent="0.35">
      <c r="A497" s="277">
        <f>A493+1</f>
        <v>36</v>
      </c>
      <c r="B497" s="277">
        <v>472</v>
      </c>
      <c r="C497" s="286" t="s">
        <v>295</v>
      </c>
      <c r="D497" s="295">
        <v>3361.23</v>
      </c>
      <c r="E497" s="295" t="s">
        <v>74</v>
      </c>
      <c r="F497" s="344">
        <v>5</v>
      </c>
      <c r="G497" s="277" t="s">
        <v>71</v>
      </c>
      <c r="H497" s="136" t="s">
        <v>72</v>
      </c>
      <c r="I497" s="137">
        <f>I498+I499</f>
        <v>5417303.2400000002</v>
      </c>
      <c r="J497" s="137">
        <f>J498+J499</f>
        <v>1611.7</v>
      </c>
      <c r="K497" s="137">
        <f>K498+K499</f>
        <v>2831</v>
      </c>
    </row>
    <row r="498" spans="1:11" x14ac:dyDescent="0.35">
      <c r="A498" s="277">
        <v>75</v>
      </c>
      <c r="B498" s="277"/>
      <c r="C498" s="286"/>
      <c r="D498" s="295"/>
      <c r="E498" s="295"/>
      <c r="F498" s="344"/>
      <c r="G498" s="277"/>
      <c r="H498" s="136" t="s">
        <v>73</v>
      </c>
      <c r="I498" s="137">
        <v>5340083</v>
      </c>
      <c r="J498" s="137">
        <f>I498/D497</f>
        <v>1588.73</v>
      </c>
      <c r="K498" s="137">
        <v>2772</v>
      </c>
    </row>
    <row r="499" spans="1:11" x14ac:dyDescent="0.35">
      <c r="A499" s="277">
        <v>76</v>
      </c>
      <c r="B499" s="277"/>
      <c r="C499" s="286"/>
      <c r="D499" s="295"/>
      <c r="E499" s="295"/>
      <c r="F499" s="344"/>
      <c r="G499" s="277"/>
      <c r="H499" s="136" t="s">
        <v>75</v>
      </c>
      <c r="I499" s="137">
        <v>77220.240000000005</v>
      </c>
      <c r="J499" s="137">
        <f>I499/D497</f>
        <v>22.97</v>
      </c>
      <c r="K499" s="137">
        <v>59</v>
      </c>
    </row>
    <row r="500" spans="1:11" x14ac:dyDescent="0.35">
      <c r="A500" s="277">
        <f>A497+1</f>
        <v>37</v>
      </c>
      <c r="B500" s="277">
        <v>362</v>
      </c>
      <c r="C500" s="286" t="s">
        <v>296</v>
      </c>
      <c r="D500" s="287">
        <v>632.6</v>
      </c>
      <c r="E500" s="287" t="s">
        <v>79</v>
      </c>
      <c r="F500" s="304">
        <v>2</v>
      </c>
      <c r="G500" s="277" t="s">
        <v>71</v>
      </c>
      <c r="H500" s="136" t="s">
        <v>72</v>
      </c>
      <c r="I500" s="137">
        <f>I501+I502</f>
        <v>2925112.4</v>
      </c>
      <c r="J500" s="137">
        <f>J501+J502</f>
        <v>4623.95</v>
      </c>
      <c r="K500" s="137">
        <f>K501+K502</f>
        <v>7066</v>
      </c>
    </row>
    <row r="501" spans="1:11" x14ac:dyDescent="0.35">
      <c r="A501" s="277">
        <v>75</v>
      </c>
      <c r="B501" s="277"/>
      <c r="C501" s="286"/>
      <c r="D501" s="287"/>
      <c r="E501" s="287"/>
      <c r="F501" s="304"/>
      <c r="G501" s="277"/>
      <c r="H501" s="136" t="s">
        <v>73</v>
      </c>
      <c r="I501" s="137">
        <v>2890096</v>
      </c>
      <c r="J501" s="137">
        <f>I501/D500</f>
        <v>4568.6000000000004</v>
      </c>
      <c r="K501" s="137">
        <v>6918</v>
      </c>
    </row>
    <row r="502" spans="1:11" x14ac:dyDescent="0.35">
      <c r="A502" s="277">
        <v>76</v>
      </c>
      <c r="B502" s="277"/>
      <c r="C502" s="286"/>
      <c r="D502" s="287"/>
      <c r="E502" s="287"/>
      <c r="F502" s="304"/>
      <c r="G502" s="277"/>
      <c r="H502" s="136" t="s">
        <v>75</v>
      </c>
      <c r="I502" s="137">
        <v>35016.400000000001</v>
      </c>
      <c r="J502" s="137">
        <f>I502/D500</f>
        <v>55.35</v>
      </c>
      <c r="K502" s="137">
        <v>148</v>
      </c>
    </row>
    <row r="503" spans="1:11" x14ac:dyDescent="0.35">
      <c r="A503" s="277">
        <f>A500+1</f>
        <v>38</v>
      </c>
      <c r="B503" s="277">
        <v>465</v>
      </c>
      <c r="C503" s="286" t="s">
        <v>297</v>
      </c>
      <c r="D503" s="273">
        <v>620.79999999999995</v>
      </c>
      <c r="E503" s="273" t="s">
        <v>74</v>
      </c>
      <c r="F503" s="282">
        <v>2</v>
      </c>
      <c r="G503" s="277" t="s">
        <v>71</v>
      </c>
      <c r="H503" s="136" t="s">
        <v>72</v>
      </c>
      <c r="I503" s="137">
        <f>I504+I505</f>
        <v>2945000.09</v>
      </c>
      <c r="J503" s="137">
        <f>J504+J505</f>
        <v>4743.88</v>
      </c>
      <c r="K503" s="137">
        <f>K504+K505</f>
        <v>7066</v>
      </c>
    </row>
    <row r="504" spans="1:11" x14ac:dyDescent="0.35">
      <c r="A504" s="277">
        <v>75</v>
      </c>
      <c r="B504" s="277"/>
      <c r="C504" s="286"/>
      <c r="D504" s="274"/>
      <c r="E504" s="274"/>
      <c r="F504" s="283"/>
      <c r="G504" s="277"/>
      <c r="H504" s="136" t="s">
        <v>73</v>
      </c>
      <c r="I504" s="137">
        <v>2909950</v>
      </c>
      <c r="J504" s="137">
        <f>I504/D503</f>
        <v>4687.42</v>
      </c>
      <c r="K504" s="137">
        <v>6918</v>
      </c>
    </row>
    <row r="505" spans="1:11" x14ac:dyDescent="0.35">
      <c r="A505" s="277">
        <v>76</v>
      </c>
      <c r="B505" s="277"/>
      <c r="C505" s="286"/>
      <c r="D505" s="275"/>
      <c r="E505" s="275"/>
      <c r="F505" s="284"/>
      <c r="G505" s="277"/>
      <c r="H505" s="136" t="s">
        <v>75</v>
      </c>
      <c r="I505" s="137">
        <v>35050.089999999997</v>
      </c>
      <c r="J505" s="137">
        <f>I505/D503</f>
        <v>56.46</v>
      </c>
      <c r="K505" s="137">
        <v>148</v>
      </c>
    </row>
    <row r="506" spans="1:11" x14ac:dyDescent="0.35">
      <c r="A506" s="277">
        <f>A503+1</f>
        <v>39</v>
      </c>
      <c r="B506" s="277">
        <v>296</v>
      </c>
      <c r="C506" s="286" t="s">
        <v>298</v>
      </c>
      <c r="D506" s="287">
        <v>1337.8</v>
      </c>
      <c r="E506" s="287" t="s">
        <v>79</v>
      </c>
      <c r="F506" s="304">
        <v>2</v>
      </c>
      <c r="G506" s="277" t="s">
        <v>71</v>
      </c>
      <c r="H506" s="136" t="s">
        <v>72</v>
      </c>
      <c r="I506" s="137">
        <f>I507+I508</f>
        <v>6751531.5999999996</v>
      </c>
      <c r="J506" s="137">
        <f>J507+J508</f>
        <v>5046.74</v>
      </c>
      <c r="K506" s="137">
        <f>K507+K508</f>
        <v>7066</v>
      </c>
    </row>
    <row r="507" spans="1:11" x14ac:dyDescent="0.35">
      <c r="A507" s="277">
        <v>75</v>
      </c>
      <c r="B507" s="277"/>
      <c r="C507" s="286"/>
      <c r="D507" s="287"/>
      <c r="E507" s="287"/>
      <c r="F507" s="304"/>
      <c r="G507" s="277"/>
      <c r="H507" s="136" t="s">
        <v>73</v>
      </c>
      <c r="I507" s="137">
        <v>6669220.0800000001</v>
      </c>
      <c r="J507" s="137">
        <f>I507/D506</f>
        <v>4985.21</v>
      </c>
      <c r="K507" s="137">
        <v>6918</v>
      </c>
    </row>
    <row r="508" spans="1:11" x14ac:dyDescent="0.35">
      <c r="A508" s="277">
        <v>76</v>
      </c>
      <c r="B508" s="277"/>
      <c r="C508" s="286"/>
      <c r="D508" s="287"/>
      <c r="E508" s="287"/>
      <c r="F508" s="304"/>
      <c r="G508" s="277"/>
      <c r="H508" s="136" t="s">
        <v>75</v>
      </c>
      <c r="I508" s="137">
        <v>82311.520000000004</v>
      </c>
      <c r="J508" s="137">
        <f>I508/D506</f>
        <v>61.53</v>
      </c>
      <c r="K508" s="137">
        <v>148</v>
      </c>
    </row>
    <row r="509" spans="1:11" x14ac:dyDescent="0.35">
      <c r="A509" s="277">
        <f>A506+1</f>
        <v>40</v>
      </c>
      <c r="B509" s="277">
        <v>532</v>
      </c>
      <c r="C509" s="286" t="s">
        <v>299</v>
      </c>
      <c r="D509" s="287">
        <v>3750.3</v>
      </c>
      <c r="E509" s="287" t="s">
        <v>74</v>
      </c>
      <c r="F509" s="304">
        <v>5</v>
      </c>
      <c r="G509" s="277" t="s">
        <v>71</v>
      </c>
      <c r="H509" s="136" t="s">
        <v>72</v>
      </c>
      <c r="I509" s="137">
        <f>I510+I511</f>
        <v>2934509.96</v>
      </c>
      <c r="J509" s="137">
        <f>J510+J511</f>
        <v>782.47</v>
      </c>
      <c r="K509" s="137">
        <f>K510+K511</f>
        <v>2936</v>
      </c>
    </row>
    <row r="510" spans="1:11" ht="46.5" x14ac:dyDescent="0.35">
      <c r="A510" s="277">
        <v>75</v>
      </c>
      <c r="B510" s="277"/>
      <c r="C510" s="286"/>
      <c r="D510" s="287"/>
      <c r="E510" s="287"/>
      <c r="F510" s="304"/>
      <c r="G510" s="277"/>
      <c r="H510" s="136" t="s">
        <v>673</v>
      </c>
      <c r="I510" s="137">
        <v>223297.95</v>
      </c>
      <c r="J510" s="137">
        <f>I510/D509</f>
        <v>59.54</v>
      </c>
      <c r="K510" s="137">
        <f>151+13</f>
        <v>164</v>
      </c>
    </row>
    <row r="511" spans="1:11" x14ac:dyDescent="0.35">
      <c r="A511" s="277"/>
      <c r="B511" s="277"/>
      <c r="C511" s="286"/>
      <c r="D511" s="287"/>
      <c r="E511" s="287"/>
      <c r="F511" s="304"/>
      <c r="G511" s="277"/>
      <c r="H511" s="136" t="s">
        <v>73</v>
      </c>
      <c r="I511" s="137">
        <f>9037373.35*0.3</f>
        <v>2711212.01</v>
      </c>
      <c r="J511" s="137">
        <f>I511/D509</f>
        <v>722.93</v>
      </c>
      <c r="K511" s="137">
        <v>2772</v>
      </c>
    </row>
    <row r="512" spans="1:11" ht="14" customHeight="1" x14ac:dyDescent="0.35">
      <c r="A512" s="277">
        <f>A509+1</f>
        <v>41</v>
      </c>
      <c r="B512" s="277">
        <v>588</v>
      </c>
      <c r="C512" s="286" t="s">
        <v>300</v>
      </c>
      <c r="D512" s="287">
        <v>1171.8</v>
      </c>
      <c r="E512" s="287" t="s">
        <v>74</v>
      </c>
      <c r="F512" s="304">
        <v>5</v>
      </c>
      <c r="G512" s="277" t="s">
        <v>71</v>
      </c>
      <c r="H512" s="136" t="s">
        <v>72</v>
      </c>
      <c r="I512" s="137">
        <f>I513+I514</f>
        <v>1165275.05</v>
      </c>
      <c r="J512" s="137">
        <f>J513+J514</f>
        <v>994.43</v>
      </c>
      <c r="K512" s="137">
        <f>K513+K514</f>
        <v>2936</v>
      </c>
    </row>
    <row r="513" spans="1:11" ht="46.5" x14ac:dyDescent="0.35">
      <c r="A513" s="277">
        <v>75</v>
      </c>
      <c r="B513" s="277"/>
      <c r="C513" s="286"/>
      <c r="D513" s="287"/>
      <c r="E513" s="287"/>
      <c r="F513" s="304"/>
      <c r="G513" s="277"/>
      <c r="H513" s="136" t="s">
        <v>673</v>
      </c>
      <c r="I513" s="137">
        <v>190806.17</v>
      </c>
      <c r="J513" s="137">
        <f>I513/D512</f>
        <v>162.83000000000001</v>
      </c>
      <c r="K513" s="137">
        <f>151+13</f>
        <v>164</v>
      </c>
    </row>
    <row r="514" spans="1:11" x14ac:dyDescent="0.35">
      <c r="A514" s="277"/>
      <c r="B514" s="277"/>
      <c r="C514" s="286"/>
      <c r="D514" s="287"/>
      <c r="E514" s="287"/>
      <c r="F514" s="304"/>
      <c r="G514" s="277"/>
      <c r="H514" s="136" t="s">
        <v>73</v>
      </c>
      <c r="I514" s="137">
        <f>K514*D512*0.3</f>
        <v>974468.88</v>
      </c>
      <c r="J514" s="137">
        <f>I514/D512</f>
        <v>831.6</v>
      </c>
      <c r="K514" s="137">
        <v>2772</v>
      </c>
    </row>
    <row r="515" spans="1:11" ht="13.5" customHeight="1" x14ac:dyDescent="0.35">
      <c r="A515" s="277">
        <f>A512+1</f>
        <v>42</v>
      </c>
      <c r="B515" s="277">
        <v>667</v>
      </c>
      <c r="C515" s="286" t="s">
        <v>301</v>
      </c>
      <c r="D515" s="287">
        <v>2331.8000000000002</v>
      </c>
      <c r="E515" s="287" t="s">
        <v>74</v>
      </c>
      <c r="F515" s="304">
        <v>5</v>
      </c>
      <c r="G515" s="277" t="s">
        <v>71</v>
      </c>
      <c r="H515" s="136" t="s">
        <v>72</v>
      </c>
      <c r="I515" s="137">
        <f>I516</f>
        <v>373034.39</v>
      </c>
      <c r="J515" s="137">
        <f>J516</f>
        <v>159.97999999999999</v>
      </c>
      <c r="K515" s="137">
        <f>K516</f>
        <v>164</v>
      </c>
    </row>
    <row r="516" spans="1:11" ht="46.5" x14ac:dyDescent="0.35">
      <c r="A516" s="277">
        <v>75</v>
      </c>
      <c r="B516" s="277"/>
      <c r="C516" s="286"/>
      <c r="D516" s="287"/>
      <c r="E516" s="287"/>
      <c r="F516" s="304"/>
      <c r="G516" s="277"/>
      <c r="H516" s="136" t="s">
        <v>673</v>
      </c>
      <c r="I516" s="137">
        <v>373034.39</v>
      </c>
      <c r="J516" s="137">
        <f>I516/D515</f>
        <v>159.97999999999999</v>
      </c>
      <c r="K516" s="137">
        <f>151+13</f>
        <v>164</v>
      </c>
    </row>
    <row r="517" spans="1:11" ht="13.5" customHeight="1" x14ac:dyDescent="0.35">
      <c r="A517" s="270">
        <f>A515+1</f>
        <v>43</v>
      </c>
      <c r="B517" s="270">
        <v>554</v>
      </c>
      <c r="C517" s="278" t="s">
        <v>302</v>
      </c>
      <c r="D517" s="273">
        <v>3545.5</v>
      </c>
      <c r="E517" s="273" t="s">
        <v>74</v>
      </c>
      <c r="F517" s="282">
        <v>5</v>
      </c>
      <c r="G517" s="277" t="s">
        <v>76</v>
      </c>
      <c r="H517" s="136" t="s">
        <v>72</v>
      </c>
      <c r="I517" s="137">
        <f>I518+I519+I520+I521+I522+I523</f>
        <v>3195891.68</v>
      </c>
      <c r="J517" s="137">
        <f>J518+J519+J520+J521+J522+J523</f>
        <v>901.39</v>
      </c>
      <c r="K517" s="137">
        <f>K518+K519+K520+K521+K522+K523</f>
        <v>3121</v>
      </c>
    </row>
    <row r="518" spans="1:11" ht="46.5" x14ac:dyDescent="0.35">
      <c r="A518" s="271"/>
      <c r="B518" s="271"/>
      <c r="C518" s="279"/>
      <c r="D518" s="274"/>
      <c r="E518" s="274"/>
      <c r="F518" s="283"/>
      <c r="G518" s="277"/>
      <c r="H518" s="136" t="s">
        <v>634</v>
      </c>
      <c r="I518" s="137">
        <f>226471.63+D517*7</f>
        <v>251290.13</v>
      </c>
      <c r="J518" s="137">
        <f>I518/D517</f>
        <v>70.88</v>
      </c>
      <c r="K518" s="137">
        <f>85+7</f>
        <v>92</v>
      </c>
    </row>
    <row r="519" spans="1:11" x14ac:dyDescent="0.35">
      <c r="A519" s="271"/>
      <c r="B519" s="271"/>
      <c r="C519" s="279"/>
      <c r="D519" s="274"/>
      <c r="E519" s="274"/>
      <c r="F519" s="283"/>
      <c r="G519" s="277"/>
      <c r="H519" s="136" t="s">
        <v>73</v>
      </c>
      <c r="I519" s="137">
        <f>7512914.5*0.3</f>
        <v>2253874.35</v>
      </c>
      <c r="J519" s="137">
        <f>I519/D517-0.01</f>
        <v>635.69000000000005</v>
      </c>
      <c r="K519" s="137">
        <v>2119</v>
      </c>
    </row>
    <row r="520" spans="1:11" ht="46.5" x14ac:dyDescent="0.35">
      <c r="A520" s="271"/>
      <c r="B520" s="271"/>
      <c r="C520" s="279"/>
      <c r="D520" s="274"/>
      <c r="E520" s="274"/>
      <c r="F520" s="283"/>
      <c r="G520" s="270" t="s">
        <v>77</v>
      </c>
      <c r="H520" s="136" t="s">
        <v>634</v>
      </c>
      <c r="I520" s="137">
        <f>D517*K520</f>
        <v>74455.5</v>
      </c>
      <c r="J520" s="137">
        <f>I520/D517</f>
        <v>21</v>
      </c>
      <c r="K520" s="137">
        <f>19+2</f>
        <v>21</v>
      </c>
    </row>
    <row r="521" spans="1:11" x14ac:dyDescent="0.35">
      <c r="A521" s="271"/>
      <c r="B521" s="271"/>
      <c r="C521" s="279"/>
      <c r="D521" s="274"/>
      <c r="E521" s="274"/>
      <c r="F521" s="283"/>
      <c r="G521" s="272"/>
      <c r="H521" s="136" t="s">
        <v>73</v>
      </c>
      <c r="I521" s="137">
        <f>588330.51*0.3</f>
        <v>176499.15</v>
      </c>
      <c r="J521" s="137">
        <f>I521/D517</f>
        <v>49.78</v>
      </c>
      <c r="K521" s="137">
        <v>463</v>
      </c>
    </row>
    <row r="522" spans="1:11" ht="46.5" x14ac:dyDescent="0.35">
      <c r="A522" s="271"/>
      <c r="B522" s="271"/>
      <c r="C522" s="279"/>
      <c r="D522" s="274"/>
      <c r="E522" s="274"/>
      <c r="F522" s="283"/>
      <c r="G522" s="270" t="s">
        <v>78</v>
      </c>
      <c r="H522" s="136" t="s">
        <v>634</v>
      </c>
      <c r="I522" s="137">
        <f>D517*K522</f>
        <v>60273.5</v>
      </c>
      <c r="J522" s="137">
        <f>I522/D517</f>
        <v>17</v>
      </c>
      <c r="K522" s="137">
        <f>16+1</f>
        <v>17</v>
      </c>
    </row>
    <row r="523" spans="1:11" x14ac:dyDescent="0.35">
      <c r="A523" s="272"/>
      <c r="B523" s="272"/>
      <c r="C523" s="285"/>
      <c r="D523" s="275"/>
      <c r="E523" s="275"/>
      <c r="F523" s="284"/>
      <c r="G523" s="272"/>
      <c r="H523" s="136" t="s">
        <v>73</v>
      </c>
      <c r="I523" s="137">
        <f>1264996.84*0.3</f>
        <v>379499.05</v>
      </c>
      <c r="J523" s="137">
        <f>I523/D517</f>
        <v>107.04</v>
      </c>
      <c r="K523" s="137">
        <v>409</v>
      </c>
    </row>
    <row r="524" spans="1:11" x14ac:dyDescent="0.35">
      <c r="A524" s="277">
        <f>A517+1</f>
        <v>44</v>
      </c>
      <c r="B524" s="277">
        <v>161</v>
      </c>
      <c r="C524" s="286" t="s">
        <v>303</v>
      </c>
      <c r="D524" s="287">
        <v>1724.6</v>
      </c>
      <c r="E524" s="287" t="s">
        <v>74</v>
      </c>
      <c r="F524" s="304">
        <v>4</v>
      </c>
      <c r="G524" s="277" t="s">
        <v>71</v>
      </c>
      <c r="H524" s="136" t="s">
        <v>72</v>
      </c>
      <c r="I524" s="137">
        <f>I525+I526</f>
        <v>3709868.22</v>
      </c>
      <c r="J524" s="137">
        <f>J525+J526</f>
        <v>2151.15</v>
      </c>
      <c r="K524" s="137">
        <f>K525+K526</f>
        <v>4728</v>
      </c>
    </row>
    <row r="525" spans="1:11" x14ac:dyDescent="0.35">
      <c r="A525" s="277">
        <v>75</v>
      </c>
      <c r="B525" s="277"/>
      <c r="C525" s="286"/>
      <c r="D525" s="287"/>
      <c r="E525" s="287"/>
      <c r="F525" s="304"/>
      <c r="G525" s="277"/>
      <c r="H525" s="136" t="s">
        <v>73</v>
      </c>
      <c r="I525" s="137">
        <v>3665855.26</v>
      </c>
      <c r="J525" s="137">
        <f>I525/D524</f>
        <v>2125.63</v>
      </c>
      <c r="K525" s="137">
        <v>4629</v>
      </c>
    </row>
    <row r="526" spans="1:11" x14ac:dyDescent="0.35">
      <c r="A526" s="277">
        <v>76</v>
      </c>
      <c r="B526" s="277"/>
      <c r="C526" s="286"/>
      <c r="D526" s="287"/>
      <c r="E526" s="287"/>
      <c r="F526" s="304"/>
      <c r="G526" s="277"/>
      <c r="H526" s="136" t="s">
        <v>75</v>
      </c>
      <c r="I526" s="137">
        <v>44012.959999999999</v>
      </c>
      <c r="J526" s="137">
        <f>I526/D524</f>
        <v>25.52</v>
      </c>
      <c r="K526" s="137">
        <v>99</v>
      </c>
    </row>
    <row r="527" spans="1:11" x14ac:dyDescent="0.35">
      <c r="A527" s="277">
        <f>A524+1</f>
        <v>45</v>
      </c>
      <c r="B527" s="277">
        <v>576</v>
      </c>
      <c r="C527" s="286" t="s">
        <v>304</v>
      </c>
      <c r="D527" s="287">
        <v>2984.6</v>
      </c>
      <c r="E527" s="287" t="s">
        <v>74</v>
      </c>
      <c r="F527" s="304">
        <v>5</v>
      </c>
      <c r="G527" s="277" t="s">
        <v>71</v>
      </c>
      <c r="H527" s="136" t="s">
        <v>72</v>
      </c>
      <c r="I527" s="137">
        <f>I528+I529</f>
        <v>2506567.7000000002</v>
      </c>
      <c r="J527" s="137">
        <f>J528+J529</f>
        <v>839.83</v>
      </c>
      <c r="K527" s="137">
        <f>K528+K529</f>
        <v>2936</v>
      </c>
    </row>
    <row r="528" spans="1:11" ht="46.5" x14ac:dyDescent="0.35">
      <c r="A528" s="277">
        <v>75</v>
      </c>
      <c r="B528" s="277"/>
      <c r="C528" s="286"/>
      <c r="D528" s="287"/>
      <c r="E528" s="287"/>
      <c r="F528" s="304"/>
      <c r="G528" s="277"/>
      <c r="H528" s="136" t="s">
        <v>673</v>
      </c>
      <c r="I528" s="137">
        <v>228554.76</v>
      </c>
      <c r="J528" s="137">
        <f>I528/D527</f>
        <v>76.58</v>
      </c>
      <c r="K528" s="137">
        <f>151+13</f>
        <v>164</v>
      </c>
    </row>
    <row r="529" spans="1:11" x14ac:dyDescent="0.35">
      <c r="A529" s="277"/>
      <c r="B529" s="277"/>
      <c r="C529" s="286"/>
      <c r="D529" s="287"/>
      <c r="E529" s="287"/>
      <c r="F529" s="304"/>
      <c r="G529" s="277"/>
      <c r="H529" s="136" t="s">
        <v>73</v>
      </c>
      <c r="I529" s="137">
        <f>7593376.45*0.3</f>
        <v>2278012.94</v>
      </c>
      <c r="J529" s="137">
        <f>I529/D527-0.01</f>
        <v>763.25</v>
      </c>
      <c r="K529" s="137">
        <v>2772</v>
      </c>
    </row>
    <row r="530" spans="1:11" x14ac:dyDescent="0.35">
      <c r="A530" s="277">
        <f>A527+1</f>
        <v>46</v>
      </c>
      <c r="B530" s="277">
        <v>587</v>
      </c>
      <c r="C530" s="286" t="s">
        <v>305</v>
      </c>
      <c r="D530" s="287">
        <v>1802</v>
      </c>
      <c r="E530" s="287" t="s">
        <v>74</v>
      </c>
      <c r="F530" s="304">
        <v>5</v>
      </c>
      <c r="G530" s="277" t="s">
        <v>71</v>
      </c>
      <c r="H530" s="136" t="s">
        <v>72</v>
      </c>
      <c r="I530" s="137">
        <f>I531+I532</f>
        <v>1706791.17</v>
      </c>
      <c r="J530" s="137">
        <f>J531+J532</f>
        <v>947.16</v>
      </c>
      <c r="K530" s="137">
        <f>K531+K532</f>
        <v>2936</v>
      </c>
    </row>
    <row r="531" spans="1:11" ht="46.5" x14ac:dyDescent="0.35">
      <c r="A531" s="277">
        <v>75</v>
      </c>
      <c r="B531" s="277"/>
      <c r="C531" s="286"/>
      <c r="D531" s="287"/>
      <c r="E531" s="287"/>
      <c r="F531" s="304"/>
      <c r="G531" s="277"/>
      <c r="H531" s="136" t="s">
        <v>673</v>
      </c>
      <c r="I531" s="137">
        <f>184821.97+D530*13</f>
        <v>208247.97</v>
      </c>
      <c r="J531" s="137">
        <f>I531/D530</f>
        <v>115.56</v>
      </c>
      <c r="K531" s="137">
        <f>151+13</f>
        <v>164</v>
      </c>
    </row>
    <row r="532" spans="1:11" x14ac:dyDescent="0.35">
      <c r="A532" s="277"/>
      <c r="B532" s="277"/>
      <c r="C532" s="286"/>
      <c r="D532" s="287"/>
      <c r="E532" s="287"/>
      <c r="F532" s="304"/>
      <c r="G532" s="277"/>
      <c r="H532" s="136" t="s">
        <v>73</v>
      </c>
      <c r="I532" s="137">
        <f>K532*D530*0.3</f>
        <v>1498543.2</v>
      </c>
      <c r="J532" s="137">
        <f>I532/D530</f>
        <v>831.6</v>
      </c>
      <c r="K532" s="137">
        <v>2772</v>
      </c>
    </row>
    <row r="533" spans="1:11" x14ac:dyDescent="0.35">
      <c r="A533" s="277">
        <f>A530+1</f>
        <v>47</v>
      </c>
      <c r="B533" s="277">
        <v>746</v>
      </c>
      <c r="C533" s="286" t="s">
        <v>306</v>
      </c>
      <c r="D533" s="287">
        <v>2801.8</v>
      </c>
      <c r="E533" s="287" t="s">
        <v>74</v>
      </c>
      <c r="F533" s="304">
        <v>9</v>
      </c>
      <c r="G533" s="277" t="s">
        <v>71</v>
      </c>
      <c r="H533" s="136" t="s">
        <v>72</v>
      </c>
      <c r="I533" s="137">
        <f>I534</f>
        <v>251696.6</v>
      </c>
      <c r="J533" s="137">
        <f>J534</f>
        <v>89.83</v>
      </c>
      <c r="K533" s="137">
        <f>K534</f>
        <v>164</v>
      </c>
    </row>
    <row r="534" spans="1:11" ht="46.5" x14ac:dyDescent="0.35">
      <c r="A534" s="277">
        <v>75</v>
      </c>
      <c r="B534" s="277"/>
      <c r="C534" s="286"/>
      <c r="D534" s="287"/>
      <c r="E534" s="287"/>
      <c r="F534" s="304"/>
      <c r="G534" s="277"/>
      <c r="H534" s="136" t="s">
        <v>673</v>
      </c>
      <c r="I534" s="137">
        <v>251696.6</v>
      </c>
      <c r="J534" s="137">
        <f>I534/D533</f>
        <v>89.83</v>
      </c>
      <c r="K534" s="137">
        <f>151+13</f>
        <v>164</v>
      </c>
    </row>
    <row r="535" spans="1:11" x14ac:dyDescent="0.35">
      <c r="A535" s="270">
        <f>A533+1</f>
        <v>48</v>
      </c>
      <c r="B535" s="270">
        <v>294</v>
      </c>
      <c r="C535" s="278" t="s">
        <v>662</v>
      </c>
      <c r="D535" s="273">
        <v>3808.2</v>
      </c>
      <c r="E535" s="273" t="s">
        <v>74</v>
      </c>
      <c r="F535" s="282">
        <v>4</v>
      </c>
      <c r="G535" s="165"/>
      <c r="H535" s="136" t="s">
        <v>72</v>
      </c>
      <c r="I535" s="137">
        <f>I536+I537+I538+I539</f>
        <v>13254816.98</v>
      </c>
      <c r="J535" s="137">
        <f>J536+J537+J538+J539</f>
        <v>3480.6</v>
      </c>
      <c r="K535" s="137">
        <f>K536+K537+K538+K539</f>
        <v>5771</v>
      </c>
    </row>
    <row r="536" spans="1:11" x14ac:dyDescent="0.35">
      <c r="A536" s="271"/>
      <c r="B536" s="271"/>
      <c r="C536" s="279"/>
      <c r="D536" s="274"/>
      <c r="E536" s="274"/>
      <c r="F536" s="283"/>
      <c r="G536" s="270" t="s">
        <v>71</v>
      </c>
      <c r="H536" s="136" t="s">
        <v>73</v>
      </c>
      <c r="I536" s="137">
        <v>9905455.0700000003</v>
      </c>
      <c r="J536" s="137">
        <f>I536/D535-0.01</f>
        <v>2601.08</v>
      </c>
      <c r="K536" s="137">
        <v>4629</v>
      </c>
    </row>
    <row r="537" spans="1:11" x14ac:dyDescent="0.35">
      <c r="A537" s="271"/>
      <c r="B537" s="271"/>
      <c r="C537" s="279"/>
      <c r="D537" s="274"/>
      <c r="E537" s="274"/>
      <c r="F537" s="283"/>
      <c r="G537" s="272"/>
      <c r="H537" s="136" t="s">
        <v>75</v>
      </c>
      <c r="I537" s="137">
        <v>112753.59</v>
      </c>
      <c r="J537" s="137">
        <f>I537/D535</f>
        <v>29.61</v>
      </c>
      <c r="K537" s="137">
        <v>99</v>
      </c>
    </row>
    <row r="538" spans="1:11" x14ac:dyDescent="0.35">
      <c r="A538" s="271"/>
      <c r="B538" s="271"/>
      <c r="C538" s="279"/>
      <c r="D538" s="274"/>
      <c r="E538" s="274"/>
      <c r="F538" s="283"/>
      <c r="G538" s="270" t="s">
        <v>84</v>
      </c>
      <c r="H538" s="136" t="s">
        <v>73</v>
      </c>
      <c r="I538" s="137">
        <v>3168796.08</v>
      </c>
      <c r="J538" s="137">
        <f>I538/D535</f>
        <v>832.1</v>
      </c>
      <c r="K538" s="137">
        <v>1021</v>
      </c>
    </row>
    <row r="539" spans="1:11" x14ac:dyDescent="0.35">
      <c r="A539" s="271"/>
      <c r="B539" s="271"/>
      <c r="C539" s="279"/>
      <c r="D539" s="274"/>
      <c r="E539" s="274"/>
      <c r="F539" s="283"/>
      <c r="G539" s="272"/>
      <c r="H539" s="136" t="s">
        <v>75</v>
      </c>
      <c r="I539" s="137">
        <f>I538*0.0214</f>
        <v>67812.240000000005</v>
      </c>
      <c r="J539" s="137">
        <f>I539/D535</f>
        <v>17.809999999999999</v>
      </c>
      <c r="K539" s="137">
        <v>22</v>
      </c>
    </row>
    <row r="540" spans="1:11" x14ac:dyDescent="0.35">
      <c r="A540" s="277">
        <f>A535+1</f>
        <v>49</v>
      </c>
      <c r="B540" s="277">
        <v>326</v>
      </c>
      <c r="C540" s="286" t="s">
        <v>309</v>
      </c>
      <c r="D540" s="287">
        <v>1786.7</v>
      </c>
      <c r="E540" s="287" t="s">
        <v>74</v>
      </c>
      <c r="F540" s="304">
        <v>5</v>
      </c>
      <c r="G540" s="277" t="s">
        <v>71</v>
      </c>
      <c r="H540" s="136" t="s">
        <v>72</v>
      </c>
      <c r="I540" s="137">
        <f>I541+I542</f>
        <v>2988763.42</v>
      </c>
      <c r="J540" s="137">
        <f>J541+J542</f>
        <v>1672.78</v>
      </c>
      <c r="K540" s="137">
        <f>K541+K542</f>
        <v>2831</v>
      </c>
    </row>
    <row r="541" spans="1:11" x14ac:dyDescent="0.35">
      <c r="A541" s="277">
        <v>75</v>
      </c>
      <c r="B541" s="277"/>
      <c r="C541" s="286"/>
      <c r="D541" s="287"/>
      <c r="E541" s="287"/>
      <c r="F541" s="304"/>
      <c r="G541" s="277"/>
      <c r="H541" s="136" t="s">
        <v>73</v>
      </c>
      <c r="I541" s="137">
        <v>2926143.94</v>
      </c>
      <c r="J541" s="137">
        <f>I541/D540-0.01</f>
        <v>1637.73</v>
      </c>
      <c r="K541" s="137">
        <v>2772</v>
      </c>
    </row>
    <row r="542" spans="1:11" x14ac:dyDescent="0.35">
      <c r="A542" s="277">
        <v>76</v>
      </c>
      <c r="B542" s="277"/>
      <c r="C542" s="286"/>
      <c r="D542" s="287"/>
      <c r="E542" s="287"/>
      <c r="F542" s="304"/>
      <c r="G542" s="277"/>
      <c r="H542" s="136" t="s">
        <v>75</v>
      </c>
      <c r="I542" s="137">
        <v>62619.48</v>
      </c>
      <c r="J542" s="137">
        <f>I542/D540</f>
        <v>35.049999999999997</v>
      </c>
      <c r="K542" s="137">
        <v>59</v>
      </c>
    </row>
    <row r="543" spans="1:11" x14ac:dyDescent="0.35">
      <c r="A543" s="277">
        <f>A540+1</f>
        <v>50</v>
      </c>
      <c r="B543" s="277">
        <v>774</v>
      </c>
      <c r="C543" s="286" t="s">
        <v>310</v>
      </c>
      <c r="D543" s="295">
        <v>14583.46</v>
      </c>
      <c r="E543" s="295" t="s">
        <v>74</v>
      </c>
      <c r="F543" s="344">
        <v>9</v>
      </c>
      <c r="G543" s="146"/>
      <c r="H543" s="136" t="s">
        <v>72</v>
      </c>
      <c r="I543" s="137">
        <f>I544+I545+I546</f>
        <v>736161.9</v>
      </c>
      <c r="J543" s="137">
        <f>J544+J545+J546</f>
        <v>50.48</v>
      </c>
      <c r="K543" s="137">
        <f>K544+K545+K546</f>
        <v>92</v>
      </c>
    </row>
    <row r="544" spans="1:11" ht="46.5" x14ac:dyDescent="0.35">
      <c r="A544" s="277">
        <v>882</v>
      </c>
      <c r="B544" s="277"/>
      <c r="C544" s="286"/>
      <c r="D544" s="295"/>
      <c r="E544" s="295"/>
      <c r="F544" s="344"/>
      <c r="G544" s="146" t="s">
        <v>76</v>
      </c>
      <c r="H544" s="136" t="s">
        <v>634</v>
      </c>
      <c r="I544" s="137">
        <f>304015.51+D543*4</f>
        <v>362349.35</v>
      </c>
      <c r="J544" s="137">
        <f>I544/D543</f>
        <v>24.85</v>
      </c>
      <c r="K544" s="137">
        <f>50+4</f>
        <v>54</v>
      </c>
    </row>
    <row r="545" spans="1:11" ht="46.5" x14ac:dyDescent="0.35">
      <c r="A545" s="277">
        <v>884</v>
      </c>
      <c r="B545" s="277"/>
      <c r="C545" s="286"/>
      <c r="D545" s="295"/>
      <c r="E545" s="295"/>
      <c r="F545" s="344"/>
      <c r="G545" s="146" t="s">
        <v>77</v>
      </c>
      <c r="H545" s="136" t="s">
        <v>634</v>
      </c>
      <c r="I545" s="137">
        <f>190776.11+D543*2</f>
        <v>219943.03</v>
      </c>
      <c r="J545" s="137">
        <f>I545/D543</f>
        <v>15.08</v>
      </c>
      <c r="K545" s="137">
        <f>19+2</f>
        <v>21</v>
      </c>
    </row>
    <row r="546" spans="1:11" ht="46.5" x14ac:dyDescent="0.35">
      <c r="A546" s="277"/>
      <c r="B546" s="277"/>
      <c r="C546" s="286"/>
      <c r="D546" s="295"/>
      <c r="E546" s="295"/>
      <c r="F546" s="344"/>
      <c r="G546" s="146" t="s">
        <v>78</v>
      </c>
      <c r="H546" s="136" t="s">
        <v>634</v>
      </c>
      <c r="I546" s="137">
        <f>139286.06+D543*1</f>
        <v>153869.51999999999</v>
      </c>
      <c r="J546" s="137">
        <f>I546/D543</f>
        <v>10.55</v>
      </c>
      <c r="K546" s="137">
        <f>16+1</f>
        <v>17</v>
      </c>
    </row>
    <row r="547" spans="1:11" x14ac:dyDescent="0.35">
      <c r="A547" s="277">
        <f>A543+1</f>
        <v>51</v>
      </c>
      <c r="B547" s="277">
        <v>453</v>
      </c>
      <c r="C547" s="286" t="s">
        <v>313</v>
      </c>
      <c r="D547" s="287">
        <v>2382.92</v>
      </c>
      <c r="E547" s="287" t="s">
        <v>74</v>
      </c>
      <c r="F547" s="304">
        <v>5</v>
      </c>
      <c r="G547" s="277" t="s">
        <v>71</v>
      </c>
      <c r="H547" s="136" t="s">
        <v>72</v>
      </c>
      <c r="I547" s="137">
        <f>I548</f>
        <v>218437.83</v>
      </c>
      <c r="J547" s="137">
        <f>J548</f>
        <v>91.67</v>
      </c>
      <c r="K547" s="137">
        <f>K548</f>
        <v>164</v>
      </c>
    </row>
    <row r="548" spans="1:11" ht="46.5" x14ac:dyDescent="0.35">
      <c r="A548" s="277">
        <v>75</v>
      </c>
      <c r="B548" s="277"/>
      <c r="C548" s="286"/>
      <c r="D548" s="287"/>
      <c r="E548" s="287"/>
      <c r="F548" s="304"/>
      <c r="G548" s="277"/>
      <c r="H548" s="136" t="s">
        <v>673</v>
      </c>
      <c r="I548" s="137">
        <v>218437.83</v>
      </c>
      <c r="J548" s="137">
        <f>I548/D547</f>
        <v>91.67</v>
      </c>
      <c r="K548" s="137">
        <f>151+13</f>
        <v>164</v>
      </c>
    </row>
    <row r="549" spans="1:11" x14ac:dyDescent="0.35">
      <c r="A549" s="277">
        <f>A547+1</f>
        <v>52</v>
      </c>
      <c r="B549" s="277">
        <v>370</v>
      </c>
      <c r="C549" s="286" t="s">
        <v>314</v>
      </c>
      <c r="D549" s="287">
        <v>3194.4</v>
      </c>
      <c r="E549" s="287" t="s">
        <v>74</v>
      </c>
      <c r="F549" s="304">
        <v>5</v>
      </c>
      <c r="G549" s="277" t="s">
        <v>71</v>
      </c>
      <c r="H549" s="136" t="s">
        <v>72</v>
      </c>
      <c r="I549" s="137">
        <f>I550+I551</f>
        <v>6434047.6200000001</v>
      </c>
      <c r="J549" s="137">
        <f>J550+J551</f>
        <v>2014.16</v>
      </c>
      <c r="K549" s="137">
        <f>K550+K551</f>
        <v>2831</v>
      </c>
    </row>
    <row r="550" spans="1:11" x14ac:dyDescent="0.35">
      <c r="A550" s="277">
        <v>75</v>
      </c>
      <c r="B550" s="277"/>
      <c r="C550" s="286"/>
      <c r="D550" s="287"/>
      <c r="E550" s="287"/>
      <c r="F550" s="304"/>
      <c r="G550" s="277"/>
      <c r="H550" s="136" t="s">
        <v>73</v>
      </c>
      <c r="I550" s="137">
        <v>6299243.7999999998</v>
      </c>
      <c r="J550" s="137">
        <f>I550/D549</f>
        <v>1971.96</v>
      </c>
      <c r="K550" s="137">
        <v>2772</v>
      </c>
    </row>
    <row r="551" spans="1:11" x14ac:dyDescent="0.35">
      <c r="A551" s="277">
        <v>76</v>
      </c>
      <c r="B551" s="277"/>
      <c r="C551" s="286"/>
      <c r="D551" s="287"/>
      <c r="E551" s="287"/>
      <c r="F551" s="304"/>
      <c r="G551" s="277"/>
      <c r="H551" s="136" t="s">
        <v>75</v>
      </c>
      <c r="I551" s="137">
        <v>134803.82</v>
      </c>
      <c r="J551" s="137">
        <f>I551/D549</f>
        <v>42.2</v>
      </c>
      <c r="K551" s="137">
        <v>59</v>
      </c>
    </row>
    <row r="552" spans="1:11" x14ac:dyDescent="0.35">
      <c r="A552" s="277">
        <f>A549+1</f>
        <v>53</v>
      </c>
      <c r="B552" s="277">
        <v>850</v>
      </c>
      <c r="C552" s="286" t="s">
        <v>315</v>
      </c>
      <c r="D552" s="295">
        <v>1771.5</v>
      </c>
      <c r="E552" s="295" t="s">
        <v>74</v>
      </c>
      <c r="F552" s="344">
        <v>6</v>
      </c>
      <c r="G552" s="146"/>
      <c r="H552" s="136" t="s">
        <v>72</v>
      </c>
      <c r="I552" s="137">
        <f>I553+I554+I555+I556</f>
        <v>364929</v>
      </c>
      <c r="J552" s="137">
        <f>J553+J554+J555+J556</f>
        <v>206</v>
      </c>
      <c r="K552" s="137">
        <f>K553+K554+K555+K556</f>
        <v>206</v>
      </c>
    </row>
    <row r="553" spans="1:11" ht="46.5" x14ac:dyDescent="0.35">
      <c r="A553" s="277">
        <v>882</v>
      </c>
      <c r="B553" s="277"/>
      <c r="C553" s="286"/>
      <c r="D553" s="295"/>
      <c r="E553" s="295"/>
      <c r="F553" s="344"/>
      <c r="G553" s="146" t="s">
        <v>76</v>
      </c>
      <c r="H553" s="136" t="s">
        <v>634</v>
      </c>
      <c r="I553" s="137">
        <f>D552*K553</f>
        <v>207265.5</v>
      </c>
      <c r="J553" s="137">
        <f>I553/D552</f>
        <v>117</v>
      </c>
      <c r="K553" s="137">
        <f>108+9</f>
        <v>117</v>
      </c>
    </row>
    <row r="554" spans="1:11" ht="46.5" x14ac:dyDescent="0.35">
      <c r="A554" s="277">
        <v>884</v>
      </c>
      <c r="B554" s="277"/>
      <c r="C554" s="286"/>
      <c r="D554" s="295"/>
      <c r="E554" s="295"/>
      <c r="F554" s="344"/>
      <c r="G554" s="146" t="s">
        <v>77</v>
      </c>
      <c r="H554" s="136" t="s">
        <v>634</v>
      </c>
      <c r="I554" s="137">
        <f>D552*K554</f>
        <v>37201.5</v>
      </c>
      <c r="J554" s="137">
        <f>I554/D552</f>
        <v>21</v>
      </c>
      <c r="K554" s="137">
        <f>19+2</f>
        <v>21</v>
      </c>
    </row>
    <row r="555" spans="1:11" ht="46.5" x14ac:dyDescent="0.35">
      <c r="A555" s="277"/>
      <c r="B555" s="277"/>
      <c r="C555" s="286"/>
      <c r="D555" s="295"/>
      <c r="E555" s="295"/>
      <c r="F555" s="344"/>
      <c r="G555" s="146" t="s">
        <v>78</v>
      </c>
      <c r="H555" s="136" t="s">
        <v>634</v>
      </c>
      <c r="I555" s="137">
        <f>D552*K555</f>
        <v>30115.5</v>
      </c>
      <c r="J555" s="137">
        <f>I555/D552</f>
        <v>17</v>
      </c>
      <c r="K555" s="137">
        <f>16+1</f>
        <v>17</v>
      </c>
    </row>
    <row r="556" spans="1:11" ht="113.5" customHeight="1" x14ac:dyDescent="0.35">
      <c r="A556" s="277"/>
      <c r="B556" s="277"/>
      <c r="C556" s="286"/>
      <c r="D556" s="295"/>
      <c r="E556" s="295"/>
      <c r="F556" s="344"/>
      <c r="G556" s="146" t="s">
        <v>655</v>
      </c>
      <c r="H556" s="136" t="s">
        <v>634</v>
      </c>
      <c r="I556" s="137">
        <f>D552*K556</f>
        <v>90346.5</v>
      </c>
      <c r="J556" s="137">
        <f>I556/D552</f>
        <v>51</v>
      </c>
      <c r="K556" s="137">
        <f>47+4</f>
        <v>51</v>
      </c>
    </row>
    <row r="557" spans="1:11" x14ac:dyDescent="0.35">
      <c r="A557" s="270">
        <f>A552+1</f>
        <v>54</v>
      </c>
      <c r="B557" s="270">
        <v>544</v>
      </c>
      <c r="C557" s="278" t="s">
        <v>316</v>
      </c>
      <c r="D557" s="273">
        <v>4948.3</v>
      </c>
      <c r="E557" s="273" t="s">
        <v>74</v>
      </c>
      <c r="F557" s="282">
        <v>5</v>
      </c>
      <c r="G557" s="146"/>
      <c r="H557" s="136" t="s">
        <v>72</v>
      </c>
      <c r="I557" s="137">
        <f>I558+I559+I560+I561+I562+I563+I564+I565</f>
        <v>13422957.84</v>
      </c>
      <c r="J557" s="137">
        <f>J558+J559+J560+J561+J562+J563+J564+J565</f>
        <v>2712.64</v>
      </c>
      <c r="K557" s="137">
        <f>K558+K559+K560+K561+K562+K563+K564+K565</f>
        <v>4256</v>
      </c>
    </row>
    <row r="558" spans="1:11" x14ac:dyDescent="0.35">
      <c r="A558" s="271"/>
      <c r="B558" s="271"/>
      <c r="C558" s="279"/>
      <c r="D558" s="274"/>
      <c r="E558" s="274"/>
      <c r="F558" s="283"/>
      <c r="G558" s="277" t="s">
        <v>76</v>
      </c>
      <c r="H558" s="136" t="s">
        <v>73</v>
      </c>
      <c r="I558" s="137">
        <f>8575232.35</f>
        <v>8575232.3499999996</v>
      </c>
      <c r="J558" s="137">
        <f>I558/D557</f>
        <v>1732.97</v>
      </c>
      <c r="K558" s="137">
        <v>2119</v>
      </c>
    </row>
    <row r="559" spans="1:11" x14ac:dyDescent="0.35">
      <c r="A559" s="271"/>
      <c r="B559" s="271"/>
      <c r="C559" s="279"/>
      <c r="D559" s="274"/>
      <c r="E559" s="274"/>
      <c r="F559" s="283"/>
      <c r="G559" s="277"/>
      <c r="H559" s="136" t="s">
        <v>75</v>
      </c>
      <c r="I559" s="137">
        <v>148038.73000000001</v>
      </c>
      <c r="J559" s="137">
        <f>I559/D557</f>
        <v>29.92</v>
      </c>
      <c r="K559" s="137">
        <v>45</v>
      </c>
    </row>
    <row r="560" spans="1:11" x14ac:dyDescent="0.35">
      <c r="A560" s="271"/>
      <c r="B560" s="271"/>
      <c r="C560" s="279"/>
      <c r="D560" s="274"/>
      <c r="E560" s="274"/>
      <c r="F560" s="283"/>
      <c r="G560" s="277" t="s">
        <v>77</v>
      </c>
      <c r="H560" s="136" t="s">
        <v>73</v>
      </c>
      <c r="I560" s="137">
        <v>1154601.44</v>
      </c>
      <c r="J560" s="137">
        <f>I560/D557</f>
        <v>233.33</v>
      </c>
      <c r="K560" s="137">
        <v>463</v>
      </c>
    </row>
    <row r="561" spans="1:11" x14ac:dyDescent="0.35">
      <c r="A561" s="271"/>
      <c r="B561" s="271"/>
      <c r="C561" s="279"/>
      <c r="D561" s="274"/>
      <c r="E561" s="274"/>
      <c r="F561" s="283"/>
      <c r="G561" s="277"/>
      <c r="H561" s="136" t="s">
        <v>75</v>
      </c>
      <c r="I561" s="137">
        <f>I560*0.0214</f>
        <v>24708.47</v>
      </c>
      <c r="J561" s="137">
        <f>I561/D557</f>
        <v>4.99</v>
      </c>
      <c r="K561" s="137">
        <v>10</v>
      </c>
    </row>
    <row r="562" spans="1:11" x14ac:dyDescent="0.35">
      <c r="A562" s="271"/>
      <c r="B562" s="271"/>
      <c r="C562" s="279"/>
      <c r="D562" s="274"/>
      <c r="E562" s="274"/>
      <c r="F562" s="283"/>
      <c r="G562" s="277" t="s">
        <v>78</v>
      </c>
      <c r="H562" s="136" t="s">
        <v>73</v>
      </c>
      <c r="I562" s="137">
        <v>2023854.7</v>
      </c>
      <c r="J562" s="137">
        <f>I562/D557</f>
        <v>409</v>
      </c>
      <c r="K562" s="137">
        <v>409</v>
      </c>
    </row>
    <row r="563" spans="1:11" x14ac:dyDescent="0.35">
      <c r="A563" s="271"/>
      <c r="B563" s="271"/>
      <c r="C563" s="279"/>
      <c r="D563" s="274"/>
      <c r="E563" s="274"/>
      <c r="F563" s="283"/>
      <c r="G563" s="277"/>
      <c r="H563" s="136" t="s">
        <v>75</v>
      </c>
      <c r="I563" s="137">
        <f>D557*K563</f>
        <v>44534.7</v>
      </c>
      <c r="J563" s="137">
        <f>I563/D557</f>
        <v>9</v>
      </c>
      <c r="K563" s="137">
        <v>9</v>
      </c>
    </row>
    <row r="564" spans="1:11" x14ac:dyDescent="0.35">
      <c r="A564" s="271"/>
      <c r="B564" s="271"/>
      <c r="C564" s="279"/>
      <c r="D564" s="274"/>
      <c r="E564" s="274"/>
      <c r="F564" s="283"/>
      <c r="G564" s="277" t="s">
        <v>663</v>
      </c>
      <c r="H564" s="136" t="s">
        <v>656</v>
      </c>
      <c r="I564" s="137">
        <f>1421565.94</f>
        <v>1421565.94</v>
      </c>
      <c r="J564" s="137">
        <f>I564/D557</f>
        <v>287.27999999999997</v>
      </c>
      <c r="K564" s="137">
        <f>1176</f>
        <v>1176</v>
      </c>
    </row>
    <row r="565" spans="1:11" ht="224" customHeight="1" x14ac:dyDescent="0.35">
      <c r="A565" s="272"/>
      <c r="B565" s="272"/>
      <c r="C565" s="285"/>
      <c r="D565" s="275"/>
      <c r="E565" s="275"/>
      <c r="F565" s="284"/>
      <c r="G565" s="277"/>
      <c r="H565" s="136" t="s">
        <v>75</v>
      </c>
      <c r="I565" s="137">
        <f>I564*0.0214</f>
        <v>30421.51</v>
      </c>
      <c r="J565" s="137">
        <f>I565/D557</f>
        <v>6.15</v>
      </c>
      <c r="K565" s="137">
        <v>25</v>
      </c>
    </row>
    <row r="566" spans="1:11" x14ac:dyDescent="0.35">
      <c r="A566" s="270">
        <f>A557+1</f>
        <v>55</v>
      </c>
      <c r="B566" s="270">
        <v>555</v>
      </c>
      <c r="C566" s="278" t="s">
        <v>318</v>
      </c>
      <c r="D566" s="273">
        <v>2510.5</v>
      </c>
      <c r="E566" s="273" t="s">
        <v>74</v>
      </c>
      <c r="F566" s="282">
        <v>5</v>
      </c>
      <c r="G566" s="270" t="s">
        <v>81</v>
      </c>
      <c r="H566" s="136" t="s">
        <v>72</v>
      </c>
      <c r="I566" s="137">
        <f>I567</f>
        <v>90378</v>
      </c>
      <c r="J566" s="137">
        <f>J567</f>
        <v>36</v>
      </c>
      <c r="K566" s="137">
        <f>K567</f>
        <v>36</v>
      </c>
    </row>
    <row r="567" spans="1:11" ht="46.5" x14ac:dyDescent="0.35">
      <c r="A567" s="271"/>
      <c r="B567" s="271"/>
      <c r="C567" s="279"/>
      <c r="D567" s="274"/>
      <c r="E567" s="274"/>
      <c r="F567" s="283"/>
      <c r="G567" s="271"/>
      <c r="H567" s="136" t="s">
        <v>634</v>
      </c>
      <c r="I567" s="137">
        <f>82846.5+D566*3</f>
        <v>90378</v>
      </c>
      <c r="J567" s="137">
        <f>I567/D566</f>
        <v>36</v>
      </c>
      <c r="K567" s="137">
        <f>33+3</f>
        <v>36</v>
      </c>
    </row>
    <row r="568" spans="1:11" x14ac:dyDescent="0.35">
      <c r="A568" s="270">
        <f>A566+1</f>
        <v>56</v>
      </c>
      <c r="B568" s="270">
        <v>508</v>
      </c>
      <c r="C568" s="278" t="s">
        <v>319</v>
      </c>
      <c r="D568" s="273">
        <v>2539.88</v>
      </c>
      <c r="E568" s="273" t="s">
        <v>70</v>
      </c>
      <c r="F568" s="282">
        <v>5</v>
      </c>
      <c r="G568" s="270" t="s">
        <v>71</v>
      </c>
      <c r="H568" s="136" t="s">
        <v>72</v>
      </c>
      <c r="I568" s="137">
        <f>I569+I570</f>
        <v>1757657.31</v>
      </c>
      <c r="J568" s="137">
        <f>J569+J570</f>
        <v>692.02</v>
      </c>
      <c r="K568" s="137">
        <f>K569+K570</f>
        <v>2936</v>
      </c>
    </row>
    <row r="569" spans="1:11" ht="61.5" customHeight="1" x14ac:dyDescent="0.35">
      <c r="A569" s="271"/>
      <c r="B569" s="271"/>
      <c r="C569" s="279"/>
      <c r="D569" s="274"/>
      <c r="E569" s="274"/>
      <c r="F569" s="283"/>
      <c r="G569" s="271"/>
      <c r="H569" s="136" t="s">
        <v>673</v>
      </c>
      <c r="I569" s="137">
        <v>215964.64</v>
      </c>
      <c r="J569" s="137">
        <f>I569/D568</f>
        <v>85.03</v>
      </c>
      <c r="K569" s="137">
        <f>151+13</f>
        <v>164</v>
      </c>
    </row>
    <row r="570" spans="1:11" x14ac:dyDescent="0.35">
      <c r="A570" s="272"/>
      <c r="B570" s="272"/>
      <c r="C570" s="285"/>
      <c r="D570" s="275"/>
      <c r="E570" s="275"/>
      <c r="F570" s="284"/>
      <c r="G570" s="272"/>
      <c r="H570" s="136" t="s">
        <v>73</v>
      </c>
      <c r="I570" s="137">
        <f>5138975.56*0.3</f>
        <v>1541692.67</v>
      </c>
      <c r="J570" s="137">
        <f>I570/D568</f>
        <v>606.99</v>
      </c>
      <c r="K570" s="137">
        <v>2772</v>
      </c>
    </row>
    <row r="571" spans="1:11" x14ac:dyDescent="0.35">
      <c r="A571" s="277">
        <f>A568+1</f>
        <v>57</v>
      </c>
      <c r="B571" s="277">
        <v>676</v>
      </c>
      <c r="C571" s="286" t="s">
        <v>320</v>
      </c>
      <c r="D571" s="287">
        <v>4445.2</v>
      </c>
      <c r="E571" s="287" t="s">
        <v>74</v>
      </c>
      <c r="F571" s="304">
        <v>9</v>
      </c>
      <c r="G571" s="277" t="s">
        <v>71</v>
      </c>
      <c r="H571" s="136" t="s">
        <v>72</v>
      </c>
      <c r="I571" s="137">
        <f>I572</f>
        <v>305258.11</v>
      </c>
      <c r="J571" s="137">
        <f>J572</f>
        <v>68.67</v>
      </c>
      <c r="K571" s="137">
        <f>K572</f>
        <v>164</v>
      </c>
    </row>
    <row r="572" spans="1:11" ht="58.5" customHeight="1" x14ac:dyDescent="0.35">
      <c r="A572" s="277">
        <v>75</v>
      </c>
      <c r="B572" s="277"/>
      <c r="C572" s="286"/>
      <c r="D572" s="287"/>
      <c r="E572" s="287"/>
      <c r="F572" s="304"/>
      <c r="G572" s="277"/>
      <c r="H572" s="136" t="s">
        <v>673</v>
      </c>
      <c r="I572" s="137">
        <f>247470.51+D571*13</f>
        <v>305258.11</v>
      </c>
      <c r="J572" s="137">
        <f>I572/D571</f>
        <v>68.67</v>
      </c>
      <c r="K572" s="137">
        <f>151+13</f>
        <v>164</v>
      </c>
    </row>
    <row r="573" spans="1:11" x14ac:dyDescent="0.35">
      <c r="A573" s="277">
        <f>A571+1</f>
        <v>58</v>
      </c>
      <c r="B573" s="277">
        <v>610</v>
      </c>
      <c r="C573" s="286" t="s">
        <v>321</v>
      </c>
      <c r="D573" s="287">
        <v>2077.6</v>
      </c>
      <c r="E573" s="287" t="s">
        <v>74</v>
      </c>
      <c r="F573" s="304">
        <v>5</v>
      </c>
      <c r="G573" s="277" t="s">
        <v>71</v>
      </c>
      <c r="H573" s="136" t="s">
        <v>72</v>
      </c>
      <c r="I573" s="137">
        <f>I574+I575</f>
        <v>1950407.41</v>
      </c>
      <c r="J573" s="137">
        <f>J574+J575</f>
        <v>938.78</v>
      </c>
      <c r="K573" s="137">
        <f>K574+K575</f>
        <v>2936</v>
      </c>
    </row>
    <row r="574" spans="1:11" ht="59.5" customHeight="1" x14ac:dyDescent="0.35">
      <c r="A574" s="277">
        <v>75</v>
      </c>
      <c r="B574" s="277"/>
      <c r="C574" s="286"/>
      <c r="D574" s="287"/>
      <c r="E574" s="287"/>
      <c r="F574" s="304"/>
      <c r="G574" s="277"/>
      <c r="H574" s="136" t="s">
        <v>673</v>
      </c>
      <c r="I574" s="137">
        <f>195666.45+D573*13</f>
        <v>222675.25</v>
      </c>
      <c r="J574" s="137">
        <f>I574/D573</f>
        <v>107.18</v>
      </c>
      <c r="K574" s="137">
        <f>151+13</f>
        <v>164</v>
      </c>
    </row>
    <row r="575" spans="1:11" x14ac:dyDescent="0.35">
      <c r="A575" s="277"/>
      <c r="B575" s="277"/>
      <c r="C575" s="286"/>
      <c r="D575" s="287"/>
      <c r="E575" s="287"/>
      <c r="F575" s="304"/>
      <c r="G575" s="277"/>
      <c r="H575" s="136" t="s">
        <v>73</v>
      </c>
      <c r="I575" s="137">
        <f>K575*D573*0.3</f>
        <v>1727732.16</v>
      </c>
      <c r="J575" s="137">
        <f>I575/D573</f>
        <v>831.6</v>
      </c>
      <c r="K575" s="137">
        <v>2772</v>
      </c>
    </row>
    <row r="576" spans="1:11" x14ac:dyDescent="0.35">
      <c r="A576" s="277">
        <f>A573+1</f>
        <v>59</v>
      </c>
      <c r="B576" s="277">
        <v>352</v>
      </c>
      <c r="C576" s="286" t="s">
        <v>322</v>
      </c>
      <c r="D576" s="287">
        <v>1250.22</v>
      </c>
      <c r="E576" s="287" t="s">
        <v>74</v>
      </c>
      <c r="F576" s="304">
        <v>4</v>
      </c>
      <c r="G576" s="277" t="s">
        <v>71</v>
      </c>
      <c r="H576" s="136" t="s">
        <v>72</v>
      </c>
      <c r="I576" s="137">
        <f>I577+I578</f>
        <v>2813404.35</v>
      </c>
      <c r="J576" s="137">
        <f>J577+J578</f>
        <v>2250.33</v>
      </c>
      <c r="K576" s="137">
        <f>K577+K578</f>
        <v>4728</v>
      </c>
    </row>
    <row r="577" spans="1:11" x14ac:dyDescent="0.35">
      <c r="A577" s="277">
        <v>75</v>
      </c>
      <c r="B577" s="277"/>
      <c r="C577" s="286"/>
      <c r="D577" s="287"/>
      <c r="E577" s="287"/>
      <c r="F577" s="304"/>
      <c r="G577" s="277"/>
      <c r="H577" s="136" t="s">
        <v>73</v>
      </c>
      <c r="I577" s="137">
        <v>2764499</v>
      </c>
      <c r="J577" s="137">
        <f>I577/D576</f>
        <v>2211.21</v>
      </c>
      <c r="K577" s="137">
        <v>4629</v>
      </c>
    </row>
    <row r="578" spans="1:11" x14ac:dyDescent="0.35">
      <c r="A578" s="277">
        <v>76</v>
      </c>
      <c r="B578" s="277"/>
      <c r="C578" s="286"/>
      <c r="D578" s="287"/>
      <c r="E578" s="287"/>
      <c r="F578" s="304"/>
      <c r="G578" s="277"/>
      <c r="H578" s="136" t="s">
        <v>75</v>
      </c>
      <c r="I578" s="137">
        <v>48905.35</v>
      </c>
      <c r="J578" s="137">
        <f>I578/D576</f>
        <v>39.119999999999997</v>
      </c>
      <c r="K578" s="137">
        <v>99</v>
      </c>
    </row>
    <row r="579" spans="1:11" x14ac:dyDescent="0.35">
      <c r="A579" s="277">
        <f>A576+1</f>
        <v>60</v>
      </c>
      <c r="B579" s="277">
        <v>1846</v>
      </c>
      <c r="C579" s="286" t="s">
        <v>324</v>
      </c>
      <c r="D579" s="287">
        <v>3875.5</v>
      </c>
      <c r="E579" s="287" t="s">
        <v>70</v>
      </c>
      <c r="F579" s="304">
        <v>5</v>
      </c>
      <c r="G579" s="277" t="s">
        <v>71</v>
      </c>
      <c r="H579" s="136" t="s">
        <v>72</v>
      </c>
      <c r="I579" s="137">
        <f>I580+I581</f>
        <v>4170881.81</v>
      </c>
      <c r="J579" s="137">
        <f>J580+J581</f>
        <v>1076.22</v>
      </c>
      <c r="K579" s="137">
        <f>K580+K581</f>
        <v>3523</v>
      </c>
    </row>
    <row r="580" spans="1:11" ht="62" x14ac:dyDescent="0.35">
      <c r="A580" s="277">
        <v>75</v>
      </c>
      <c r="B580" s="277"/>
      <c r="C580" s="286"/>
      <c r="D580" s="287"/>
      <c r="E580" s="287"/>
      <c r="F580" s="304"/>
      <c r="G580" s="277"/>
      <c r="H580" s="136" t="s">
        <v>761</v>
      </c>
      <c r="I580" s="137">
        <v>548175.9</v>
      </c>
      <c r="J580" s="137">
        <f>I580/D579</f>
        <v>141.44999999999999</v>
      </c>
      <c r="K580" s="137">
        <f>135+11</f>
        <v>146</v>
      </c>
    </row>
    <row r="581" spans="1:11" ht="31" x14ac:dyDescent="0.35">
      <c r="A581" s="277">
        <v>77</v>
      </c>
      <c r="B581" s="277"/>
      <c r="C581" s="286"/>
      <c r="D581" s="287"/>
      <c r="E581" s="287"/>
      <c r="F581" s="304"/>
      <c r="G581" s="277"/>
      <c r="H581" s="136" t="s">
        <v>85</v>
      </c>
      <c r="I581" s="137">
        <f>12075686.36*0.3</f>
        <v>3622705.91</v>
      </c>
      <c r="J581" s="137">
        <f>I581/D579</f>
        <v>934.77</v>
      </c>
      <c r="K581" s="137">
        <v>3377</v>
      </c>
    </row>
    <row r="582" spans="1:11" x14ac:dyDescent="0.35">
      <c r="A582" s="277">
        <f>A579+1</f>
        <v>61</v>
      </c>
      <c r="B582" s="277">
        <v>1938</v>
      </c>
      <c r="C582" s="286" t="s">
        <v>325</v>
      </c>
      <c r="D582" s="287">
        <v>1618</v>
      </c>
      <c r="E582" s="287" t="s">
        <v>74</v>
      </c>
      <c r="F582" s="304">
        <v>4</v>
      </c>
      <c r="G582" s="277" t="s">
        <v>71</v>
      </c>
      <c r="H582" s="136" t="s">
        <v>72</v>
      </c>
      <c r="I582" s="137">
        <f>I583+I584</f>
        <v>3557261.5</v>
      </c>
      <c r="J582" s="137">
        <f>J583+J584</f>
        <v>2198.5500000000002</v>
      </c>
      <c r="K582" s="137">
        <f>K583+K584</f>
        <v>4728</v>
      </c>
    </row>
    <row r="583" spans="1:11" x14ac:dyDescent="0.35">
      <c r="A583" s="277">
        <v>75</v>
      </c>
      <c r="B583" s="277"/>
      <c r="C583" s="286"/>
      <c r="D583" s="287"/>
      <c r="E583" s="287"/>
      <c r="F583" s="304"/>
      <c r="G583" s="277"/>
      <c r="H583" s="136" t="s">
        <v>73</v>
      </c>
      <c r="I583" s="137">
        <v>3482731.06</v>
      </c>
      <c r="J583" s="137">
        <f>I583/D582</f>
        <v>2152.4899999999998</v>
      </c>
      <c r="K583" s="137">
        <v>4629</v>
      </c>
    </row>
    <row r="584" spans="1:11" x14ac:dyDescent="0.35">
      <c r="A584" s="277">
        <v>76</v>
      </c>
      <c r="B584" s="277"/>
      <c r="C584" s="286"/>
      <c r="D584" s="287"/>
      <c r="E584" s="287"/>
      <c r="F584" s="304"/>
      <c r="G584" s="277"/>
      <c r="H584" s="136" t="s">
        <v>75</v>
      </c>
      <c r="I584" s="137">
        <v>74530.44</v>
      </c>
      <c r="J584" s="137">
        <f>I584/D582</f>
        <v>46.06</v>
      </c>
      <c r="K584" s="137">
        <v>99</v>
      </c>
    </row>
    <row r="585" spans="1:11" x14ac:dyDescent="0.35">
      <c r="A585" s="277">
        <f>A582+1</f>
        <v>62</v>
      </c>
      <c r="B585" s="277">
        <v>1273</v>
      </c>
      <c r="C585" s="286" t="s">
        <v>326</v>
      </c>
      <c r="D585" s="287">
        <v>964</v>
      </c>
      <c r="E585" s="287" t="s">
        <v>74</v>
      </c>
      <c r="F585" s="304">
        <v>3</v>
      </c>
      <c r="G585" s="277" t="s">
        <v>71</v>
      </c>
      <c r="H585" s="136" t="s">
        <v>72</v>
      </c>
      <c r="I585" s="137">
        <f>I586+I587</f>
        <v>3115838.77</v>
      </c>
      <c r="J585" s="137">
        <f>J586+J587</f>
        <v>3232.2</v>
      </c>
      <c r="K585" s="137">
        <f>K586+K587</f>
        <v>4728</v>
      </c>
    </row>
    <row r="586" spans="1:11" x14ac:dyDescent="0.35">
      <c r="A586" s="277">
        <v>75</v>
      </c>
      <c r="B586" s="277"/>
      <c r="C586" s="286"/>
      <c r="D586" s="287"/>
      <c r="E586" s="287"/>
      <c r="F586" s="304"/>
      <c r="G586" s="277"/>
      <c r="H586" s="136" t="s">
        <v>73</v>
      </c>
      <c r="I586" s="137">
        <v>3073007.92</v>
      </c>
      <c r="J586" s="137">
        <f>I586/D585</f>
        <v>3187.77</v>
      </c>
      <c r="K586" s="137">
        <v>4629</v>
      </c>
    </row>
    <row r="587" spans="1:11" x14ac:dyDescent="0.35">
      <c r="A587" s="277">
        <v>76</v>
      </c>
      <c r="B587" s="277"/>
      <c r="C587" s="286"/>
      <c r="D587" s="287"/>
      <c r="E587" s="287"/>
      <c r="F587" s="304"/>
      <c r="G587" s="277"/>
      <c r="H587" s="136" t="s">
        <v>75</v>
      </c>
      <c r="I587" s="137">
        <v>42830.85</v>
      </c>
      <c r="J587" s="137">
        <f>I587/D585</f>
        <v>44.43</v>
      </c>
      <c r="K587" s="137">
        <v>99</v>
      </c>
    </row>
    <row r="588" spans="1:11" x14ac:dyDescent="0.35">
      <c r="A588" s="277">
        <f>A585+1</f>
        <v>63</v>
      </c>
      <c r="B588" s="277">
        <v>1858</v>
      </c>
      <c r="C588" s="286" t="s">
        <v>327</v>
      </c>
      <c r="D588" s="287">
        <v>3498.4</v>
      </c>
      <c r="E588" s="287" t="s">
        <v>74</v>
      </c>
      <c r="F588" s="304">
        <v>5</v>
      </c>
      <c r="G588" s="277" t="s">
        <v>71</v>
      </c>
      <c r="H588" s="136" t="s">
        <v>72</v>
      </c>
      <c r="I588" s="137">
        <f>I589+I590</f>
        <v>3151244.99</v>
      </c>
      <c r="J588" s="137">
        <f>J589+J590</f>
        <v>900.77</v>
      </c>
      <c r="K588" s="137">
        <f>K589+K590</f>
        <v>2936</v>
      </c>
    </row>
    <row r="589" spans="1:11" ht="46.5" x14ac:dyDescent="0.35">
      <c r="A589" s="277">
        <v>75</v>
      </c>
      <c r="B589" s="277"/>
      <c r="C589" s="286"/>
      <c r="D589" s="287"/>
      <c r="E589" s="287"/>
      <c r="F589" s="304"/>
      <c r="G589" s="277"/>
      <c r="H589" s="136" t="s">
        <v>673</v>
      </c>
      <c r="I589" s="137">
        <f>196496.35+D588*13</f>
        <v>241975.55</v>
      </c>
      <c r="J589" s="137">
        <f>I589/D588</f>
        <v>69.17</v>
      </c>
      <c r="K589" s="137">
        <f>151+13</f>
        <v>164</v>
      </c>
    </row>
    <row r="590" spans="1:11" x14ac:dyDescent="0.35">
      <c r="A590" s="277">
        <v>77</v>
      </c>
      <c r="B590" s="277"/>
      <c r="C590" s="286"/>
      <c r="D590" s="287"/>
      <c r="E590" s="287"/>
      <c r="F590" s="304"/>
      <c r="G590" s="277"/>
      <c r="H590" s="136" t="s">
        <v>73</v>
      </c>
      <c r="I590" s="137">
        <f>K590*D588*0.3</f>
        <v>2909269.44</v>
      </c>
      <c r="J590" s="137">
        <f>I590/D588</f>
        <v>831.6</v>
      </c>
      <c r="K590" s="137">
        <v>2772</v>
      </c>
    </row>
    <row r="591" spans="1:11" x14ac:dyDescent="0.35">
      <c r="A591" s="277">
        <f>A588+1</f>
        <v>64</v>
      </c>
      <c r="B591" s="277">
        <v>1725</v>
      </c>
      <c r="C591" s="286" t="s">
        <v>328</v>
      </c>
      <c r="D591" s="287">
        <v>299.2</v>
      </c>
      <c r="E591" s="287" t="s">
        <v>633</v>
      </c>
      <c r="F591" s="304">
        <v>2</v>
      </c>
      <c r="G591" s="277" t="s">
        <v>71</v>
      </c>
      <c r="H591" s="136" t="s">
        <v>72</v>
      </c>
      <c r="I591" s="137">
        <f>I592+I593</f>
        <v>661601.71</v>
      </c>
      <c r="J591" s="137">
        <f>J592+J593</f>
        <v>2211.2399999999998</v>
      </c>
      <c r="K591" s="137">
        <f>K592+K593</f>
        <v>7096</v>
      </c>
    </row>
    <row r="592" spans="1:11" ht="46.5" x14ac:dyDescent="0.35">
      <c r="A592" s="277">
        <v>75</v>
      </c>
      <c r="B592" s="277"/>
      <c r="C592" s="286"/>
      <c r="D592" s="287"/>
      <c r="E592" s="287"/>
      <c r="F592" s="304"/>
      <c r="G592" s="277"/>
      <c r="H592" s="136" t="s">
        <v>673</v>
      </c>
      <c r="I592" s="137">
        <v>43746.83</v>
      </c>
      <c r="J592" s="137">
        <f>I592/D591</f>
        <v>146.21</v>
      </c>
      <c r="K592" s="137">
        <f>164+14</f>
        <v>178</v>
      </c>
    </row>
    <row r="593" spans="1:11" x14ac:dyDescent="0.35">
      <c r="A593" s="277">
        <v>77</v>
      </c>
      <c r="B593" s="277"/>
      <c r="C593" s="286"/>
      <c r="D593" s="287"/>
      <c r="E593" s="287"/>
      <c r="F593" s="304"/>
      <c r="G593" s="277"/>
      <c r="H593" s="136" t="s">
        <v>73</v>
      </c>
      <c r="I593" s="137">
        <f>2059516.27*0.3</f>
        <v>617854.88</v>
      </c>
      <c r="J593" s="137">
        <f>I593/D591+0.01</f>
        <v>2065.0300000000002</v>
      </c>
      <c r="K593" s="137">
        <v>6918</v>
      </c>
    </row>
    <row r="594" spans="1:11" x14ac:dyDescent="0.35">
      <c r="A594" s="277">
        <f>A591+1</f>
        <v>65</v>
      </c>
      <c r="B594" s="277">
        <v>1557</v>
      </c>
      <c r="C594" s="286" t="s">
        <v>329</v>
      </c>
      <c r="D594" s="287">
        <v>2582.4</v>
      </c>
      <c r="E594" s="287" t="s">
        <v>70</v>
      </c>
      <c r="F594" s="304">
        <v>5</v>
      </c>
      <c r="G594" s="277" t="s">
        <v>83</v>
      </c>
      <c r="H594" s="136" t="s">
        <v>72</v>
      </c>
      <c r="I594" s="137">
        <f>I595+I596</f>
        <v>474541.47</v>
      </c>
      <c r="J594" s="137">
        <f>J595+J596</f>
        <v>183.76</v>
      </c>
      <c r="K594" s="137">
        <f>K595+K596</f>
        <v>277</v>
      </c>
    </row>
    <row r="595" spans="1:11" x14ac:dyDescent="0.35">
      <c r="A595" s="277"/>
      <c r="B595" s="277"/>
      <c r="C595" s="286"/>
      <c r="D595" s="287"/>
      <c r="E595" s="287"/>
      <c r="F595" s="304"/>
      <c r="G595" s="277"/>
      <c r="H595" s="136" t="s">
        <v>73</v>
      </c>
      <c r="I595" s="137">
        <v>471398.37</v>
      </c>
      <c r="J595" s="137">
        <f>I595/D594</f>
        <v>182.54</v>
      </c>
      <c r="K595" s="137">
        <v>271</v>
      </c>
    </row>
    <row r="596" spans="1:11" x14ac:dyDescent="0.35">
      <c r="A596" s="277"/>
      <c r="B596" s="277"/>
      <c r="C596" s="286"/>
      <c r="D596" s="287"/>
      <c r="E596" s="287"/>
      <c r="F596" s="304"/>
      <c r="G596" s="277"/>
      <c r="H596" s="136" t="s">
        <v>75</v>
      </c>
      <c r="I596" s="137">
        <v>3143.1</v>
      </c>
      <c r="J596" s="137">
        <f>I596/D594</f>
        <v>1.22</v>
      </c>
      <c r="K596" s="137">
        <v>6</v>
      </c>
    </row>
    <row r="597" spans="1:11" x14ac:dyDescent="0.35">
      <c r="A597" s="270">
        <f>A594+1</f>
        <v>66</v>
      </c>
      <c r="B597" s="270">
        <v>1367</v>
      </c>
      <c r="C597" s="278" t="s">
        <v>330</v>
      </c>
      <c r="D597" s="273">
        <v>12279.6</v>
      </c>
      <c r="E597" s="273" t="s">
        <v>70</v>
      </c>
      <c r="F597" s="282">
        <v>9</v>
      </c>
      <c r="G597" s="270" t="s">
        <v>76</v>
      </c>
      <c r="H597" s="136" t="s">
        <v>72</v>
      </c>
      <c r="I597" s="137">
        <f>I598+I599+I600+I601+I602+I603</f>
        <v>7736167</v>
      </c>
      <c r="J597" s="137">
        <f>J598+J599+J600+J601+J602+J603</f>
        <v>630</v>
      </c>
      <c r="K597" s="137">
        <f>K598+K599+K600+K601+K602+K603</f>
        <v>2224</v>
      </c>
    </row>
    <row r="598" spans="1:11" ht="46.5" x14ac:dyDescent="0.35">
      <c r="A598" s="271"/>
      <c r="B598" s="271"/>
      <c r="C598" s="279"/>
      <c r="D598" s="274"/>
      <c r="E598" s="274"/>
      <c r="F598" s="283"/>
      <c r="G598" s="271"/>
      <c r="H598" s="136" t="s">
        <v>634</v>
      </c>
      <c r="I598" s="137">
        <v>321351.18</v>
      </c>
      <c r="J598" s="137">
        <f>I598/D597</f>
        <v>26.17</v>
      </c>
      <c r="K598" s="137">
        <f>50+4</f>
        <v>54</v>
      </c>
    </row>
    <row r="599" spans="1:11" x14ac:dyDescent="0.35">
      <c r="A599" s="271"/>
      <c r="B599" s="271"/>
      <c r="C599" s="279"/>
      <c r="D599" s="274"/>
      <c r="E599" s="274"/>
      <c r="F599" s="283"/>
      <c r="G599" s="272"/>
      <c r="H599" s="136" t="s">
        <v>73</v>
      </c>
      <c r="I599" s="137">
        <f>15472296*0.3</f>
        <v>4641688.8</v>
      </c>
      <c r="J599" s="137">
        <f>I599/D597</f>
        <v>378</v>
      </c>
      <c r="K599" s="137">
        <v>1260</v>
      </c>
    </row>
    <row r="600" spans="1:11" ht="57" customHeight="1" x14ac:dyDescent="0.35">
      <c r="A600" s="271"/>
      <c r="B600" s="271"/>
      <c r="C600" s="279"/>
      <c r="D600" s="274"/>
      <c r="E600" s="274"/>
      <c r="F600" s="283"/>
      <c r="G600" s="270" t="s">
        <v>77</v>
      </c>
      <c r="H600" s="136" t="s">
        <v>634</v>
      </c>
      <c r="I600" s="137">
        <v>163311.12</v>
      </c>
      <c r="J600" s="137">
        <f>I600/D597</f>
        <v>13.3</v>
      </c>
      <c r="K600" s="137">
        <f>19+2</f>
        <v>21</v>
      </c>
    </row>
    <row r="601" spans="1:11" x14ac:dyDescent="0.35">
      <c r="A601" s="271"/>
      <c r="B601" s="271"/>
      <c r="C601" s="279"/>
      <c r="D601" s="274"/>
      <c r="E601" s="274"/>
      <c r="F601" s="283"/>
      <c r="G601" s="272"/>
      <c r="H601" s="136" t="s">
        <v>73</v>
      </c>
      <c r="I601" s="137">
        <f>3283353.4*0.3</f>
        <v>985006.02</v>
      </c>
      <c r="J601" s="137">
        <f>I601/D597</f>
        <v>80.209999999999994</v>
      </c>
      <c r="K601" s="137">
        <v>463</v>
      </c>
    </row>
    <row r="602" spans="1:11" ht="58.5" customHeight="1" x14ac:dyDescent="0.35">
      <c r="A602" s="271"/>
      <c r="B602" s="271"/>
      <c r="C602" s="279"/>
      <c r="D602" s="274"/>
      <c r="E602" s="274"/>
      <c r="F602" s="283"/>
      <c r="G602" s="270" t="s">
        <v>78</v>
      </c>
      <c r="H602" s="136" t="s">
        <v>634</v>
      </c>
      <c r="I602" s="137">
        <v>118102.96</v>
      </c>
      <c r="J602" s="137">
        <f>I602/D597</f>
        <v>9.6199999999999992</v>
      </c>
      <c r="K602" s="137">
        <f>16+1</f>
        <v>17</v>
      </c>
    </row>
    <row r="603" spans="1:11" x14ac:dyDescent="0.35">
      <c r="A603" s="272"/>
      <c r="B603" s="272"/>
      <c r="C603" s="285"/>
      <c r="D603" s="275"/>
      <c r="E603" s="275"/>
      <c r="F603" s="284"/>
      <c r="G603" s="272"/>
      <c r="H603" s="136" t="s">
        <v>73</v>
      </c>
      <c r="I603" s="137">
        <f>5022356.4*0.3</f>
        <v>1506706.92</v>
      </c>
      <c r="J603" s="137">
        <f>I603/D597</f>
        <v>122.7</v>
      </c>
      <c r="K603" s="137">
        <v>409</v>
      </c>
    </row>
    <row r="604" spans="1:11" x14ac:dyDescent="0.35">
      <c r="A604" s="277">
        <f>A597+1</f>
        <v>67</v>
      </c>
      <c r="B604" s="277">
        <v>1456</v>
      </c>
      <c r="C604" s="286" t="s">
        <v>331</v>
      </c>
      <c r="D604" s="287">
        <v>5088.2</v>
      </c>
      <c r="E604" s="287" t="s">
        <v>74</v>
      </c>
      <c r="F604" s="304">
        <v>14</v>
      </c>
      <c r="G604" s="146"/>
      <c r="H604" s="136" t="s">
        <v>72</v>
      </c>
      <c r="I604" s="137">
        <f>I605+I606+I607+I608+I609+I610</f>
        <v>5352255</v>
      </c>
      <c r="J604" s="137">
        <f>J605+J606+J607+J608+J609+J610</f>
        <v>1051.9000000000001</v>
      </c>
      <c r="K604" s="137">
        <f>K605+K606+K607+K608+K609+K610</f>
        <v>1061.56</v>
      </c>
    </row>
    <row r="605" spans="1:11" ht="58" customHeight="1" x14ac:dyDescent="0.35">
      <c r="A605" s="277"/>
      <c r="B605" s="277"/>
      <c r="C605" s="286"/>
      <c r="D605" s="287"/>
      <c r="E605" s="287"/>
      <c r="F605" s="304"/>
      <c r="G605" s="270" t="s">
        <v>641</v>
      </c>
      <c r="H605" s="136" t="s">
        <v>634</v>
      </c>
      <c r="I605" s="137">
        <v>0</v>
      </c>
      <c r="J605" s="137">
        <v>0</v>
      </c>
      <c r="K605" s="137">
        <f>24580/D604</f>
        <v>4.83</v>
      </c>
    </row>
    <row r="606" spans="1:11" x14ac:dyDescent="0.35">
      <c r="A606" s="277">
        <v>756</v>
      </c>
      <c r="B606" s="277"/>
      <c r="C606" s="286"/>
      <c r="D606" s="287"/>
      <c r="E606" s="287"/>
      <c r="F606" s="304"/>
      <c r="G606" s="271"/>
      <c r="H606" s="136" t="s">
        <v>642</v>
      </c>
      <c r="I606" s="137">
        <v>2329716</v>
      </c>
      <c r="J606" s="137">
        <f>I606/D604</f>
        <v>457.87</v>
      </c>
      <c r="K606" s="137">
        <f>2329716/D604</f>
        <v>457.87</v>
      </c>
    </row>
    <row r="607" spans="1:11" x14ac:dyDescent="0.35">
      <c r="A607" s="277">
        <v>757</v>
      </c>
      <c r="B607" s="277"/>
      <c r="C607" s="286"/>
      <c r="D607" s="287"/>
      <c r="E607" s="287"/>
      <c r="F607" s="304"/>
      <c r="G607" s="272"/>
      <c r="H607" s="136" t="s">
        <v>75</v>
      </c>
      <c r="I607" s="137">
        <v>49856</v>
      </c>
      <c r="J607" s="137">
        <f>I607/D604</f>
        <v>9.8000000000000007</v>
      </c>
      <c r="K607" s="137">
        <f>49856/D604</f>
        <v>9.8000000000000007</v>
      </c>
    </row>
    <row r="608" spans="1:11" ht="59.5" customHeight="1" x14ac:dyDescent="0.35">
      <c r="A608" s="277"/>
      <c r="B608" s="277"/>
      <c r="C608" s="286"/>
      <c r="D608" s="287"/>
      <c r="E608" s="287"/>
      <c r="F608" s="304"/>
      <c r="G608" s="270" t="s">
        <v>647</v>
      </c>
      <c r="H608" s="136" t="s">
        <v>634</v>
      </c>
      <c r="I608" s="137">
        <v>0</v>
      </c>
      <c r="J608" s="137">
        <v>0</v>
      </c>
      <c r="K608" s="137">
        <f>24580/D604</f>
        <v>4.83</v>
      </c>
    </row>
    <row r="609" spans="1:11" x14ac:dyDescent="0.35">
      <c r="A609" s="277"/>
      <c r="B609" s="277"/>
      <c r="C609" s="286"/>
      <c r="D609" s="287"/>
      <c r="E609" s="287"/>
      <c r="F609" s="304"/>
      <c r="G609" s="271"/>
      <c r="H609" s="136" t="s">
        <v>642</v>
      </c>
      <c r="I609" s="137">
        <v>2910400</v>
      </c>
      <c r="J609" s="137">
        <f>I609/D604</f>
        <v>571.99</v>
      </c>
      <c r="K609" s="137">
        <f>2910400/D604</f>
        <v>571.99</v>
      </c>
    </row>
    <row r="610" spans="1:11" x14ac:dyDescent="0.35">
      <c r="A610" s="277"/>
      <c r="B610" s="277"/>
      <c r="C610" s="286"/>
      <c r="D610" s="287"/>
      <c r="E610" s="287"/>
      <c r="F610" s="304"/>
      <c r="G610" s="272"/>
      <c r="H610" s="136" t="s">
        <v>75</v>
      </c>
      <c r="I610" s="137">
        <v>62283</v>
      </c>
      <c r="J610" s="137">
        <f>I610/D604</f>
        <v>12.24</v>
      </c>
      <c r="K610" s="137">
        <f>62283/D604</f>
        <v>12.24</v>
      </c>
    </row>
    <row r="611" spans="1:11" x14ac:dyDescent="0.35">
      <c r="A611" s="277">
        <f>A604+1</f>
        <v>68</v>
      </c>
      <c r="B611" s="277">
        <v>1370</v>
      </c>
      <c r="C611" s="286" t="s">
        <v>332</v>
      </c>
      <c r="D611" s="287">
        <v>4201.3999999999996</v>
      </c>
      <c r="E611" s="287" t="s">
        <v>74</v>
      </c>
      <c r="F611" s="304">
        <v>5</v>
      </c>
      <c r="G611" s="277" t="s">
        <v>86</v>
      </c>
      <c r="H611" s="136" t="s">
        <v>72</v>
      </c>
      <c r="I611" s="137">
        <f>I612+I613</f>
        <v>704160.23</v>
      </c>
      <c r="J611" s="137">
        <f>J612+J613</f>
        <v>167.6</v>
      </c>
      <c r="K611" s="137">
        <f>K612+K613</f>
        <v>609</v>
      </c>
    </row>
    <row r="612" spans="1:11" ht="46.5" x14ac:dyDescent="0.35">
      <c r="A612" s="277">
        <v>75</v>
      </c>
      <c r="B612" s="277"/>
      <c r="C612" s="286"/>
      <c r="D612" s="287"/>
      <c r="E612" s="287"/>
      <c r="F612" s="304"/>
      <c r="G612" s="277"/>
      <c r="H612" s="136" t="s">
        <v>634</v>
      </c>
      <c r="I612" s="137">
        <f>96632.19+D611*2</f>
        <v>105034.99</v>
      </c>
      <c r="J612" s="137">
        <f>I612/D611</f>
        <v>25</v>
      </c>
      <c r="K612" s="137">
        <f>23+2</f>
        <v>25</v>
      </c>
    </row>
    <row r="613" spans="1:11" x14ac:dyDescent="0.35">
      <c r="A613" s="277">
        <v>77</v>
      </c>
      <c r="B613" s="277"/>
      <c r="C613" s="286"/>
      <c r="D613" s="287"/>
      <c r="E613" s="287"/>
      <c r="F613" s="304"/>
      <c r="G613" s="277"/>
      <c r="H613" s="136" t="s">
        <v>73</v>
      </c>
      <c r="I613" s="137">
        <f>1997084.13*0.3</f>
        <v>599125.24</v>
      </c>
      <c r="J613" s="137">
        <f>I613/D611</f>
        <v>142.6</v>
      </c>
      <c r="K613" s="137">
        <v>584</v>
      </c>
    </row>
    <row r="614" spans="1:11" x14ac:dyDescent="0.35">
      <c r="A614" s="277">
        <f>A611+1</f>
        <v>69</v>
      </c>
      <c r="B614" s="277">
        <v>1445</v>
      </c>
      <c r="C614" s="286" t="s">
        <v>333</v>
      </c>
      <c r="D614" s="287">
        <v>1372.4</v>
      </c>
      <c r="E614" s="287" t="s">
        <v>74</v>
      </c>
      <c r="F614" s="304">
        <v>6</v>
      </c>
      <c r="G614" s="277" t="s">
        <v>71</v>
      </c>
      <c r="H614" s="136" t="s">
        <v>72</v>
      </c>
      <c r="I614" s="137">
        <f>I615</f>
        <v>223790.41</v>
      </c>
      <c r="J614" s="137">
        <f>J615</f>
        <v>163.07</v>
      </c>
      <c r="K614" s="137">
        <f>K615</f>
        <v>164</v>
      </c>
    </row>
    <row r="615" spans="1:11" ht="46.5" x14ac:dyDescent="0.35">
      <c r="A615" s="277">
        <v>75</v>
      </c>
      <c r="B615" s="277"/>
      <c r="C615" s="286"/>
      <c r="D615" s="287"/>
      <c r="E615" s="287"/>
      <c r="F615" s="304"/>
      <c r="G615" s="277"/>
      <c r="H615" s="136" t="s">
        <v>673</v>
      </c>
      <c r="I615" s="137">
        <f>205949.21+D614*13</f>
        <v>223790.41</v>
      </c>
      <c r="J615" s="137">
        <f>I615/D614</f>
        <v>163.07</v>
      </c>
      <c r="K615" s="137">
        <f>151+13</f>
        <v>164</v>
      </c>
    </row>
    <row r="616" spans="1:11" x14ac:dyDescent="0.35">
      <c r="A616" s="277">
        <f>A614+1</f>
        <v>70</v>
      </c>
      <c r="B616" s="277">
        <v>1371</v>
      </c>
      <c r="C616" s="286" t="s">
        <v>334</v>
      </c>
      <c r="D616" s="287">
        <v>3039.3</v>
      </c>
      <c r="E616" s="287" t="s">
        <v>74</v>
      </c>
      <c r="F616" s="304">
        <v>5</v>
      </c>
      <c r="G616" s="277" t="s">
        <v>71</v>
      </c>
      <c r="H616" s="136" t="s">
        <v>72</v>
      </c>
      <c r="I616" s="137">
        <f>I617+I618</f>
        <v>6223360.8300000001</v>
      </c>
      <c r="J616" s="137">
        <f>J617+J618</f>
        <v>2047.63</v>
      </c>
      <c r="K616" s="137">
        <f>K617+K618</f>
        <v>2831</v>
      </c>
    </row>
    <row r="617" spans="1:11" x14ac:dyDescent="0.35">
      <c r="A617" s="277">
        <v>75</v>
      </c>
      <c r="B617" s="277"/>
      <c r="C617" s="286"/>
      <c r="D617" s="287"/>
      <c r="E617" s="287"/>
      <c r="F617" s="304"/>
      <c r="G617" s="277"/>
      <c r="H617" s="136" t="s">
        <v>73</v>
      </c>
      <c r="I617" s="137">
        <v>6129065.1600000001</v>
      </c>
      <c r="J617" s="137">
        <f>I617/D616</f>
        <v>2016.6</v>
      </c>
      <c r="K617" s="137">
        <v>2772</v>
      </c>
    </row>
    <row r="618" spans="1:11" x14ac:dyDescent="0.35">
      <c r="A618" s="277">
        <v>76</v>
      </c>
      <c r="B618" s="277"/>
      <c r="C618" s="286"/>
      <c r="D618" s="287"/>
      <c r="E618" s="287"/>
      <c r="F618" s="304"/>
      <c r="G618" s="277"/>
      <c r="H618" s="136" t="s">
        <v>75</v>
      </c>
      <c r="I618" s="137">
        <v>94295.67</v>
      </c>
      <c r="J618" s="137">
        <f>I618/D616</f>
        <v>31.03</v>
      </c>
      <c r="K618" s="137">
        <v>59</v>
      </c>
    </row>
    <row r="619" spans="1:11" x14ac:dyDescent="0.35">
      <c r="A619" s="277">
        <f>A616+1</f>
        <v>71</v>
      </c>
      <c r="B619" s="277">
        <v>1372</v>
      </c>
      <c r="C619" s="286" t="s">
        <v>335</v>
      </c>
      <c r="D619" s="287">
        <v>2840.9</v>
      </c>
      <c r="E619" s="287" t="s">
        <v>74</v>
      </c>
      <c r="F619" s="304">
        <v>5</v>
      </c>
      <c r="G619" s="277" t="s">
        <v>71</v>
      </c>
      <c r="H619" s="136" t="s">
        <v>72</v>
      </c>
      <c r="I619" s="137">
        <f>I620+I621</f>
        <v>6264674.8200000003</v>
      </c>
      <c r="J619" s="137">
        <f>J620+J621</f>
        <v>2205.17</v>
      </c>
      <c r="K619" s="137">
        <f>K620+K621</f>
        <v>2831</v>
      </c>
    </row>
    <row r="620" spans="1:11" x14ac:dyDescent="0.35">
      <c r="A620" s="277">
        <v>75</v>
      </c>
      <c r="B620" s="277"/>
      <c r="C620" s="286"/>
      <c r="D620" s="287"/>
      <c r="E620" s="287"/>
      <c r="F620" s="304"/>
      <c r="G620" s="277"/>
      <c r="H620" s="136" t="s">
        <v>73</v>
      </c>
      <c r="I620" s="137">
        <v>6169834.3399999999</v>
      </c>
      <c r="J620" s="137">
        <f>I620/D619</f>
        <v>2171.79</v>
      </c>
      <c r="K620" s="137">
        <v>2772</v>
      </c>
    </row>
    <row r="621" spans="1:11" x14ac:dyDescent="0.35">
      <c r="A621" s="277">
        <v>76</v>
      </c>
      <c r="B621" s="277"/>
      <c r="C621" s="286"/>
      <c r="D621" s="287"/>
      <c r="E621" s="287"/>
      <c r="F621" s="304"/>
      <c r="G621" s="277"/>
      <c r="H621" s="136" t="s">
        <v>75</v>
      </c>
      <c r="I621" s="137">
        <v>94840.48</v>
      </c>
      <c r="J621" s="137">
        <f>I621/D619</f>
        <v>33.380000000000003</v>
      </c>
      <c r="K621" s="137">
        <v>59</v>
      </c>
    </row>
    <row r="622" spans="1:11" x14ac:dyDescent="0.35">
      <c r="A622" s="277">
        <f>A619+1</f>
        <v>72</v>
      </c>
      <c r="B622" s="277">
        <v>1373</v>
      </c>
      <c r="C622" s="286" t="s">
        <v>336</v>
      </c>
      <c r="D622" s="287">
        <v>3533.5</v>
      </c>
      <c r="E622" s="287" t="s">
        <v>70</v>
      </c>
      <c r="F622" s="304">
        <v>5</v>
      </c>
      <c r="G622" s="277" t="s">
        <v>71</v>
      </c>
      <c r="H622" s="136" t="s">
        <v>72</v>
      </c>
      <c r="I622" s="137">
        <f>I623+I624</f>
        <v>4071328.37</v>
      </c>
      <c r="J622" s="137">
        <f>J623+J624</f>
        <v>1152.21</v>
      </c>
      <c r="K622" s="137">
        <f>K623+K624</f>
        <v>3523</v>
      </c>
    </row>
    <row r="623" spans="1:11" ht="62" x14ac:dyDescent="0.35">
      <c r="A623" s="277"/>
      <c r="B623" s="277"/>
      <c r="C623" s="286"/>
      <c r="D623" s="287"/>
      <c r="E623" s="287"/>
      <c r="F623" s="304"/>
      <c r="G623" s="277"/>
      <c r="H623" s="136" t="s">
        <v>761</v>
      </c>
      <c r="I623" s="137">
        <v>491539.52</v>
      </c>
      <c r="J623" s="137">
        <f>I623/D622</f>
        <v>139.11000000000001</v>
      </c>
      <c r="K623" s="137">
        <f>135+11</f>
        <v>146</v>
      </c>
    </row>
    <row r="624" spans="1:11" ht="31" x14ac:dyDescent="0.35">
      <c r="A624" s="277"/>
      <c r="B624" s="277"/>
      <c r="C624" s="286"/>
      <c r="D624" s="287"/>
      <c r="E624" s="287"/>
      <c r="F624" s="304"/>
      <c r="G624" s="277"/>
      <c r="H624" s="136" t="s">
        <v>85</v>
      </c>
      <c r="I624" s="137">
        <f>K624*D622*0.3</f>
        <v>3579788.85</v>
      </c>
      <c r="J624" s="137">
        <f>I624/D622</f>
        <v>1013.1</v>
      </c>
      <c r="K624" s="137">
        <v>3377</v>
      </c>
    </row>
    <row r="625" spans="1:11" x14ac:dyDescent="0.35">
      <c r="A625" s="277">
        <f>A622+1</f>
        <v>73</v>
      </c>
      <c r="B625" s="277">
        <v>1376</v>
      </c>
      <c r="C625" s="286" t="s">
        <v>337</v>
      </c>
      <c r="D625" s="287">
        <v>2451.35</v>
      </c>
      <c r="E625" s="287" t="s">
        <v>70</v>
      </c>
      <c r="F625" s="304">
        <v>5</v>
      </c>
      <c r="G625" s="277" t="s">
        <v>71</v>
      </c>
      <c r="H625" s="136" t="s">
        <v>72</v>
      </c>
      <c r="I625" s="137">
        <f>I626+I627</f>
        <v>2715275.2</v>
      </c>
      <c r="J625" s="137">
        <f>J626+J627</f>
        <v>1107.67</v>
      </c>
      <c r="K625" s="137">
        <f>K626+K627</f>
        <v>3523</v>
      </c>
    </row>
    <row r="626" spans="1:11" ht="73.5" customHeight="1" x14ac:dyDescent="0.35">
      <c r="A626" s="277">
        <v>75</v>
      </c>
      <c r="B626" s="277"/>
      <c r="C626" s="286"/>
      <c r="D626" s="287"/>
      <c r="E626" s="287"/>
      <c r="F626" s="304"/>
      <c r="G626" s="277"/>
      <c r="H626" s="136" t="s">
        <v>761</v>
      </c>
      <c r="I626" s="137">
        <f>328738.29+D625*11</f>
        <v>355703.14</v>
      </c>
      <c r="J626" s="137">
        <f>I626/D625</f>
        <v>145.1</v>
      </c>
      <c r="K626" s="137">
        <f>135+11</f>
        <v>146</v>
      </c>
    </row>
    <row r="627" spans="1:11" ht="31" x14ac:dyDescent="0.35">
      <c r="A627" s="277">
        <v>77</v>
      </c>
      <c r="B627" s="277"/>
      <c r="C627" s="286"/>
      <c r="D627" s="287"/>
      <c r="E627" s="287"/>
      <c r="F627" s="304"/>
      <c r="G627" s="277"/>
      <c r="H627" s="136" t="s">
        <v>85</v>
      </c>
      <c r="I627" s="137">
        <f>7865240.19*0.3</f>
        <v>2359572.06</v>
      </c>
      <c r="J627" s="137">
        <f>I627/D625+0.01</f>
        <v>962.57</v>
      </c>
      <c r="K627" s="137">
        <v>3377</v>
      </c>
    </row>
    <row r="628" spans="1:11" x14ac:dyDescent="0.35">
      <c r="A628" s="270">
        <f>A625+1</f>
        <v>74</v>
      </c>
      <c r="B628" s="270">
        <v>1377</v>
      </c>
      <c r="C628" s="278" t="s">
        <v>338</v>
      </c>
      <c r="D628" s="273">
        <v>14235.2</v>
      </c>
      <c r="E628" s="273" t="s">
        <v>70</v>
      </c>
      <c r="F628" s="282">
        <v>9</v>
      </c>
      <c r="G628" s="270" t="s">
        <v>76</v>
      </c>
      <c r="H628" s="136" t="s">
        <v>72</v>
      </c>
      <c r="I628" s="137">
        <f>I629+I630+I631+I632+I633+I634</f>
        <v>8946021.8100000005</v>
      </c>
      <c r="J628" s="137">
        <f>J629+J630+J631+J632+J633+J634</f>
        <v>628.44000000000005</v>
      </c>
      <c r="K628" s="137">
        <f>K629+K630+K631+K632+K633+K634</f>
        <v>2224</v>
      </c>
    </row>
    <row r="629" spans="1:11" ht="61.5" customHeight="1" x14ac:dyDescent="0.35">
      <c r="A629" s="271"/>
      <c r="B629" s="271"/>
      <c r="C629" s="279"/>
      <c r="D629" s="274"/>
      <c r="E629" s="274"/>
      <c r="F629" s="283"/>
      <c r="G629" s="271"/>
      <c r="H629" s="136" t="s">
        <v>634</v>
      </c>
      <c r="I629" s="137">
        <f>314242.59+25905.45</f>
        <v>340148.04</v>
      </c>
      <c r="J629" s="137">
        <f>I629/D628</f>
        <v>23.89</v>
      </c>
      <c r="K629" s="137">
        <f>50+4</f>
        <v>54</v>
      </c>
    </row>
    <row r="630" spans="1:11" x14ac:dyDescent="0.35">
      <c r="A630" s="271"/>
      <c r="B630" s="271"/>
      <c r="C630" s="279"/>
      <c r="D630" s="274"/>
      <c r="E630" s="274"/>
      <c r="F630" s="283"/>
      <c r="G630" s="272"/>
      <c r="H630" s="136" t="s">
        <v>73</v>
      </c>
      <c r="I630" s="137">
        <f>17936352*0.3</f>
        <v>5380905.5999999996</v>
      </c>
      <c r="J630" s="137">
        <f>I630/D628</f>
        <v>378</v>
      </c>
      <c r="K630" s="137">
        <v>1260</v>
      </c>
    </row>
    <row r="631" spans="1:11" ht="61.5" customHeight="1" x14ac:dyDescent="0.35">
      <c r="A631" s="271"/>
      <c r="B631" s="271"/>
      <c r="C631" s="279"/>
      <c r="D631" s="274"/>
      <c r="E631" s="274"/>
      <c r="F631" s="283"/>
      <c r="G631" s="270" t="s">
        <v>77</v>
      </c>
      <c r="H631" s="136" t="s">
        <v>634</v>
      </c>
      <c r="I631" s="137">
        <f>164785.97+13584.59</f>
        <v>178370.56</v>
      </c>
      <c r="J631" s="137">
        <f>I631/D628</f>
        <v>12.53</v>
      </c>
      <c r="K631" s="137">
        <f>19+2</f>
        <v>21</v>
      </c>
    </row>
    <row r="632" spans="1:11" x14ac:dyDescent="0.35">
      <c r="A632" s="271"/>
      <c r="B632" s="271"/>
      <c r="C632" s="279"/>
      <c r="D632" s="274"/>
      <c r="E632" s="274"/>
      <c r="F632" s="283"/>
      <c r="G632" s="272"/>
      <c r="H632" s="136" t="s">
        <v>73</v>
      </c>
      <c r="I632" s="137">
        <f>3899523.18*0.3</f>
        <v>1169856.95</v>
      </c>
      <c r="J632" s="137">
        <f>I632/D628</f>
        <v>82.18</v>
      </c>
      <c r="K632" s="137">
        <v>463</v>
      </c>
    </row>
    <row r="633" spans="1:11" ht="59.5" customHeight="1" x14ac:dyDescent="0.35">
      <c r="A633" s="271"/>
      <c r="B633" s="271"/>
      <c r="C633" s="279"/>
      <c r="D633" s="274"/>
      <c r="E633" s="274"/>
      <c r="F633" s="283"/>
      <c r="G633" s="270" t="s">
        <v>78</v>
      </c>
      <c r="H633" s="136" t="s">
        <v>634</v>
      </c>
      <c r="I633" s="137">
        <f>120174.69+9906.93</f>
        <v>130081.62</v>
      </c>
      <c r="J633" s="137">
        <f>I633/D628</f>
        <v>9.14</v>
      </c>
      <c r="K633" s="137">
        <f>16+1</f>
        <v>17</v>
      </c>
    </row>
    <row r="634" spans="1:11" x14ac:dyDescent="0.35">
      <c r="A634" s="272"/>
      <c r="B634" s="272"/>
      <c r="C634" s="285"/>
      <c r="D634" s="275"/>
      <c r="E634" s="275"/>
      <c r="F634" s="284"/>
      <c r="G634" s="272"/>
      <c r="H634" s="136" t="s">
        <v>73</v>
      </c>
      <c r="I634" s="137">
        <f>5822196.8*0.3</f>
        <v>1746659.04</v>
      </c>
      <c r="J634" s="137">
        <f>I634/D628</f>
        <v>122.7</v>
      </c>
      <c r="K634" s="137">
        <v>409</v>
      </c>
    </row>
    <row r="635" spans="1:11" x14ac:dyDescent="0.35">
      <c r="A635" s="277">
        <f>A628+1</f>
        <v>75</v>
      </c>
      <c r="B635" s="277">
        <v>1378</v>
      </c>
      <c r="C635" s="286" t="s">
        <v>339</v>
      </c>
      <c r="D635" s="287">
        <v>4687.8</v>
      </c>
      <c r="E635" s="287" t="s">
        <v>70</v>
      </c>
      <c r="F635" s="304">
        <v>5</v>
      </c>
      <c r="G635" s="277" t="s">
        <v>71</v>
      </c>
      <c r="H635" s="136" t="s">
        <v>72</v>
      </c>
      <c r="I635" s="137">
        <f>I636+I637</f>
        <v>5356590.1500000004</v>
      </c>
      <c r="J635" s="137">
        <f>J636+J637</f>
        <v>1142.67</v>
      </c>
      <c r="K635" s="137">
        <f>K636+K637</f>
        <v>3523</v>
      </c>
    </row>
    <row r="636" spans="1:11" ht="72" customHeight="1" x14ac:dyDescent="0.35">
      <c r="A636" s="277"/>
      <c r="B636" s="277"/>
      <c r="C636" s="286"/>
      <c r="D636" s="287"/>
      <c r="E636" s="287"/>
      <c r="F636" s="304"/>
      <c r="G636" s="277"/>
      <c r="H636" s="136" t="s">
        <v>761</v>
      </c>
      <c r="I636" s="137">
        <v>646177.42000000004</v>
      </c>
      <c r="J636" s="137">
        <f>I636/D635</f>
        <v>137.84</v>
      </c>
      <c r="K636" s="137">
        <f>135+11</f>
        <v>146</v>
      </c>
    </row>
    <row r="637" spans="1:11" ht="31" x14ac:dyDescent="0.35">
      <c r="A637" s="277"/>
      <c r="B637" s="277"/>
      <c r="C637" s="286"/>
      <c r="D637" s="287"/>
      <c r="E637" s="287"/>
      <c r="F637" s="304"/>
      <c r="G637" s="277"/>
      <c r="H637" s="136" t="s">
        <v>85</v>
      </c>
      <c r="I637" s="137">
        <f>15701375.75*0.3</f>
        <v>4710412.7300000004</v>
      </c>
      <c r="J637" s="137">
        <f>I637/D635+0.01</f>
        <v>1004.83</v>
      </c>
      <c r="K637" s="137">
        <v>3377</v>
      </c>
    </row>
    <row r="638" spans="1:11" x14ac:dyDescent="0.35">
      <c r="A638" s="277">
        <f>A635+1</f>
        <v>76</v>
      </c>
      <c r="B638" s="277">
        <v>1379</v>
      </c>
      <c r="C638" s="286" t="s">
        <v>340</v>
      </c>
      <c r="D638" s="287">
        <v>2659.6</v>
      </c>
      <c r="E638" s="287" t="s">
        <v>70</v>
      </c>
      <c r="F638" s="304">
        <v>5</v>
      </c>
      <c r="G638" s="277" t="s">
        <v>71</v>
      </c>
      <c r="H638" s="136" t="s">
        <v>72</v>
      </c>
      <c r="I638" s="137">
        <f>I639+I640</f>
        <v>2745062.19</v>
      </c>
      <c r="J638" s="137">
        <f>J639+J640</f>
        <v>1032.1300000000001</v>
      </c>
      <c r="K638" s="137">
        <f>K639+K640</f>
        <v>3523</v>
      </c>
    </row>
    <row r="639" spans="1:11" ht="62" x14ac:dyDescent="0.35">
      <c r="A639" s="277">
        <v>75</v>
      </c>
      <c r="B639" s="277"/>
      <c r="C639" s="286"/>
      <c r="D639" s="287"/>
      <c r="E639" s="287"/>
      <c r="F639" s="304"/>
      <c r="G639" s="277"/>
      <c r="H639" s="136" t="s">
        <v>761</v>
      </c>
      <c r="I639" s="137">
        <f>356665.66+D638*11</f>
        <v>385921.26</v>
      </c>
      <c r="J639" s="137">
        <f>I639/D638</f>
        <v>145.11000000000001</v>
      </c>
      <c r="K639" s="137">
        <f>135+11</f>
        <v>146</v>
      </c>
    </row>
    <row r="640" spans="1:11" ht="31" x14ac:dyDescent="0.35">
      <c r="A640" s="277">
        <v>77</v>
      </c>
      <c r="B640" s="277"/>
      <c r="C640" s="286"/>
      <c r="D640" s="287"/>
      <c r="E640" s="287"/>
      <c r="F640" s="304"/>
      <c r="G640" s="277"/>
      <c r="H640" s="136" t="s">
        <v>85</v>
      </c>
      <c r="I640" s="137">
        <f>7863803.09*0.3</f>
        <v>2359140.9300000002</v>
      </c>
      <c r="J640" s="137">
        <f>I640/D638-0.01</f>
        <v>887.02</v>
      </c>
      <c r="K640" s="137">
        <v>3377</v>
      </c>
    </row>
    <row r="641" spans="1:11" x14ac:dyDescent="0.35">
      <c r="A641" s="277">
        <f>A638+1</f>
        <v>77</v>
      </c>
      <c r="B641" s="277">
        <v>1787</v>
      </c>
      <c r="C641" s="286" t="s">
        <v>341</v>
      </c>
      <c r="D641" s="287">
        <v>2886.9</v>
      </c>
      <c r="E641" s="287" t="s">
        <v>70</v>
      </c>
      <c r="F641" s="304">
        <v>5</v>
      </c>
      <c r="G641" s="277" t="s">
        <v>71</v>
      </c>
      <c r="H641" s="136" t="s">
        <v>72</v>
      </c>
      <c r="I641" s="137">
        <f>I642+I643</f>
        <v>2810735.09</v>
      </c>
      <c r="J641" s="137">
        <f>J642+J643</f>
        <v>973.62</v>
      </c>
      <c r="K641" s="137">
        <f>K642+K643</f>
        <v>2936</v>
      </c>
    </row>
    <row r="642" spans="1:11" ht="46.5" x14ac:dyDescent="0.35">
      <c r="A642" s="277">
        <v>75</v>
      </c>
      <c r="B642" s="277"/>
      <c r="C642" s="286"/>
      <c r="D642" s="287"/>
      <c r="E642" s="287"/>
      <c r="F642" s="304"/>
      <c r="G642" s="277"/>
      <c r="H642" s="136" t="s">
        <v>673</v>
      </c>
      <c r="I642" s="137">
        <v>409989.05</v>
      </c>
      <c r="J642" s="137">
        <f>I642/D641</f>
        <v>142.02000000000001</v>
      </c>
      <c r="K642" s="137">
        <f>151+13</f>
        <v>164</v>
      </c>
    </row>
    <row r="643" spans="1:11" x14ac:dyDescent="0.35">
      <c r="A643" s="277">
        <v>77</v>
      </c>
      <c r="B643" s="277"/>
      <c r="C643" s="286"/>
      <c r="D643" s="287"/>
      <c r="E643" s="287"/>
      <c r="F643" s="304"/>
      <c r="G643" s="277"/>
      <c r="H643" s="136" t="s">
        <v>73</v>
      </c>
      <c r="I643" s="137">
        <f>K643*D641*0.3</f>
        <v>2400746.04</v>
      </c>
      <c r="J643" s="137">
        <f>I643/D641</f>
        <v>831.6</v>
      </c>
      <c r="K643" s="137">
        <v>2772</v>
      </c>
    </row>
    <row r="644" spans="1:11" x14ac:dyDescent="0.35">
      <c r="A644" s="277">
        <f>A641+1</f>
        <v>78</v>
      </c>
      <c r="B644" s="277">
        <v>1263</v>
      </c>
      <c r="C644" s="286" t="s">
        <v>87</v>
      </c>
      <c r="D644" s="287">
        <v>2040.56</v>
      </c>
      <c r="E644" s="287" t="s">
        <v>74</v>
      </c>
      <c r="F644" s="304">
        <v>3</v>
      </c>
      <c r="G644" s="277" t="s">
        <v>71</v>
      </c>
      <c r="H644" s="136" t="s">
        <v>72</v>
      </c>
      <c r="I644" s="137">
        <f>I645+I646</f>
        <v>4241742.1900000004</v>
      </c>
      <c r="J644" s="137">
        <f>J645+J646</f>
        <v>2078.71</v>
      </c>
      <c r="K644" s="137">
        <f>K645+K646</f>
        <v>4728</v>
      </c>
    </row>
    <row r="645" spans="1:11" x14ac:dyDescent="0.35">
      <c r="A645" s="277">
        <v>75</v>
      </c>
      <c r="B645" s="277"/>
      <c r="C645" s="286"/>
      <c r="D645" s="287"/>
      <c r="E645" s="287"/>
      <c r="F645" s="304"/>
      <c r="G645" s="277"/>
      <c r="H645" s="136" t="s">
        <v>73</v>
      </c>
      <c r="I645" s="137">
        <v>4152870.76</v>
      </c>
      <c r="J645" s="137">
        <f>I645/D644</f>
        <v>2035.16</v>
      </c>
      <c r="K645" s="137">
        <v>4629</v>
      </c>
    </row>
    <row r="646" spans="1:11" x14ac:dyDescent="0.35">
      <c r="A646" s="277">
        <v>76</v>
      </c>
      <c r="B646" s="277"/>
      <c r="C646" s="286"/>
      <c r="D646" s="287"/>
      <c r="E646" s="287"/>
      <c r="F646" s="304"/>
      <c r="G646" s="277"/>
      <c r="H646" s="136" t="s">
        <v>75</v>
      </c>
      <c r="I646" s="137">
        <v>88871.43</v>
      </c>
      <c r="J646" s="137">
        <f>I646/D644</f>
        <v>43.55</v>
      </c>
      <c r="K646" s="137">
        <v>99</v>
      </c>
    </row>
    <row r="647" spans="1:11" x14ac:dyDescent="0.35">
      <c r="A647" s="277">
        <f>A644+1</f>
        <v>79</v>
      </c>
      <c r="B647" s="277">
        <v>1265</v>
      </c>
      <c r="C647" s="286" t="s">
        <v>342</v>
      </c>
      <c r="D647" s="287">
        <v>4275.8</v>
      </c>
      <c r="E647" s="287" t="s">
        <v>74</v>
      </c>
      <c r="F647" s="304">
        <v>6</v>
      </c>
      <c r="G647" s="277" t="s">
        <v>71</v>
      </c>
      <c r="H647" s="136" t="s">
        <v>72</v>
      </c>
      <c r="I647" s="137">
        <f>I648</f>
        <v>387243.3</v>
      </c>
      <c r="J647" s="137">
        <f>J648</f>
        <v>90.57</v>
      </c>
      <c r="K647" s="137">
        <f>K648</f>
        <v>164</v>
      </c>
    </row>
    <row r="648" spans="1:11" ht="46.5" x14ac:dyDescent="0.35">
      <c r="A648" s="277">
        <v>75</v>
      </c>
      <c r="B648" s="277"/>
      <c r="C648" s="286"/>
      <c r="D648" s="287"/>
      <c r="E648" s="287"/>
      <c r="F648" s="304"/>
      <c r="G648" s="277"/>
      <c r="H648" s="136" t="s">
        <v>673</v>
      </c>
      <c r="I648" s="137">
        <v>387243.3</v>
      </c>
      <c r="J648" s="137">
        <f>I648/D647</f>
        <v>90.57</v>
      </c>
      <c r="K648" s="137">
        <v>164</v>
      </c>
    </row>
    <row r="649" spans="1:11" x14ac:dyDescent="0.35">
      <c r="A649" s="270">
        <f>A647+1</f>
        <v>80</v>
      </c>
      <c r="B649" s="270">
        <v>1353</v>
      </c>
      <c r="C649" s="278" t="s">
        <v>88</v>
      </c>
      <c r="D649" s="273">
        <v>6993.5</v>
      </c>
      <c r="E649" s="273" t="s">
        <v>74</v>
      </c>
      <c r="F649" s="282">
        <v>5</v>
      </c>
      <c r="G649" s="165"/>
      <c r="H649" s="136" t="s">
        <v>72</v>
      </c>
      <c r="I649" s="137">
        <f>I650+I651</f>
        <v>10643470.74</v>
      </c>
      <c r="J649" s="137">
        <f>J650+J651</f>
        <v>1521.91</v>
      </c>
      <c r="K649" s="137">
        <f>K650+K651</f>
        <v>2831</v>
      </c>
    </row>
    <row r="650" spans="1:11" x14ac:dyDescent="0.35">
      <c r="A650" s="271"/>
      <c r="B650" s="271"/>
      <c r="C650" s="279"/>
      <c r="D650" s="274"/>
      <c r="E650" s="274"/>
      <c r="F650" s="283"/>
      <c r="G650" s="270" t="s">
        <v>71</v>
      </c>
      <c r="H650" s="136" t="s">
        <v>73</v>
      </c>
      <c r="I650" s="137">
        <v>10448254.539999999</v>
      </c>
      <c r="J650" s="137">
        <f>I650/D649</f>
        <v>1494</v>
      </c>
      <c r="K650" s="137">
        <v>2772</v>
      </c>
    </row>
    <row r="651" spans="1:11" x14ac:dyDescent="0.35">
      <c r="A651" s="271"/>
      <c r="B651" s="271"/>
      <c r="C651" s="279"/>
      <c r="D651" s="274"/>
      <c r="E651" s="274"/>
      <c r="F651" s="283"/>
      <c r="G651" s="272"/>
      <c r="H651" s="136" t="s">
        <v>75</v>
      </c>
      <c r="I651" s="137">
        <v>195216.2</v>
      </c>
      <c r="J651" s="137">
        <f>I651/D649</f>
        <v>27.91</v>
      </c>
      <c r="K651" s="137">
        <v>59</v>
      </c>
    </row>
    <row r="652" spans="1:11" x14ac:dyDescent="0.35">
      <c r="A652" s="277">
        <f>A649+1</f>
        <v>81</v>
      </c>
      <c r="B652" s="277">
        <v>1421</v>
      </c>
      <c r="C652" s="286" t="s">
        <v>345</v>
      </c>
      <c r="D652" s="287">
        <v>3894.6</v>
      </c>
      <c r="E652" s="287" t="s">
        <v>70</v>
      </c>
      <c r="F652" s="304">
        <v>5</v>
      </c>
      <c r="G652" s="277" t="s">
        <v>71</v>
      </c>
      <c r="H652" s="136" t="s">
        <v>72</v>
      </c>
      <c r="I652" s="137">
        <f>I653</f>
        <v>503076.85</v>
      </c>
      <c r="J652" s="137">
        <f>J653</f>
        <v>129.16999999999999</v>
      </c>
      <c r="K652" s="137">
        <f>K653</f>
        <v>146</v>
      </c>
    </row>
    <row r="653" spans="1:11" ht="62" x14ac:dyDescent="0.35">
      <c r="A653" s="277"/>
      <c r="B653" s="277"/>
      <c r="C653" s="286"/>
      <c r="D653" s="287"/>
      <c r="E653" s="287"/>
      <c r="F653" s="304"/>
      <c r="G653" s="277"/>
      <c r="H653" s="136" t="s">
        <v>761</v>
      </c>
      <c r="I653" s="137">
        <v>503076.85</v>
      </c>
      <c r="J653" s="137">
        <f>I653/D652</f>
        <v>129.16999999999999</v>
      </c>
      <c r="K653" s="137">
        <f>135+11</f>
        <v>146</v>
      </c>
    </row>
    <row r="654" spans="1:11" x14ac:dyDescent="0.35">
      <c r="A654" s="277">
        <f>A652+1</f>
        <v>82</v>
      </c>
      <c r="B654" s="277">
        <v>1030</v>
      </c>
      <c r="C654" s="286" t="s">
        <v>346</v>
      </c>
      <c r="D654" s="287">
        <v>2345.1999999999998</v>
      </c>
      <c r="E654" s="287" t="s">
        <v>70</v>
      </c>
      <c r="F654" s="304">
        <v>5</v>
      </c>
      <c r="G654" s="277" t="s">
        <v>71</v>
      </c>
      <c r="H654" s="136" t="s">
        <v>72</v>
      </c>
      <c r="I654" s="137">
        <f>I655</f>
        <v>313013.92</v>
      </c>
      <c r="J654" s="137">
        <f>J655</f>
        <v>133.47</v>
      </c>
      <c r="K654" s="137">
        <f>K655</f>
        <v>146</v>
      </c>
    </row>
    <row r="655" spans="1:11" ht="62" x14ac:dyDescent="0.35">
      <c r="A655" s="277">
        <v>75</v>
      </c>
      <c r="B655" s="277"/>
      <c r="C655" s="286"/>
      <c r="D655" s="287"/>
      <c r="E655" s="287"/>
      <c r="F655" s="304"/>
      <c r="G655" s="277"/>
      <c r="H655" s="136" t="s">
        <v>761</v>
      </c>
      <c r="I655" s="137">
        <f>287216.72+D654*11</f>
        <v>313013.92</v>
      </c>
      <c r="J655" s="137">
        <f>I655/D654</f>
        <v>133.47</v>
      </c>
      <c r="K655" s="137">
        <f>135+11</f>
        <v>146</v>
      </c>
    </row>
    <row r="656" spans="1:11" x14ac:dyDescent="0.35">
      <c r="A656" s="277">
        <f>A654+1</f>
        <v>83</v>
      </c>
      <c r="B656" s="277">
        <v>1354</v>
      </c>
      <c r="C656" s="286" t="s">
        <v>347</v>
      </c>
      <c r="D656" s="287">
        <v>3816</v>
      </c>
      <c r="E656" s="287" t="s">
        <v>70</v>
      </c>
      <c r="F656" s="304">
        <v>5</v>
      </c>
      <c r="G656" s="277" t="s">
        <v>86</v>
      </c>
      <c r="H656" s="136" t="s">
        <v>72</v>
      </c>
      <c r="I656" s="137">
        <f>I657+I658</f>
        <v>429381.4</v>
      </c>
      <c r="J656" s="137">
        <f>J657+J658</f>
        <v>112.52</v>
      </c>
      <c r="K656" s="137">
        <f>K657+K658</f>
        <v>609</v>
      </c>
    </row>
    <row r="657" spans="1:11" ht="46.5" x14ac:dyDescent="0.35">
      <c r="A657" s="277">
        <v>75</v>
      </c>
      <c r="B657" s="277"/>
      <c r="C657" s="286"/>
      <c r="D657" s="287"/>
      <c r="E657" s="287"/>
      <c r="F657" s="304"/>
      <c r="G657" s="277"/>
      <c r="H657" s="136" t="s">
        <v>634</v>
      </c>
      <c r="I657" s="137">
        <v>95400</v>
      </c>
      <c r="J657" s="137">
        <f>I657/D656</f>
        <v>25</v>
      </c>
      <c r="K657" s="137">
        <f>23+2</f>
        <v>25</v>
      </c>
    </row>
    <row r="658" spans="1:11" x14ac:dyDescent="0.35">
      <c r="A658" s="277">
        <v>77</v>
      </c>
      <c r="B658" s="277"/>
      <c r="C658" s="286"/>
      <c r="D658" s="287"/>
      <c r="E658" s="287"/>
      <c r="F658" s="304"/>
      <c r="G658" s="277"/>
      <c r="H658" s="136" t="s">
        <v>73</v>
      </c>
      <c r="I658" s="137">
        <f>1113271.32*0.3</f>
        <v>333981.40000000002</v>
      </c>
      <c r="J658" s="137">
        <f>I658/D656</f>
        <v>87.52</v>
      </c>
      <c r="K658" s="137">
        <v>584</v>
      </c>
    </row>
    <row r="659" spans="1:11" x14ac:dyDescent="0.35">
      <c r="A659" s="277">
        <f>A656+1</f>
        <v>84</v>
      </c>
      <c r="B659" s="277">
        <v>1357</v>
      </c>
      <c r="C659" s="286" t="s">
        <v>348</v>
      </c>
      <c r="D659" s="287">
        <v>3930.8</v>
      </c>
      <c r="E659" s="287" t="s">
        <v>74</v>
      </c>
      <c r="F659" s="304">
        <v>5</v>
      </c>
      <c r="G659" s="277" t="s">
        <v>86</v>
      </c>
      <c r="H659" s="136" t="s">
        <v>72</v>
      </c>
      <c r="I659" s="137">
        <f>I660+I661</f>
        <v>508104.81</v>
      </c>
      <c r="J659" s="137">
        <f>J660+J661</f>
        <v>129.26</v>
      </c>
      <c r="K659" s="137">
        <f>K660+K661</f>
        <v>609</v>
      </c>
    </row>
    <row r="660" spans="1:11" ht="46.5" x14ac:dyDescent="0.35">
      <c r="A660" s="277">
        <v>75</v>
      </c>
      <c r="B660" s="277"/>
      <c r="C660" s="286"/>
      <c r="D660" s="287"/>
      <c r="E660" s="287"/>
      <c r="F660" s="304"/>
      <c r="G660" s="277"/>
      <c r="H660" s="136" t="s">
        <v>634</v>
      </c>
      <c r="I660" s="137">
        <v>93925.83</v>
      </c>
      <c r="J660" s="137">
        <f>I660/D659</f>
        <v>23.89</v>
      </c>
      <c r="K660" s="137">
        <f>23+2</f>
        <v>25</v>
      </c>
    </row>
    <row r="661" spans="1:11" x14ac:dyDescent="0.35">
      <c r="A661" s="277"/>
      <c r="B661" s="277"/>
      <c r="C661" s="286"/>
      <c r="D661" s="287"/>
      <c r="E661" s="287"/>
      <c r="F661" s="304"/>
      <c r="G661" s="277"/>
      <c r="H661" s="136" t="s">
        <v>73</v>
      </c>
      <c r="I661" s="137">
        <f>1380596.6*0.3</f>
        <v>414178.98</v>
      </c>
      <c r="J661" s="137">
        <f>I661/D659</f>
        <v>105.37</v>
      </c>
      <c r="K661" s="137">
        <v>584</v>
      </c>
    </row>
    <row r="662" spans="1:11" x14ac:dyDescent="0.35">
      <c r="A662" s="277">
        <f>A659+1</f>
        <v>85</v>
      </c>
      <c r="B662" s="277">
        <v>1358</v>
      </c>
      <c r="C662" s="286" t="s">
        <v>349</v>
      </c>
      <c r="D662" s="287">
        <v>3186.9</v>
      </c>
      <c r="E662" s="287" t="s">
        <v>74</v>
      </c>
      <c r="F662" s="304">
        <v>5</v>
      </c>
      <c r="G662" s="346" t="s">
        <v>86</v>
      </c>
      <c r="H662" s="136" t="s">
        <v>72</v>
      </c>
      <c r="I662" s="137">
        <f>I663</f>
        <v>67015</v>
      </c>
      <c r="J662" s="137">
        <f>J663</f>
        <v>21.03</v>
      </c>
      <c r="K662" s="137">
        <f>K663</f>
        <v>25</v>
      </c>
    </row>
    <row r="663" spans="1:11" ht="46.5" x14ac:dyDescent="0.35">
      <c r="A663" s="277">
        <v>75</v>
      </c>
      <c r="B663" s="277"/>
      <c r="C663" s="286"/>
      <c r="D663" s="287"/>
      <c r="E663" s="287"/>
      <c r="F663" s="304"/>
      <c r="G663" s="347"/>
      <c r="H663" s="136" t="s">
        <v>634</v>
      </c>
      <c r="I663" s="137">
        <v>67015</v>
      </c>
      <c r="J663" s="137">
        <f>I663/D662</f>
        <v>21.03</v>
      </c>
      <c r="K663" s="137">
        <f>23+2</f>
        <v>25</v>
      </c>
    </row>
    <row r="664" spans="1:11" x14ac:dyDescent="0.35">
      <c r="A664" s="277">
        <f>A662+1</f>
        <v>86</v>
      </c>
      <c r="B664" s="277">
        <v>1361</v>
      </c>
      <c r="C664" s="286" t="s">
        <v>350</v>
      </c>
      <c r="D664" s="287">
        <v>4296</v>
      </c>
      <c r="E664" s="287" t="s">
        <v>70</v>
      </c>
      <c r="F664" s="304">
        <v>5</v>
      </c>
      <c r="G664" s="277" t="s">
        <v>71</v>
      </c>
      <c r="H664" s="136" t="s">
        <v>72</v>
      </c>
      <c r="I664" s="137">
        <f>I665+I666</f>
        <v>4979493.59</v>
      </c>
      <c r="J664" s="137">
        <f>J665+J666</f>
        <v>1159.0999999999999</v>
      </c>
      <c r="K664" s="137">
        <f>K665+K666</f>
        <v>3523</v>
      </c>
    </row>
    <row r="665" spans="1:11" ht="62" x14ac:dyDescent="0.35">
      <c r="A665" s="277">
        <v>75</v>
      </c>
      <c r="B665" s="277"/>
      <c r="C665" s="286"/>
      <c r="D665" s="287"/>
      <c r="E665" s="287"/>
      <c r="F665" s="304"/>
      <c r="G665" s="277"/>
      <c r="H665" s="136" t="s">
        <v>761</v>
      </c>
      <c r="I665" s="137">
        <f>579959.99+D664*11</f>
        <v>627215.99</v>
      </c>
      <c r="J665" s="137">
        <f>I665/D664</f>
        <v>146</v>
      </c>
      <c r="K665" s="137">
        <f>135+11</f>
        <v>146</v>
      </c>
    </row>
    <row r="666" spans="1:11" ht="31" x14ac:dyDescent="0.35">
      <c r="A666" s="277">
        <v>77</v>
      </c>
      <c r="B666" s="277"/>
      <c r="C666" s="286"/>
      <c r="D666" s="287"/>
      <c r="E666" s="287"/>
      <c r="F666" s="304"/>
      <c r="G666" s="277"/>
      <c r="H666" s="136" t="s">
        <v>85</v>
      </c>
      <c r="I666" s="137">
        <f>K666*D664*0.3</f>
        <v>4352277.5999999996</v>
      </c>
      <c r="J666" s="137">
        <f>I666/D664</f>
        <v>1013.1</v>
      </c>
      <c r="K666" s="137">
        <v>3377</v>
      </c>
    </row>
    <row r="667" spans="1:11" x14ac:dyDescent="0.35">
      <c r="A667" s="277">
        <f>A664+1</f>
        <v>87</v>
      </c>
      <c r="B667" s="277">
        <v>1818</v>
      </c>
      <c r="C667" s="286" t="s">
        <v>351</v>
      </c>
      <c r="D667" s="287">
        <v>1284.2</v>
      </c>
      <c r="E667" s="287" t="s">
        <v>74</v>
      </c>
      <c r="F667" s="304">
        <v>4</v>
      </c>
      <c r="G667" s="277" t="s">
        <v>71</v>
      </c>
      <c r="H667" s="136" t="s">
        <v>72</v>
      </c>
      <c r="I667" s="137">
        <f>I668+I669</f>
        <v>3070049.02</v>
      </c>
      <c r="J667" s="137">
        <f>J668+J669</f>
        <v>2390.63</v>
      </c>
      <c r="K667" s="137">
        <f>K668+K669</f>
        <v>4728</v>
      </c>
    </row>
    <row r="668" spans="1:11" x14ac:dyDescent="0.35">
      <c r="A668" s="277">
        <v>75</v>
      </c>
      <c r="B668" s="277"/>
      <c r="C668" s="286"/>
      <c r="D668" s="287"/>
      <c r="E668" s="287"/>
      <c r="F668" s="304"/>
      <c r="G668" s="277"/>
      <c r="H668" s="136" t="s">
        <v>73</v>
      </c>
      <c r="I668" s="137">
        <v>3009638.38</v>
      </c>
      <c r="J668" s="137">
        <f>I668/D667</f>
        <v>2343.59</v>
      </c>
      <c r="K668" s="137">
        <v>4629</v>
      </c>
    </row>
    <row r="669" spans="1:11" x14ac:dyDescent="0.35">
      <c r="A669" s="277">
        <v>76</v>
      </c>
      <c r="B669" s="277"/>
      <c r="C669" s="286"/>
      <c r="D669" s="287"/>
      <c r="E669" s="287"/>
      <c r="F669" s="304"/>
      <c r="G669" s="277"/>
      <c r="H669" s="136" t="s">
        <v>75</v>
      </c>
      <c r="I669" s="137">
        <v>60410.64</v>
      </c>
      <c r="J669" s="137">
        <f>I669/D667</f>
        <v>47.04</v>
      </c>
      <c r="K669" s="137">
        <v>99</v>
      </c>
    </row>
    <row r="670" spans="1:11" x14ac:dyDescent="0.35">
      <c r="A670" s="277">
        <f>A667+1</f>
        <v>88</v>
      </c>
      <c r="B670" s="277">
        <v>1271</v>
      </c>
      <c r="C670" s="286" t="s">
        <v>352</v>
      </c>
      <c r="D670" s="287">
        <v>5305.3</v>
      </c>
      <c r="E670" s="287" t="s">
        <v>74</v>
      </c>
      <c r="F670" s="304">
        <v>5</v>
      </c>
      <c r="G670" s="277" t="s">
        <v>71</v>
      </c>
      <c r="H670" s="136" t="s">
        <v>72</v>
      </c>
      <c r="I670" s="137">
        <f>I671</f>
        <v>185002.91</v>
      </c>
      <c r="J670" s="137">
        <f>J671</f>
        <v>34.869999999999997</v>
      </c>
      <c r="K670" s="137">
        <f>K671</f>
        <v>164</v>
      </c>
    </row>
    <row r="671" spans="1:11" ht="46.5" x14ac:dyDescent="0.35">
      <c r="A671" s="277">
        <v>75</v>
      </c>
      <c r="B671" s="277"/>
      <c r="C671" s="286"/>
      <c r="D671" s="287"/>
      <c r="E671" s="287"/>
      <c r="F671" s="304"/>
      <c r="G671" s="277"/>
      <c r="H671" s="136" t="s">
        <v>673</v>
      </c>
      <c r="I671" s="137">
        <v>185002.91</v>
      </c>
      <c r="J671" s="137">
        <f>I671/D670</f>
        <v>34.869999999999997</v>
      </c>
      <c r="K671" s="137">
        <f>151+13</f>
        <v>164</v>
      </c>
    </row>
    <row r="672" spans="1:11" x14ac:dyDescent="0.35">
      <c r="A672" s="270">
        <f>A670+1</f>
        <v>89</v>
      </c>
      <c r="B672" s="270">
        <v>1296</v>
      </c>
      <c r="C672" s="278" t="s">
        <v>353</v>
      </c>
      <c r="D672" s="256">
        <v>1278.3</v>
      </c>
      <c r="E672" s="256" t="s">
        <v>74</v>
      </c>
      <c r="F672" s="300">
        <v>4</v>
      </c>
      <c r="G672" s="146"/>
      <c r="H672" s="136" t="s">
        <v>72</v>
      </c>
      <c r="I672" s="137">
        <f>SUM(I673:I684)</f>
        <v>3442319.11</v>
      </c>
      <c r="J672" s="137">
        <f>SUM(J673:J684)</f>
        <v>2692.89</v>
      </c>
      <c r="K672" s="137">
        <f>SUM(K673:K684)</f>
        <v>5895</v>
      </c>
    </row>
    <row r="673" spans="1:11" x14ac:dyDescent="0.35">
      <c r="A673" s="271"/>
      <c r="B673" s="271"/>
      <c r="C673" s="279"/>
      <c r="D673" s="257"/>
      <c r="E673" s="257"/>
      <c r="F673" s="301"/>
      <c r="G673" s="277" t="s">
        <v>86</v>
      </c>
      <c r="H673" s="136" t="s">
        <v>73</v>
      </c>
      <c r="I673" s="137">
        <v>380841.81</v>
      </c>
      <c r="J673" s="137">
        <f>I673/D672</f>
        <v>297.93</v>
      </c>
      <c r="K673" s="137">
        <v>584</v>
      </c>
    </row>
    <row r="674" spans="1:11" x14ac:dyDescent="0.35">
      <c r="A674" s="271"/>
      <c r="B674" s="271"/>
      <c r="C674" s="279"/>
      <c r="D674" s="257"/>
      <c r="E674" s="257"/>
      <c r="F674" s="301"/>
      <c r="G674" s="277"/>
      <c r="H674" s="136" t="s">
        <v>75</v>
      </c>
      <c r="I674" s="137">
        <v>8150.01</v>
      </c>
      <c r="J674" s="137">
        <f>I674/D672</f>
        <v>6.38</v>
      </c>
      <c r="K674" s="137">
        <v>12</v>
      </c>
    </row>
    <row r="675" spans="1:11" x14ac:dyDescent="0.35">
      <c r="A675" s="271"/>
      <c r="B675" s="271"/>
      <c r="C675" s="279"/>
      <c r="D675" s="257"/>
      <c r="E675" s="257"/>
      <c r="F675" s="301"/>
      <c r="G675" s="277" t="s">
        <v>76</v>
      </c>
      <c r="H675" s="136" t="s">
        <v>73</v>
      </c>
      <c r="I675" s="137">
        <v>1715404.19</v>
      </c>
      <c r="J675" s="137">
        <f>I675/D672</f>
        <v>1341.94</v>
      </c>
      <c r="K675" s="137">
        <v>2691</v>
      </c>
    </row>
    <row r="676" spans="1:11" x14ac:dyDescent="0.35">
      <c r="A676" s="271"/>
      <c r="B676" s="271"/>
      <c r="C676" s="279"/>
      <c r="D676" s="257"/>
      <c r="E676" s="257"/>
      <c r="F676" s="301"/>
      <c r="G676" s="277"/>
      <c r="H676" s="136" t="s">
        <v>75</v>
      </c>
      <c r="I676" s="137">
        <v>36709.64</v>
      </c>
      <c r="J676" s="137">
        <f>I676/D672</f>
        <v>28.72</v>
      </c>
      <c r="K676" s="137">
        <v>58</v>
      </c>
    </row>
    <row r="677" spans="1:11" x14ac:dyDescent="0.35">
      <c r="A677" s="271"/>
      <c r="B677" s="271"/>
      <c r="C677" s="279"/>
      <c r="D677" s="257"/>
      <c r="E677" s="257"/>
      <c r="F677" s="301"/>
      <c r="G677" s="277" t="s">
        <v>77</v>
      </c>
      <c r="H677" s="136" t="s">
        <v>73</v>
      </c>
      <c r="I677" s="137">
        <v>195231.14</v>
      </c>
      <c r="J677" s="137">
        <f>I677/D672</f>
        <v>152.72999999999999</v>
      </c>
      <c r="K677" s="137">
        <v>463</v>
      </c>
    </row>
    <row r="678" spans="1:11" x14ac:dyDescent="0.35">
      <c r="A678" s="271"/>
      <c r="B678" s="271"/>
      <c r="C678" s="279"/>
      <c r="D678" s="257"/>
      <c r="E678" s="257"/>
      <c r="F678" s="301"/>
      <c r="G678" s="277"/>
      <c r="H678" s="136" t="s">
        <v>75</v>
      </c>
      <c r="I678" s="137">
        <v>4177.95</v>
      </c>
      <c r="J678" s="137">
        <f>I678/D672</f>
        <v>3.27</v>
      </c>
      <c r="K678" s="137">
        <v>10</v>
      </c>
    </row>
    <row r="679" spans="1:11" x14ac:dyDescent="0.35">
      <c r="A679" s="271"/>
      <c r="B679" s="271"/>
      <c r="C679" s="279"/>
      <c r="D679" s="257"/>
      <c r="E679" s="257"/>
      <c r="F679" s="301"/>
      <c r="G679" s="277" t="s">
        <v>78</v>
      </c>
      <c r="H679" s="136" t="s">
        <v>73</v>
      </c>
      <c r="I679" s="137">
        <v>378665.75</v>
      </c>
      <c r="J679" s="137">
        <f>I679/D672-0.01</f>
        <v>296.22000000000003</v>
      </c>
      <c r="K679" s="137">
        <v>409</v>
      </c>
    </row>
    <row r="680" spans="1:11" x14ac:dyDescent="0.35">
      <c r="A680" s="271"/>
      <c r="B680" s="271"/>
      <c r="C680" s="279"/>
      <c r="D680" s="257"/>
      <c r="E680" s="257"/>
      <c r="F680" s="301"/>
      <c r="G680" s="277"/>
      <c r="H680" s="136" t="s">
        <v>75</v>
      </c>
      <c r="I680" s="137">
        <v>8103.45</v>
      </c>
      <c r="J680" s="137">
        <f>I680/D672</f>
        <v>6.34</v>
      </c>
      <c r="K680" s="137">
        <v>9</v>
      </c>
    </row>
    <row r="681" spans="1:11" x14ac:dyDescent="0.35">
      <c r="A681" s="271"/>
      <c r="B681" s="271"/>
      <c r="C681" s="279"/>
      <c r="D681" s="257"/>
      <c r="E681" s="257"/>
      <c r="F681" s="301"/>
      <c r="G681" s="277" t="s">
        <v>89</v>
      </c>
      <c r="H681" s="136" t="s">
        <v>73</v>
      </c>
      <c r="I681" s="137">
        <v>208863.52</v>
      </c>
      <c r="J681" s="137">
        <f>I681/D672</f>
        <v>163.38999999999999</v>
      </c>
      <c r="K681" s="137">
        <v>448</v>
      </c>
    </row>
    <row r="682" spans="1:11" x14ac:dyDescent="0.35">
      <c r="A682" s="271"/>
      <c r="B682" s="271"/>
      <c r="C682" s="279"/>
      <c r="D682" s="257"/>
      <c r="E682" s="257"/>
      <c r="F682" s="301"/>
      <c r="G682" s="277"/>
      <c r="H682" s="136" t="s">
        <v>75</v>
      </c>
      <c r="I682" s="137">
        <v>4469.68</v>
      </c>
      <c r="J682" s="137">
        <f>I682/D672</f>
        <v>3.5</v>
      </c>
      <c r="K682" s="137">
        <v>10</v>
      </c>
    </row>
    <row r="683" spans="1:11" x14ac:dyDescent="0.35">
      <c r="A683" s="271"/>
      <c r="B683" s="271"/>
      <c r="C683" s="279"/>
      <c r="D683" s="257"/>
      <c r="E683" s="257"/>
      <c r="F683" s="301"/>
      <c r="G683" s="277" t="s">
        <v>664</v>
      </c>
      <c r="H683" s="136" t="s">
        <v>656</v>
      </c>
      <c r="I683" s="137">
        <v>491190.49</v>
      </c>
      <c r="J683" s="137">
        <f>I683/D672</f>
        <v>384.25</v>
      </c>
      <c r="K683" s="137">
        <v>1176</v>
      </c>
    </row>
    <row r="684" spans="1:11" x14ac:dyDescent="0.35">
      <c r="A684" s="272"/>
      <c r="B684" s="272"/>
      <c r="C684" s="285"/>
      <c r="D684" s="258"/>
      <c r="E684" s="258"/>
      <c r="F684" s="302"/>
      <c r="G684" s="277"/>
      <c r="H684" s="136" t="s">
        <v>75</v>
      </c>
      <c r="I684" s="137">
        <f>2.14*I683/100</f>
        <v>10511.48</v>
      </c>
      <c r="J684" s="137">
        <f>I684/D672</f>
        <v>8.2200000000000006</v>
      </c>
      <c r="K684" s="137">
        <v>25</v>
      </c>
    </row>
    <row r="685" spans="1:11" x14ac:dyDescent="0.35">
      <c r="A685" s="277">
        <f>A672+1</f>
        <v>90</v>
      </c>
      <c r="B685" s="277">
        <v>1628</v>
      </c>
      <c r="C685" s="286" t="s">
        <v>665</v>
      </c>
      <c r="D685" s="287">
        <v>6113.76</v>
      </c>
      <c r="E685" s="287" t="s">
        <v>74</v>
      </c>
      <c r="F685" s="304">
        <v>5</v>
      </c>
      <c r="G685" s="270" t="s">
        <v>655</v>
      </c>
      <c r="H685" s="136" t="s">
        <v>72</v>
      </c>
      <c r="I685" s="137">
        <f>I686+I687</f>
        <v>210346.09</v>
      </c>
      <c r="J685" s="137">
        <f>J686+J687</f>
        <v>34.409999999999997</v>
      </c>
      <c r="K685" s="137">
        <f>K686+K687</f>
        <v>1201</v>
      </c>
    </row>
    <row r="686" spans="1:11" x14ac:dyDescent="0.35">
      <c r="A686" s="277"/>
      <c r="B686" s="277"/>
      <c r="C686" s="286"/>
      <c r="D686" s="287"/>
      <c r="E686" s="287"/>
      <c r="F686" s="304"/>
      <c r="G686" s="271"/>
      <c r="H686" s="136" t="s">
        <v>656</v>
      </c>
      <c r="I686" s="137">
        <v>205939</v>
      </c>
      <c r="J686" s="137">
        <f>I686/D685+0.01</f>
        <v>33.69</v>
      </c>
      <c r="K686" s="137">
        <v>1176</v>
      </c>
    </row>
    <row r="687" spans="1:11" ht="92" customHeight="1" x14ac:dyDescent="0.35">
      <c r="A687" s="277"/>
      <c r="B687" s="277"/>
      <c r="C687" s="286"/>
      <c r="D687" s="287"/>
      <c r="E687" s="287"/>
      <c r="F687" s="304"/>
      <c r="G687" s="272"/>
      <c r="H687" s="136" t="s">
        <v>75</v>
      </c>
      <c r="I687" s="137">
        <v>4407.09</v>
      </c>
      <c r="J687" s="137">
        <f>I687/D685</f>
        <v>0.72</v>
      </c>
      <c r="K687" s="137">
        <v>25</v>
      </c>
    </row>
    <row r="688" spans="1:11" x14ac:dyDescent="0.35">
      <c r="A688" s="277">
        <f>A685+1</f>
        <v>91</v>
      </c>
      <c r="B688" s="277">
        <v>1630</v>
      </c>
      <c r="C688" s="286" t="s">
        <v>355</v>
      </c>
      <c r="D688" s="295">
        <v>2043</v>
      </c>
      <c r="E688" s="295" t="s">
        <v>74</v>
      </c>
      <c r="F688" s="344">
        <v>5</v>
      </c>
      <c r="G688" s="277" t="s">
        <v>71</v>
      </c>
      <c r="H688" s="136" t="s">
        <v>72</v>
      </c>
      <c r="I688" s="137">
        <f>I689</f>
        <v>234912.75</v>
      </c>
      <c r="J688" s="137">
        <f>J689</f>
        <v>114.98</v>
      </c>
      <c r="K688" s="137">
        <f>K689</f>
        <v>164</v>
      </c>
    </row>
    <row r="689" spans="1:11" ht="46.5" x14ac:dyDescent="0.35">
      <c r="A689" s="277">
        <v>75</v>
      </c>
      <c r="B689" s="277"/>
      <c r="C689" s="286"/>
      <c r="D689" s="295"/>
      <c r="E689" s="295"/>
      <c r="F689" s="344"/>
      <c r="G689" s="277"/>
      <c r="H689" s="136" t="s">
        <v>673</v>
      </c>
      <c r="I689" s="137">
        <v>234912.75</v>
      </c>
      <c r="J689" s="137">
        <f>I689/D688</f>
        <v>114.98</v>
      </c>
      <c r="K689" s="137">
        <f>151+13</f>
        <v>164</v>
      </c>
    </row>
    <row r="690" spans="1:11" x14ac:dyDescent="0.35">
      <c r="A690" s="277">
        <f>A688+1</f>
        <v>92</v>
      </c>
      <c r="B690" s="277">
        <v>1468</v>
      </c>
      <c r="C690" s="286" t="s">
        <v>356</v>
      </c>
      <c r="D690" s="287">
        <v>3089.7</v>
      </c>
      <c r="E690" s="287" t="s">
        <v>74</v>
      </c>
      <c r="F690" s="304">
        <v>5</v>
      </c>
      <c r="G690" s="277" t="s">
        <v>71</v>
      </c>
      <c r="H690" s="136" t="s">
        <v>72</v>
      </c>
      <c r="I690" s="137">
        <f>I691+I692</f>
        <v>5232535.2699999996</v>
      </c>
      <c r="J690" s="137">
        <f>J691+J692</f>
        <v>1693.54</v>
      </c>
      <c r="K690" s="137">
        <f>K691+K692</f>
        <v>2831</v>
      </c>
    </row>
    <row r="691" spans="1:11" x14ac:dyDescent="0.35">
      <c r="A691" s="277">
        <v>75</v>
      </c>
      <c r="B691" s="277"/>
      <c r="C691" s="286"/>
      <c r="D691" s="287"/>
      <c r="E691" s="287"/>
      <c r="F691" s="304"/>
      <c r="G691" s="277"/>
      <c r="H691" s="136" t="s">
        <v>73</v>
      </c>
      <c r="I691" s="137">
        <v>5122905.0999999996</v>
      </c>
      <c r="J691" s="137">
        <f>I691/D690</f>
        <v>1658.06</v>
      </c>
      <c r="K691" s="137">
        <v>2772</v>
      </c>
    </row>
    <row r="692" spans="1:11" x14ac:dyDescent="0.35">
      <c r="A692" s="277">
        <v>76</v>
      </c>
      <c r="B692" s="277"/>
      <c r="C692" s="286"/>
      <c r="D692" s="287"/>
      <c r="E692" s="287"/>
      <c r="F692" s="304"/>
      <c r="G692" s="277"/>
      <c r="H692" s="136" t="s">
        <v>75</v>
      </c>
      <c r="I692" s="137">
        <v>109630.17</v>
      </c>
      <c r="J692" s="137">
        <f>I692/D690</f>
        <v>35.479999999999997</v>
      </c>
      <c r="K692" s="137">
        <v>59</v>
      </c>
    </row>
    <row r="693" spans="1:11" x14ac:dyDescent="0.35">
      <c r="A693" s="277">
        <f>A690+1</f>
        <v>93</v>
      </c>
      <c r="B693" s="277">
        <v>4282</v>
      </c>
      <c r="C693" s="286" t="s">
        <v>358</v>
      </c>
      <c r="D693" s="287">
        <v>4517.62</v>
      </c>
      <c r="E693" s="287" t="s">
        <v>70</v>
      </c>
      <c r="F693" s="304">
        <v>10</v>
      </c>
      <c r="G693" s="146"/>
      <c r="H693" s="136" t="s">
        <v>72</v>
      </c>
      <c r="I693" s="137">
        <f>I694+I695+I696+I697+I698+I699</f>
        <v>3445996.26</v>
      </c>
      <c r="J693" s="137">
        <f>J694+J695+J696+J697+J698+J699</f>
        <v>762.79</v>
      </c>
      <c r="K693" s="137">
        <f>K694+K695+K696+K697+K698+K699</f>
        <v>783.59</v>
      </c>
    </row>
    <row r="694" spans="1:11" ht="51" customHeight="1" x14ac:dyDescent="0.35">
      <c r="A694" s="277"/>
      <c r="B694" s="277"/>
      <c r="C694" s="286"/>
      <c r="D694" s="287"/>
      <c r="E694" s="287"/>
      <c r="F694" s="304"/>
      <c r="G694" s="270" t="s">
        <v>641</v>
      </c>
      <c r="H694" s="136" t="s">
        <v>634</v>
      </c>
      <c r="I694" s="137">
        <v>0</v>
      </c>
      <c r="J694" s="137">
        <v>0</v>
      </c>
      <c r="K694" s="137">
        <f>24580/D693</f>
        <v>5.44</v>
      </c>
    </row>
    <row r="695" spans="1:11" x14ac:dyDescent="0.35">
      <c r="A695" s="277">
        <v>756</v>
      </c>
      <c r="B695" s="277"/>
      <c r="C695" s="286"/>
      <c r="D695" s="287"/>
      <c r="E695" s="287"/>
      <c r="F695" s="304"/>
      <c r="G695" s="271"/>
      <c r="H695" s="136" t="s">
        <v>642</v>
      </c>
      <c r="I695" s="137">
        <v>1686898.5</v>
      </c>
      <c r="J695" s="137">
        <f>I695/D693</f>
        <v>373.4</v>
      </c>
      <c r="K695" s="137">
        <f>1708823/D693</f>
        <v>378.26</v>
      </c>
    </row>
    <row r="696" spans="1:11" x14ac:dyDescent="0.35">
      <c r="A696" s="277">
        <v>757</v>
      </c>
      <c r="B696" s="277"/>
      <c r="C696" s="286"/>
      <c r="D696" s="287"/>
      <c r="E696" s="287"/>
      <c r="F696" s="304"/>
      <c r="G696" s="272"/>
      <c r="H696" s="136" t="s">
        <v>75</v>
      </c>
      <c r="I696" s="137">
        <f>I695*0.0214</f>
        <v>36099.629999999997</v>
      </c>
      <c r="J696" s="137">
        <f>I696/D693</f>
        <v>7.99</v>
      </c>
      <c r="K696" s="137">
        <f>36569/D693</f>
        <v>8.09</v>
      </c>
    </row>
    <row r="697" spans="1:11" ht="59.5" customHeight="1" x14ac:dyDescent="0.35">
      <c r="A697" s="277"/>
      <c r="B697" s="277"/>
      <c r="C697" s="286"/>
      <c r="D697" s="287"/>
      <c r="E697" s="287"/>
      <c r="F697" s="304"/>
      <c r="G697" s="270" t="s">
        <v>647</v>
      </c>
      <c r="H697" s="136" t="s">
        <v>634</v>
      </c>
      <c r="I697" s="137">
        <v>0</v>
      </c>
      <c r="J697" s="137">
        <v>0</v>
      </c>
      <c r="K697" s="137">
        <f>24580/D693</f>
        <v>5.44</v>
      </c>
    </row>
    <row r="698" spans="1:11" x14ac:dyDescent="0.35">
      <c r="A698" s="277"/>
      <c r="B698" s="277"/>
      <c r="C698" s="286"/>
      <c r="D698" s="287"/>
      <c r="E698" s="287"/>
      <c r="F698" s="304"/>
      <c r="G698" s="271"/>
      <c r="H698" s="136" t="s">
        <v>642</v>
      </c>
      <c r="I698" s="137">
        <v>1686898.5</v>
      </c>
      <c r="J698" s="137">
        <f>I698/D693+0.01</f>
        <v>373.41</v>
      </c>
      <c r="K698" s="137">
        <f>1708823/D693+0.01</f>
        <v>378.27</v>
      </c>
    </row>
    <row r="699" spans="1:11" x14ac:dyDescent="0.35">
      <c r="A699" s="277"/>
      <c r="B699" s="277"/>
      <c r="C699" s="286"/>
      <c r="D699" s="287"/>
      <c r="E699" s="287"/>
      <c r="F699" s="304"/>
      <c r="G699" s="272"/>
      <c r="H699" s="136" t="s">
        <v>75</v>
      </c>
      <c r="I699" s="137">
        <f>I698*0.0214</f>
        <v>36099.629999999997</v>
      </c>
      <c r="J699" s="137">
        <f>I699/D693</f>
        <v>7.99</v>
      </c>
      <c r="K699" s="137">
        <f>36569/D693</f>
        <v>8.09</v>
      </c>
    </row>
    <row r="700" spans="1:11" x14ac:dyDescent="0.35">
      <c r="A700" s="277">
        <f>A693+1</f>
        <v>94</v>
      </c>
      <c r="B700" s="277">
        <v>4285</v>
      </c>
      <c r="C700" s="286" t="s">
        <v>359</v>
      </c>
      <c r="D700" s="287">
        <v>2969.76</v>
      </c>
      <c r="E700" s="287" t="s">
        <v>74</v>
      </c>
      <c r="F700" s="304">
        <v>9</v>
      </c>
      <c r="G700" s="146"/>
      <c r="H700" s="136" t="s">
        <v>72</v>
      </c>
      <c r="I700" s="137">
        <f>I701+I702+I703</f>
        <v>1721904.68</v>
      </c>
      <c r="J700" s="137">
        <f>J701+J702+J703</f>
        <v>579.80999999999995</v>
      </c>
      <c r="K700" s="137">
        <f>K701+K702+K703</f>
        <v>596</v>
      </c>
    </row>
    <row r="701" spans="1:11" ht="56" customHeight="1" x14ac:dyDescent="0.35">
      <c r="A701" s="277"/>
      <c r="B701" s="277"/>
      <c r="C701" s="286"/>
      <c r="D701" s="287"/>
      <c r="E701" s="287"/>
      <c r="F701" s="304"/>
      <c r="G701" s="270" t="s">
        <v>641</v>
      </c>
      <c r="H701" s="136" t="s">
        <v>634</v>
      </c>
      <c r="I701" s="137">
        <v>0</v>
      </c>
      <c r="J701" s="137">
        <v>0</v>
      </c>
      <c r="K701" s="137">
        <f>24580/D700</f>
        <v>8.2799999999999994</v>
      </c>
    </row>
    <row r="702" spans="1:11" x14ac:dyDescent="0.35">
      <c r="A702" s="277">
        <v>756</v>
      </c>
      <c r="B702" s="277"/>
      <c r="C702" s="286"/>
      <c r="D702" s="287"/>
      <c r="E702" s="287"/>
      <c r="F702" s="304"/>
      <c r="G702" s="271"/>
      <c r="H702" s="136" t="s">
        <v>642</v>
      </c>
      <c r="I702" s="137">
        <v>1685827.96</v>
      </c>
      <c r="J702" s="137">
        <f>I702/D700</f>
        <v>567.66</v>
      </c>
      <c r="K702" s="137">
        <f>1708823/D700</f>
        <v>575.41</v>
      </c>
    </row>
    <row r="703" spans="1:11" x14ac:dyDescent="0.35">
      <c r="A703" s="277">
        <v>757</v>
      </c>
      <c r="B703" s="277"/>
      <c r="C703" s="286"/>
      <c r="D703" s="287"/>
      <c r="E703" s="287"/>
      <c r="F703" s="304"/>
      <c r="G703" s="272"/>
      <c r="H703" s="136" t="s">
        <v>75</v>
      </c>
      <c r="I703" s="137">
        <f>I702*0.0214</f>
        <v>36076.720000000001</v>
      </c>
      <c r="J703" s="137">
        <f>I703/D700</f>
        <v>12.15</v>
      </c>
      <c r="K703" s="137">
        <f>36569/D700</f>
        <v>12.31</v>
      </c>
    </row>
    <row r="704" spans="1:11" x14ac:dyDescent="0.35">
      <c r="A704" s="277">
        <f>A700+1</f>
        <v>95</v>
      </c>
      <c r="B704" s="277">
        <v>3514</v>
      </c>
      <c r="C704" s="286" t="s">
        <v>360</v>
      </c>
      <c r="D704" s="287">
        <v>13650.4</v>
      </c>
      <c r="E704" s="287" t="s">
        <v>70</v>
      </c>
      <c r="F704" s="304">
        <v>10</v>
      </c>
      <c r="G704" s="146"/>
      <c r="H704" s="136" t="s">
        <v>72</v>
      </c>
      <c r="I704" s="137">
        <f>I705+I706+I707+I708+I709+I710+I711+I712+I713+I714+I715+I716</f>
        <v>6942406.0800000001</v>
      </c>
      <c r="J704" s="137">
        <f>J705+J706+J707+J708+J709+J710+J711+J712+J713+J714+J715+J716</f>
        <v>508.59</v>
      </c>
      <c r="K704" s="137">
        <f>K705+K706+K707+K708+K709+K710+K711+K712+K713+K714+K715+K716</f>
        <v>518.66</v>
      </c>
    </row>
    <row r="705" spans="1:11" ht="46.5" x14ac:dyDescent="0.35">
      <c r="A705" s="277"/>
      <c r="B705" s="277"/>
      <c r="C705" s="286"/>
      <c r="D705" s="287"/>
      <c r="E705" s="287"/>
      <c r="F705" s="304"/>
      <c r="G705" s="270" t="s">
        <v>648</v>
      </c>
      <c r="H705" s="136" t="s">
        <v>634</v>
      </c>
      <c r="I705" s="137">
        <v>0</v>
      </c>
      <c r="J705" s="137">
        <v>0</v>
      </c>
      <c r="K705" s="137">
        <f>24580/D704-0.01</f>
        <v>1.79</v>
      </c>
    </row>
    <row r="706" spans="1:11" x14ac:dyDescent="0.35">
      <c r="A706" s="277">
        <v>756</v>
      </c>
      <c r="B706" s="277"/>
      <c r="C706" s="286"/>
      <c r="D706" s="287"/>
      <c r="E706" s="287"/>
      <c r="F706" s="304"/>
      <c r="G706" s="271"/>
      <c r="H706" s="136" t="s">
        <v>642</v>
      </c>
      <c r="I706" s="137">
        <v>1699398.21</v>
      </c>
      <c r="J706" s="137">
        <f>I706/D704+0.01</f>
        <v>124.5</v>
      </c>
      <c r="K706" s="137">
        <f>1708823/D704+0.01</f>
        <v>125.19</v>
      </c>
    </row>
    <row r="707" spans="1:11" x14ac:dyDescent="0.35">
      <c r="A707" s="277">
        <v>757</v>
      </c>
      <c r="B707" s="277"/>
      <c r="C707" s="286"/>
      <c r="D707" s="287"/>
      <c r="E707" s="287"/>
      <c r="F707" s="304"/>
      <c r="G707" s="272"/>
      <c r="H707" s="136" t="s">
        <v>75</v>
      </c>
      <c r="I707" s="137">
        <v>36203.31</v>
      </c>
      <c r="J707" s="137">
        <f>I707/D704</f>
        <v>2.65</v>
      </c>
      <c r="K707" s="137">
        <f>36569/D704</f>
        <v>2.68</v>
      </c>
    </row>
    <row r="708" spans="1:11" ht="46.5" x14ac:dyDescent="0.35">
      <c r="A708" s="277"/>
      <c r="B708" s="277"/>
      <c r="C708" s="286"/>
      <c r="D708" s="287"/>
      <c r="E708" s="287"/>
      <c r="F708" s="304"/>
      <c r="G708" s="270" t="s">
        <v>649</v>
      </c>
      <c r="H708" s="136" t="s">
        <v>634</v>
      </c>
      <c r="I708" s="137">
        <v>0</v>
      </c>
      <c r="J708" s="137">
        <v>0</v>
      </c>
      <c r="K708" s="137">
        <f>24580/D704</f>
        <v>1.8</v>
      </c>
    </row>
    <row r="709" spans="1:11" x14ac:dyDescent="0.35">
      <c r="A709" s="277"/>
      <c r="B709" s="277"/>
      <c r="C709" s="286"/>
      <c r="D709" s="287"/>
      <c r="E709" s="287"/>
      <c r="F709" s="304"/>
      <c r="G709" s="271"/>
      <c r="H709" s="136" t="s">
        <v>642</v>
      </c>
      <c r="I709" s="137">
        <v>1699398.21</v>
      </c>
      <c r="J709" s="137">
        <f>I709/D704+0.01</f>
        <v>124.5</v>
      </c>
      <c r="K709" s="137">
        <f>1708823/D704+0.01</f>
        <v>125.19</v>
      </c>
    </row>
    <row r="710" spans="1:11" x14ac:dyDescent="0.35">
      <c r="A710" s="277"/>
      <c r="B710" s="277"/>
      <c r="C710" s="286"/>
      <c r="D710" s="287"/>
      <c r="E710" s="287"/>
      <c r="F710" s="304"/>
      <c r="G710" s="272"/>
      <c r="H710" s="136" t="s">
        <v>75</v>
      </c>
      <c r="I710" s="137">
        <v>36203.31</v>
      </c>
      <c r="J710" s="137">
        <f>I710/D704</f>
        <v>2.65</v>
      </c>
      <c r="K710" s="137">
        <f>36569/D704</f>
        <v>2.68</v>
      </c>
    </row>
    <row r="711" spans="1:11" ht="46.5" x14ac:dyDescent="0.35">
      <c r="A711" s="277"/>
      <c r="B711" s="277"/>
      <c r="C711" s="286"/>
      <c r="D711" s="287"/>
      <c r="E711" s="287"/>
      <c r="F711" s="304"/>
      <c r="G711" s="270" t="s">
        <v>646</v>
      </c>
      <c r="H711" s="136" t="s">
        <v>634</v>
      </c>
      <c r="I711" s="137">
        <v>0</v>
      </c>
      <c r="J711" s="137">
        <v>0</v>
      </c>
      <c r="K711" s="137">
        <f>24580/D704</f>
        <v>1.8</v>
      </c>
    </row>
    <row r="712" spans="1:11" x14ac:dyDescent="0.35">
      <c r="A712" s="277"/>
      <c r="B712" s="277"/>
      <c r="C712" s="286"/>
      <c r="D712" s="287"/>
      <c r="E712" s="287"/>
      <c r="F712" s="304"/>
      <c r="G712" s="271"/>
      <c r="H712" s="136" t="s">
        <v>642</v>
      </c>
      <c r="I712" s="137">
        <v>1699398.21</v>
      </c>
      <c r="J712" s="137">
        <f>I712/D704+0.01</f>
        <v>124.5</v>
      </c>
      <c r="K712" s="137">
        <f>1708823/D704+0.01</f>
        <v>125.19</v>
      </c>
    </row>
    <row r="713" spans="1:11" x14ac:dyDescent="0.35">
      <c r="A713" s="277"/>
      <c r="B713" s="277"/>
      <c r="C713" s="286"/>
      <c r="D713" s="287"/>
      <c r="E713" s="287"/>
      <c r="F713" s="304"/>
      <c r="G713" s="272"/>
      <c r="H713" s="136" t="s">
        <v>75</v>
      </c>
      <c r="I713" s="137">
        <v>36203.31</v>
      </c>
      <c r="J713" s="137">
        <f>I713/D704</f>
        <v>2.65</v>
      </c>
      <c r="K713" s="137">
        <f>36569/D704</f>
        <v>2.68</v>
      </c>
    </row>
    <row r="714" spans="1:11" ht="46.5" x14ac:dyDescent="0.35">
      <c r="A714" s="277"/>
      <c r="B714" s="277"/>
      <c r="C714" s="286"/>
      <c r="D714" s="287"/>
      <c r="E714" s="287"/>
      <c r="F714" s="304"/>
      <c r="G714" s="270" t="s">
        <v>650</v>
      </c>
      <c r="H714" s="136" t="s">
        <v>634</v>
      </c>
      <c r="I714" s="137">
        <v>0</v>
      </c>
      <c r="J714" s="137">
        <v>0</v>
      </c>
      <c r="K714" s="137">
        <f>24580/D704</f>
        <v>1.8</v>
      </c>
    </row>
    <row r="715" spans="1:11" x14ac:dyDescent="0.35">
      <c r="A715" s="277"/>
      <c r="B715" s="277"/>
      <c r="C715" s="286"/>
      <c r="D715" s="287"/>
      <c r="E715" s="287"/>
      <c r="F715" s="304"/>
      <c r="G715" s="271"/>
      <c r="H715" s="136" t="s">
        <v>642</v>
      </c>
      <c r="I715" s="137">
        <v>1699398.21</v>
      </c>
      <c r="J715" s="137">
        <f>I715/D704</f>
        <v>124.49</v>
      </c>
      <c r="K715" s="137">
        <f>1708823/D704</f>
        <v>125.18</v>
      </c>
    </row>
    <row r="716" spans="1:11" x14ac:dyDescent="0.35">
      <c r="A716" s="277"/>
      <c r="B716" s="277"/>
      <c r="C716" s="286"/>
      <c r="D716" s="287"/>
      <c r="E716" s="287"/>
      <c r="F716" s="304"/>
      <c r="G716" s="272"/>
      <c r="H716" s="136" t="s">
        <v>75</v>
      </c>
      <c r="I716" s="137">
        <v>36203.31</v>
      </c>
      <c r="J716" s="137">
        <f>I716/D704</f>
        <v>2.65</v>
      </c>
      <c r="K716" s="137">
        <f>36569/D704</f>
        <v>2.68</v>
      </c>
    </row>
    <row r="717" spans="1:11" x14ac:dyDescent="0.35">
      <c r="A717" s="277">
        <f>A704+1</f>
        <v>96</v>
      </c>
      <c r="B717" s="277">
        <v>3060</v>
      </c>
      <c r="C717" s="286" t="s">
        <v>361</v>
      </c>
      <c r="D717" s="287">
        <v>3179.5</v>
      </c>
      <c r="E717" s="287" t="s">
        <v>74</v>
      </c>
      <c r="F717" s="304">
        <v>5</v>
      </c>
      <c r="G717" s="277" t="s">
        <v>71</v>
      </c>
      <c r="H717" s="136" t="s">
        <v>72</v>
      </c>
      <c r="I717" s="137">
        <f>I718+I719</f>
        <v>7672501.5899999999</v>
      </c>
      <c r="J717" s="137">
        <f>J718+J719</f>
        <v>2413.12</v>
      </c>
      <c r="K717" s="137">
        <f>K718+K719</f>
        <v>2831</v>
      </c>
    </row>
    <row r="718" spans="1:11" x14ac:dyDescent="0.35">
      <c r="A718" s="277"/>
      <c r="B718" s="277"/>
      <c r="C718" s="286"/>
      <c r="D718" s="287"/>
      <c r="E718" s="287"/>
      <c r="F718" s="304"/>
      <c r="G718" s="277"/>
      <c r="H718" s="136" t="s">
        <v>73</v>
      </c>
      <c r="I718" s="137">
        <v>7537436.4400000004</v>
      </c>
      <c r="J718" s="137">
        <f>I718/D717</f>
        <v>2370.64</v>
      </c>
      <c r="K718" s="137">
        <v>2772</v>
      </c>
    </row>
    <row r="719" spans="1:11" x14ac:dyDescent="0.35">
      <c r="A719" s="277"/>
      <c r="B719" s="277"/>
      <c r="C719" s="286"/>
      <c r="D719" s="287"/>
      <c r="E719" s="287"/>
      <c r="F719" s="304"/>
      <c r="G719" s="277"/>
      <c r="H719" s="136" t="s">
        <v>75</v>
      </c>
      <c r="I719" s="137">
        <v>135065.15</v>
      </c>
      <c r="J719" s="137">
        <f>I719/D717</f>
        <v>42.48</v>
      </c>
      <c r="K719" s="137">
        <v>59</v>
      </c>
    </row>
    <row r="720" spans="1:11" x14ac:dyDescent="0.35">
      <c r="A720" s="277">
        <f>A717+1</f>
        <v>97</v>
      </c>
      <c r="B720" s="277">
        <v>3061</v>
      </c>
      <c r="C720" s="286" t="s">
        <v>362</v>
      </c>
      <c r="D720" s="287">
        <v>3146.9</v>
      </c>
      <c r="E720" s="287" t="s">
        <v>74</v>
      </c>
      <c r="F720" s="304">
        <v>5</v>
      </c>
      <c r="G720" s="277" t="s">
        <v>71</v>
      </c>
      <c r="H720" s="136" t="s">
        <v>72</v>
      </c>
      <c r="I720" s="137">
        <f>I721+I722</f>
        <v>8861987.0899999999</v>
      </c>
      <c r="J720" s="137">
        <f>J721+J722</f>
        <v>2816.1</v>
      </c>
      <c r="K720" s="137">
        <f>K721+K722</f>
        <v>2831</v>
      </c>
    </row>
    <row r="721" spans="1:11" x14ac:dyDescent="0.35">
      <c r="A721" s="277">
        <v>77</v>
      </c>
      <c r="B721" s="277"/>
      <c r="C721" s="286"/>
      <c r="D721" s="287"/>
      <c r="E721" s="287"/>
      <c r="F721" s="304"/>
      <c r="G721" s="277"/>
      <c r="H721" s="136" t="s">
        <v>73</v>
      </c>
      <c r="I721" s="137">
        <v>8678176.6600000001</v>
      </c>
      <c r="J721" s="137">
        <f>I721/D720</f>
        <v>2757.69</v>
      </c>
      <c r="K721" s="137">
        <v>2772</v>
      </c>
    </row>
    <row r="722" spans="1:11" x14ac:dyDescent="0.35">
      <c r="A722" s="277">
        <v>78</v>
      </c>
      <c r="B722" s="277"/>
      <c r="C722" s="286"/>
      <c r="D722" s="287"/>
      <c r="E722" s="287"/>
      <c r="F722" s="304"/>
      <c r="G722" s="277"/>
      <c r="H722" s="136" t="s">
        <v>75</v>
      </c>
      <c r="I722" s="137">
        <v>183810.43</v>
      </c>
      <c r="J722" s="137">
        <f>I722/D720</f>
        <v>58.41</v>
      </c>
      <c r="K722" s="137">
        <v>59</v>
      </c>
    </row>
    <row r="723" spans="1:11" x14ac:dyDescent="0.35">
      <c r="A723" s="277">
        <f>A720+1</f>
        <v>98</v>
      </c>
      <c r="B723" s="277">
        <v>3199</v>
      </c>
      <c r="C723" s="286" t="s">
        <v>363</v>
      </c>
      <c r="D723" s="287">
        <v>1522.1</v>
      </c>
      <c r="E723" s="287" t="s">
        <v>74</v>
      </c>
      <c r="F723" s="304">
        <v>5</v>
      </c>
      <c r="G723" s="277" t="s">
        <v>71</v>
      </c>
      <c r="H723" s="136" t="s">
        <v>72</v>
      </c>
      <c r="I723" s="137">
        <f>I724+I725</f>
        <v>3728232.76</v>
      </c>
      <c r="J723" s="137">
        <f>J724+J725</f>
        <v>2449.4</v>
      </c>
      <c r="K723" s="137">
        <f>K724+K725</f>
        <v>2831</v>
      </c>
    </row>
    <row r="724" spans="1:11" x14ac:dyDescent="0.35">
      <c r="A724" s="277">
        <v>75</v>
      </c>
      <c r="B724" s="277"/>
      <c r="C724" s="286"/>
      <c r="D724" s="287"/>
      <c r="E724" s="287"/>
      <c r="F724" s="304"/>
      <c r="G724" s="277"/>
      <c r="H724" s="136" t="s">
        <v>73</v>
      </c>
      <c r="I724" s="137">
        <v>3650120.19</v>
      </c>
      <c r="J724" s="137">
        <f>I724/D723</f>
        <v>2398.08</v>
      </c>
      <c r="K724" s="137">
        <v>2772</v>
      </c>
    </row>
    <row r="725" spans="1:11" x14ac:dyDescent="0.35">
      <c r="A725" s="277">
        <v>76</v>
      </c>
      <c r="B725" s="277"/>
      <c r="C725" s="286"/>
      <c r="D725" s="287"/>
      <c r="E725" s="287"/>
      <c r="F725" s="304"/>
      <c r="G725" s="277"/>
      <c r="H725" s="136" t="s">
        <v>75</v>
      </c>
      <c r="I725" s="137">
        <v>78112.570000000007</v>
      </c>
      <c r="J725" s="137">
        <f>I725/D723</f>
        <v>51.32</v>
      </c>
      <c r="K725" s="137">
        <v>59</v>
      </c>
    </row>
    <row r="726" spans="1:11" x14ac:dyDescent="0.35">
      <c r="A726" s="277">
        <f>A723+1</f>
        <v>99</v>
      </c>
      <c r="B726" s="277">
        <v>3342</v>
      </c>
      <c r="C726" s="286" t="s">
        <v>364</v>
      </c>
      <c r="D726" s="287">
        <v>12396.3</v>
      </c>
      <c r="E726" s="287" t="s">
        <v>70</v>
      </c>
      <c r="F726" s="304">
        <v>9</v>
      </c>
      <c r="G726" s="146"/>
      <c r="H726" s="136" t="s">
        <v>72</v>
      </c>
      <c r="I726" s="137">
        <f>I727+I728+I729+I730+I731+I732+I733+I734+I735+I736+I737+I738+I739+I740+I741+I742+I743+I744</f>
        <v>10470157.859999999</v>
      </c>
      <c r="J726" s="137">
        <f>J727+J728+J729+J730+J731+J732+J733+J734+J735+J736+J737+J738+J739+J740+J741+J742+J743+J744</f>
        <v>844.62</v>
      </c>
      <c r="K726" s="137">
        <f>K727+K728+K729+K730+K731+K732+K733+K734+K735+K736+K737+K738+K739+K740+K741+K742+K743+K744</f>
        <v>856.69</v>
      </c>
    </row>
    <row r="727" spans="1:11" ht="46.5" x14ac:dyDescent="0.35">
      <c r="A727" s="277"/>
      <c r="B727" s="277"/>
      <c r="C727" s="286"/>
      <c r="D727" s="287"/>
      <c r="E727" s="287"/>
      <c r="F727" s="304"/>
      <c r="G727" s="270" t="s">
        <v>641</v>
      </c>
      <c r="H727" s="136" t="s">
        <v>634</v>
      </c>
      <c r="I727" s="137">
        <v>0</v>
      </c>
      <c r="J727" s="137">
        <v>0</v>
      </c>
      <c r="K727" s="137">
        <f>24580/D726</f>
        <v>1.98</v>
      </c>
    </row>
    <row r="728" spans="1:11" x14ac:dyDescent="0.35">
      <c r="A728" s="277">
        <v>756</v>
      </c>
      <c r="B728" s="277"/>
      <c r="C728" s="286"/>
      <c r="D728" s="287"/>
      <c r="E728" s="287"/>
      <c r="F728" s="304"/>
      <c r="G728" s="271"/>
      <c r="H728" s="136" t="s">
        <v>642</v>
      </c>
      <c r="I728" s="137">
        <v>1708823</v>
      </c>
      <c r="J728" s="137">
        <f>I728/D726</f>
        <v>137.85</v>
      </c>
      <c r="K728" s="137">
        <f>1708823/D726+0.01</f>
        <v>137.86000000000001</v>
      </c>
    </row>
    <row r="729" spans="1:11" x14ac:dyDescent="0.35">
      <c r="A729" s="277">
        <v>757</v>
      </c>
      <c r="B729" s="277"/>
      <c r="C729" s="286"/>
      <c r="D729" s="287"/>
      <c r="E729" s="287"/>
      <c r="F729" s="304"/>
      <c r="G729" s="272"/>
      <c r="H729" s="136" t="s">
        <v>75</v>
      </c>
      <c r="I729" s="137">
        <v>36203.31</v>
      </c>
      <c r="J729" s="137">
        <f>I729/D726</f>
        <v>2.92</v>
      </c>
      <c r="K729" s="137">
        <f>36569/D726</f>
        <v>2.95</v>
      </c>
    </row>
    <row r="730" spans="1:11" ht="46.5" x14ac:dyDescent="0.35">
      <c r="A730" s="277"/>
      <c r="B730" s="277"/>
      <c r="C730" s="286"/>
      <c r="D730" s="287"/>
      <c r="E730" s="287"/>
      <c r="F730" s="304"/>
      <c r="G730" s="270" t="s">
        <v>647</v>
      </c>
      <c r="H730" s="136" t="s">
        <v>634</v>
      </c>
      <c r="I730" s="137">
        <v>0</v>
      </c>
      <c r="J730" s="137">
        <v>0</v>
      </c>
      <c r="K730" s="137">
        <f>24580/D726</f>
        <v>1.98</v>
      </c>
    </row>
    <row r="731" spans="1:11" x14ac:dyDescent="0.35">
      <c r="A731" s="277"/>
      <c r="B731" s="277"/>
      <c r="C731" s="286"/>
      <c r="D731" s="287"/>
      <c r="E731" s="287"/>
      <c r="F731" s="304"/>
      <c r="G731" s="271"/>
      <c r="H731" s="136" t="s">
        <v>642</v>
      </c>
      <c r="I731" s="137">
        <v>1708823</v>
      </c>
      <c r="J731" s="137">
        <f>I731/D726</f>
        <v>137.85</v>
      </c>
      <c r="K731" s="137">
        <f>1708823/D726</f>
        <v>137.85</v>
      </c>
    </row>
    <row r="732" spans="1:11" x14ac:dyDescent="0.35">
      <c r="A732" s="277"/>
      <c r="B732" s="277"/>
      <c r="C732" s="286"/>
      <c r="D732" s="287"/>
      <c r="E732" s="287"/>
      <c r="F732" s="304"/>
      <c r="G732" s="272"/>
      <c r="H732" s="136" t="s">
        <v>75</v>
      </c>
      <c r="I732" s="137">
        <v>36203.31</v>
      </c>
      <c r="J732" s="137">
        <f>I732/D726</f>
        <v>2.92</v>
      </c>
      <c r="K732" s="137">
        <f>36569/D726</f>
        <v>2.95</v>
      </c>
    </row>
    <row r="733" spans="1:11" ht="46.5" x14ac:dyDescent="0.35">
      <c r="A733" s="277"/>
      <c r="B733" s="277"/>
      <c r="C733" s="286"/>
      <c r="D733" s="287"/>
      <c r="E733" s="287"/>
      <c r="F733" s="304"/>
      <c r="G733" s="270" t="s">
        <v>648</v>
      </c>
      <c r="H733" s="136" t="s">
        <v>634</v>
      </c>
      <c r="I733" s="137">
        <v>0</v>
      </c>
      <c r="J733" s="137">
        <v>0</v>
      </c>
      <c r="K733" s="137">
        <f>24580/D726</f>
        <v>1.98</v>
      </c>
    </row>
    <row r="734" spans="1:11" x14ac:dyDescent="0.35">
      <c r="A734" s="277"/>
      <c r="B734" s="277"/>
      <c r="C734" s="286"/>
      <c r="D734" s="287"/>
      <c r="E734" s="287"/>
      <c r="F734" s="304"/>
      <c r="G734" s="271"/>
      <c r="H734" s="136" t="s">
        <v>642</v>
      </c>
      <c r="I734" s="137">
        <v>1708823</v>
      </c>
      <c r="J734" s="137">
        <f>I734/D726</f>
        <v>137.85</v>
      </c>
      <c r="K734" s="137">
        <f>1708823/D726</f>
        <v>137.85</v>
      </c>
    </row>
    <row r="735" spans="1:11" x14ac:dyDescent="0.35">
      <c r="A735" s="277"/>
      <c r="B735" s="277"/>
      <c r="C735" s="286"/>
      <c r="D735" s="287"/>
      <c r="E735" s="287"/>
      <c r="F735" s="304"/>
      <c r="G735" s="272"/>
      <c r="H735" s="136" t="s">
        <v>75</v>
      </c>
      <c r="I735" s="137">
        <v>36203.31</v>
      </c>
      <c r="J735" s="137">
        <f>I735/D726</f>
        <v>2.92</v>
      </c>
      <c r="K735" s="137">
        <f>36569/D726</f>
        <v>2.95</v>
      </c>
    </row>
    <row r="736" spans="1:11" ht="46.5" x14ac:dyDescent="0.35">
      <c r="A736" s="277"/>
      <c r="B736" s="277"/>
      <c r="C736" s="286"/>
      <c r="D736" s="287"/>
      <c r="E736" s="287"/>
      <c r="F736" s="304"/>
      <c r="G736" s="270" t="s">
        <v>649</v>
      </c>
      <c r="H736" s="136" t="s">
        <v>634</v>
      </c>
      <c r="I736" s="137">
        <v>0</v>
      </c>
      <c r="J736" s="137">
        <v>0</v>
      </c>
      <c r="K736" s="137">
        <f>24580/D726</f>
        <v>1.98</v>
      </c>
    </row>
    <row r="737" spans="1:11" x14ac:dyDescent="0.35">
      <c r="A737" s="277"/>
      <c r="B737" s="277"/>
      <c r="C737" s="286"/>
      <c r="D737" s="287"/>
      <c r="E737" s="287"/>
      <c r="F737" s="304"/>
      <c r="G737" s="271"/>
      <c r="H737" s="136" t="s">
        <v>642</v>
      </c>
      <c r="I737" s="137">
        <v>1708823</v>
      </c>
      <c r="J737" s="137">
        <f>I737/D726</f>
        <v>137.85</v>
      </c>
      <c r="K737" s="137">
        <f>1708823/D726</f>
        <v>137.85</v>
      </c>
    </row>
    <row r="738" spans="1:11" x14ac:dyDescent="0.35">
      <c r="A738" s="277"/>
      <c r="B738" s="277"/>
      <c r="C738" s="286"/>
      <c r="D738" s="287"/>
      <c r="E738" s="287"/>
      <c r="F738" s="304"/>
      <c r="G738" s="272"/>
      <c r="H738" s="136" t="s">
        <v>75</v>
      </c>
      <c r="I738" s="137">
        <v>36203.31</v>
      </c>
      <c r="J738" s="137">
        <f>I738/D726</f>
        <v>2.92</v>
      </c>
      <c r="K738" s="137">
        <f>36569/D726</f>
        <v>2.95</v>
      </c>
    </row>
    <row r="739" spans="1:11" ht="46.5" x14ac:dyDescent="0.35">
      <c r="A739" s="277"/>
      <c r="B739" s="277"/>
      <c r="C739" s="286"/>
      <c r="D739" s="287"/>
      <c r="E739" s="287"/>
      <c r="F739" s="304"/>
      <c r="G739" s="270" t="s">
        <v>646</v>
      </c>
      <c r="H739" s="136" t="s">
        <v>634</v>
      </c>
      <c r="I739" s="137">
        <v>0</v>
      </c>
      <c r="J739" s="137">
        <v>0</v>
      </c>
      <c r="K739" s="137">
        <f>24580/D726</f>
        <v>1.98</v>
      </c>
    </row>
    <row r="740" spans="1:11" x14ac:dyDescent="0.35">
      <c r="A740" s="277"/>
      <c r="B740" s="277"/>
      <c r="C740" s="286"/>
      <c r="D740" s="287"/>
      <c r="E740" s="287"/>
      <c r="F740" s="304"/>
      <c r="G740" s="271"/>
      <c r="H740" s="136" t="s">
        <v>642</v>
      </c>
      <c r="I740" s="137">
        <v>1708823</v>
      </c>
      <c r="J740" s="137">
        <f>I740/D726</f>
        <v>137.85</v>
      </c>
      <c r="K740" s="137">
        <f>1708823/D726</f>
        <v>137.85</v>
      </c>
    </row>
    <row r="741" spans="1:11" x14ac:dyDescent="0.35">
      <c r="A741" s="277"/>
      <c r="B741" s="277"/>
      <c r="C741" s="286"/>
      <c r="D741" s="287"/>
      <c r="E741" s="287"/>
      <c r="F741" s="304"/>
      <c r="G741" s="272"/>
      <c r="H741" s="136" t="s">
        <v>75</v>
      </c>
      <c r="I741" s="137">
        <v>36203.31</v>
      </c>
      <c r="J741" s="137">
        <f>I741/D726</f>
        <v>2.92</v>
      </c>
      <c r="K741" s="137">
        <f>36569/D726</f>
        <v>2.95</v>
      </c>
    </row>
    <row r="742" spans="1:11" ht="46.5" x14ac:dyDescent="0.35">
      <c r="A742" s="277"/>
      <c r="B742" s="277"/>
      <c r="C742" s="286"/>
      <c r="D742" s="287"/>
      <c r="E742" s="287"/>
      <c r="F742" s="304"/>
      <c r="G742" s="270" t="s">
        <v>650</v>
      </c>
      <c r="H742" s="136" t="s">
        <v>634</v>
      </c>
      <c r="I742" s="137">
        <v>0</v>
      </c>
      <c r="J742" s="137">
        <v>0</v>
      </c>
      <c r="K742" s="137">
        <f>24580/D726</f>
        <v>1.98</v>
      </c>
    </row>
    <row r="743" spans="1:11" x14ac:dyDescent="0.35">
      <c r="A743" s="277"/>
      <c r="B743" s="277"/>
      <c r="C743" s="286"/>
      <c r="D743" s="287"/>
      <c r="E743" s="287"/>
      <c r="F743" s="304"/>
      <c r="G743" s="271"/>
      <c r="H743" s="136" t="s">
        <v>642</v>
      </c>
      <c r="I743" s="137">
        <v>1708823</v>
      </c>
      <c r="J743" s="137">
        <f>I743/D726</f>
        <v>137.85</v>
      </c>
      <c r="K743" s="137">
        <f>1708823/D726</f>
        <v>137.85</v>
      </c>
    </row>
    <row r="744" spans="1:11" x14ac:dyDescent="0.35">
      <c r="A744" s="277"/>
      <c r="B744" s="277"/>
      <c r="C744" s="286"/>
      <c r="D744" s="287"/>
      <c r="E744" s="287"/>
      <c r="F744" s="304"/>
      <c r="G744" s="272"/>
      <c r="H744" s="136" t="s">
        <v>75</v>
      </c>
      <c r="I744" s="137">
        <v>36203.31</v>
      </c>
      <c r="J744" s="137">
        <f>I744/D726</f>
        <v>2.92</v>
      </c>
      <c r="K744" s="137">
        <f>36569/D726</f>
        <v>2.95</v>
      </c>
    </row>
    <row r="745" spans="1:11" x14ac:dyDescent="0.35">
      <c r="A745" s="270">
        <f>A726+1</f>
        <v>100</v>
      </c>
      <c r="B745" s="270">
        <v>3278</v>
      </c>
      <c r="C745" s="278" t="s">
        <v>365</v>
      </c>
      <c r="D745" s="256">
        <v>4404.5</v>
      </c>
      <c r="E745" s="256" t="s">
        <v>70</v>
      </c>
      <c r="F745" s="300">
        <v>5</v>
      </c>
      <c r="G745" s="146"/>
      <c r="H745" s="136" t="s">
        <v>72</v>
      </c>
      <c r="I745" s="137">
        <f>I746+I747+I748+I749+I750+I751+I752+I753</f>
        <v>4285929.38</v>
      </c>
      <c r="J745" s="137">
        <f>J746+J747+J748+J749+J750+J751+J752+J753</f>
        <v>973.08</v>
      </c>
      <c r="K745" s="137">
        <f>K746+K747+K748+K749+K750+K751+K752+K753</f>
        <v>3589</v>
      </c>
    </row>
    <row r="746" spans="1:11" ht="46.5" x14ac:dyDescent="0.35">
      <c r="A746" s="271"/>
      <c r="B746" s="271"/>
      <c r="C746" s="279"/>
      <c r="D746" s="257"/>
      <c r="E746" s="257"/>
      <c r="F746" s="301"/>
      <c r="G746" s="270" t="s">
        <v>76</v>
      </c>
      <c r="H746" s="136" t="s">
        <v>634</v>
      </c>
      <c r="I746" s="137">
        <v>191446.24</v>
      </c>
      <c r="J746" s="137">
        <f>I746/D745</f>
        <v>43.47</v>
      </c>
      <c r="K746" s="137">
        <f>85+7</f>
        <v>92</v>
      </c>
    </row>
    <row r="747" spans="1:11" x14ac:dyDescent="0.35">
      <c r="A747" s="271"/>
      <c r="B747" s="271"/>
      <c r="C747" s="279"/>
      <c r="D747" s="257"/>
      <c r="E747" s="257"/>
      <c r="F747" s="301"/>
      <c r="G747" s="272"/>
      <c r="H747" s="136" t="s">
        <v>73</v>
      </c>
      <c r="I747" s="137">
        <f>9006597.78*0.3</f>
        <v>2701979.33</v>
      </c>
      <c r="J747" s="137">
        <f>I747/D745-0.01</f>
        <v>613.45000000000005</v>
      </c>
      <c r="K747" s="137">
        <v>2119</v>
      </c>
    </row>
    <row r="748" spans="1:11" ht="46.5" x14ac:dyDescent="0.35">
      <c r="A748" s="271"/>
      <c r="B748" s="271"/>
      <c r="C748" s="279"/>
      <c r="D748" s="257"/>
      <c r="E748" s="257"/>
      <c r="F748" s="301"/>
      <c r="G748" s="270" t="s">
        <v>77</v>
      </c>
      <c r="H748" s="136" t="s">
        <v>634</v>
      </c>
      <c r="I748" s="137">
        <v>88076.78</v>
      </c>
      <c r="J748" s="137">
        <f>I748/D745</f>
        <v>20</v>
      </c>
      <c r="K748" s="137">
        <f>19+2</f>
        <v>21</v>
      </c>
    </row>
    <row r="749" spans="1:11" x14ac:dyDescent="0.35">
      <c r="A749" s="271"/>
      <c r="B749" s="271"/>
      <c r="C749" s="279"/>
      <c r="D749" s="257"/>
      <c r="E749" s="257"/>
      <c r="F749" s="301"/>
      <c r="G749" s="272"/>
      <c r="H749" s="136" t="s">
        <v>73</v>
      </c>
      <c r="I749" s="137">
        <f>939332.77*0.3</f>
        <v>281799.83</v>
      </c>
      <c r="J749" s="137">
        <f>I749/D745</f>
        <v>63.98</v>
      </c>
      <c r="K749" s="137">
        <v>463</v>
      </c>
    </row>
    <row r="750" spans="1:11" ht="46.5" x14ac:dyDescent="0.35">
      <c r="A750" s="271"/>
      <c r="B750" s="271"/>
      <c r="C750" s="279"/>
      <c r="D750" s="257"/>
      <c r="E750" s="257"/>
      <c r="F750" s="301"/>
      <c r="G750" s="311" t="s">
        <v>78</v>
      </c>
      <c r="H750" s="136" t="s">
        <v>634</v>
      </c>
      <c r="I750" s="137">
        <v>71918.87</v>
      </c>
      <c r="J750" s="137">
        <f>I750/D745</f>
        <v>16.329999999999998</v>
      </c>
      <c r="K750" s="137">
        <f>16+1</f>
        <v>17</v>
      </c>
    </row>
    <row r="751" spans="1:11" x14ac:dyDescent="0.35">
      <c r="A751" s="271"/>
      <c r="B751" s="271"/>
      <c r="C751" s="279"/>
      <c r="D751" s="257"/>
      <c r="E751" s="257"/>
      <c r="F751" s="301"/>
      <c r="G751" s="312"/>
      <c r="H751" s="136" t="s">
        <v>73</v>
      </c>
      <c r="I751" s="137">
        <f>1801440.5*0.3</f>
        <v>540432.15</v>
      </c>
      <c r="J751" s="137">
        <f>I751/D745</f>
        <v>122.7</v>
      </c>
      <c r="K751" s="137">
        <v>409</v>
      </c>
    </row>
    <row r="752" spans="1:11" ht="46.5" x14ac:dyDescent="0.35">
      <c r="A752" s="271"/>
      <c r="B752" s="271"/>
      <c r="C752" s="279"/>
      <c r="D752" s="257"/>
      <c r="E752" s="257"/>
      <c r="F752" s="301"/>
      <c r="G752" s="270" t="s">
        <v>89</v>
      </c>
      <c r="H752" s="136" t="s">
        <v>634</v>
      </c>
      <c r="I752" s="137">
        <v>51947.61</v>
      </c>
      <c r="J752" s="137">
        <f>I752/D745</f>
        <v>11.79</v>
      </c>
      <c r="K752" s="137">
        <f>18+2</f>
        <v>20</v>
      </c>
    </row>
    <row r="753" spans="1:11" x14ac:dyDescent="0.35">
      <c r="A753" s="272"/>
      <c r="B753" s="272"/>
      <c r="C753" s="285"/>
      <c r="D753" s="258"/>
      <c r="E753" s="258"/>
      <c r="F753" s="302"/>
      <c r="G753" s="272"/>
      <c r="H753" s="136" t="s">
        <v>73</v>
      </c>
      <c r="I753" s="137">
        <f>1194428.57*0.3</f>
        <v>358328.57</v>
      </c>
      <c r="J753" s="137">
        <f>I753/D745</f>
        <v>81.36</v>
      </c>
      <c r="K753" s="137">
        <v>448</v>
      </c>
    </row>
    <row r="754" spans="1:11" x14ac:dyDescent="0.35">
      <c r="A754" s="270">
        <f>A745+1</f>
        <v>101</v>
      </c>
      <c r="B754" s="270">
        <v>3280</v>
      </c>
      <c r="C754" s="278" t="s">
        <v>367</v>
      </c>
      <c r="D754" s="256">
        <v>4328.8</v>
      </c>
      <c r="E754" s="256" t="s">
        <v>70</v>
      </c>
      <c r="F754" s="300">
        <v>5</v>
      </c>
      <c r="G754" s="146"/>
      <c r="H754" s="136" t="s">
        <v>72</v>
      </c>
      <c r="I754" s="137">
        <f>I755+I756+I757+I758</f>
        <v>408759.43</v>
      </c>
      <c r="J754" s="137">
        <f>J755+J756+J757+J758</f>
        <v>94.43</v>
      </c>
      <c r="K754" s="137">
        <f>K755+K756+K757+K758</f>
        <v>150</v>
      </c>
    </row>
    <row r="755" spans="1:11" ht="46.5" x14ac:dyDescent="0.35">
      <c r="A755" s="271"/>
      <c r="B755" s="271"/>
      <c r="C755" s="279"/>
      <c r="D755" s="257"/>
      <c r="E755" s="257"/>
      <c r="F755" s="301"/>
      <c r="G755" s="141" t="s">
        <v>76</v>
      </c>
      <c r="H755" s="136" t="s">
        <v>634</v>
      </c>
      <c r="I755" s="137">
        <f>165400.75+D754*7</f>
        <v>195702.35</v>
      </c>
      <c r="J755" s="137">
        <f>I755/D754</f>
        <v>45.21</v>
      </c>
      <c r="K755" s="137">
        <f>85+7</f>
        <v>92</v>
      </c>
    </row>
    <row r="756" spans="1:11" ht="46.5" x14ac:dyDescent="0.35">
      <c r="A756" s="271"/>
      <c r="B756" s="271"/>
      <c r="C756" s="279"/>
      <c r="D756" s="257"/>
      <c r="E756" s="257"/>
      <c r="F756" s="301"/>
      <c r="G756" s="141" t="s">
        <v>77</v>
      </c>
      <c r="H756" s="136" t="s">
        <v>634</v>
      </c>
      <c r="I756" s="137">
        <f>D754*K756</f>
        <v>90904.8</v>
      </c>
      <c r="J756" s="137">
        <f>I756/D754</f>
        <v>21</v>
      </c>
      <c r="K756" s="137">
        <f>19+2</f>
        <v>21</v>
      </c>
    </row>
    <row r="757" spans="1:11" ht="46.5" x14ac:dyDescent="0.35">
      <c r="A757" s="271"/>
      <c r="B757" s="271"/>
      <c r="C757" s="279"/>
      <c r="D757" s="257"/>
      <c r="E757" s="257"/>
      <c r="F757" s="301"/>
      <c r="G757" s="141" t="s">
        <v>78</v>
      </c>
      <c r="H757" s="136" t="s">
        <v>634</v>
      </c>
      <c r="I757" s="137">
        <f>65062.06+D754*1</f>
        <v>69390.86</v>
      </c>
      <c r="J757" s="137">
        <f>I757/D754</f>
        <v>16.03</v>
      </c>
      <c r="K757" s="137">
        <f>16+1</f>
        <v>17</v>
      </c>
    </row>
    <row r="758" spans="1:11" ht="46.5" x14ac:dyDescent="0.35">
      <c r="A758" s="271"/>
      <c r="B758" s="271"/>
      <c r="C758" s="279"/>
      <c r="D758" s="257"/>
      <c r="E758" s="257"/>
      <c r="F758" s="301"/>
      <c r="G758" s="141" t="s">
        <v>89</v>
      </c>
      <c r="H758" s="136" t="s">
        <v>634</v>
      </c>
      <c r="I758" s="137">
        <f>44103.82+D754*2</f>
        <v>52761.42</v>
      </c>
      <c r="J758" s="137">
        <f>I758/D754</f>
        <v>12.19</v>
      </c>
      <c r="K758" s="137">
        <f>18+2</f>
        <v>20</v>
      </c>
    </row>
    <row r="759" spans="1:11" x14ac:dyDescent="0.35">
      <c r="A759" s="270">
        <f>A754+1</f>
        <v>102</v>
      </c>
      <c r="B759" s="270">
        <v>3281</v>
      </c>
      <c r="C759" s="278" t="s">
        <v>368</v>
      </c>
      <c r="D759" s="256">
        <v>4302</v>
      </c>
      <c r="E759" s="256" t="s">
        <v>70</v>
      </c>
      <c r="F759" s="300">
        <v>5</v>
      </c>
      <c r="G759" s="146"/>
      <c r="H759" s="136" t="s">
        <v>72</v>
      </c>
      <c r="I759" s="137">
        <f>I760+I761+I762+I763</f>
        <v>408076.74</v>
      </c>
      <c r="J759" s="137">
        <f>J760+J761+J762+J763</f>
        <v>94.86</v>
      </c>
      <c r="K759" s="137">
        <f>K760+K761+K762+K763</f>
        <v>150</v>
      </c>
    </row>
    <row r="760" spans="1:11" ht="46.5" x14ac:dyDescent="0.35">
      <c r="A760" s="271">
        <v>882</v>
      </c>
      <c r="B760" s="271"/>
      <c r="C760" s="279"/>
      <c r="D760" s="257"/>
      <c r="E760" s="257"/>
      <c r="F760" s="301"/>
      <c r="G760" s="141" t="s">
        <v>76</v>
      </c>
      <c r="H760" s="136" t="s">
        <v>634</v>
      </c>
      <c r="I760" s="137">
        <f>165683.39+D759*7</f>
        <v>195797.39</v>
      </c>
      <c r="J760" s="137">
        <f>I760/D759</f>
        <v>45.51</v>
      </c>
      <c r="K760" s="137">
        <f>85+7</f>
        <v>92</v>
      </c>
    </row>
    <row r="761" spans="1:11" ht="46.5" x14ac:dyDescent="0.35">
      <c r="A761" s="271">
        <v>884</v>
      </c>
      <c r="B761" s="271"/>
      <c r="C761" s="279"/>
      <c r="D761" s="257"/>
      <c r="E761" s="257"/>
      <c r="F761" s="301"/>
      <c r="G761" s="141" t="s">
        <v>77</v>
      </c>
      <c r="H761" s="136" t="s">
        <v>634</v>
      </c>
      <c r="I761" s="137">
        <f>D759*K761</f>
        <v>90342</v>
      </c>
      <c r="J761" s="137">
        <f>I761/D759</f>
        <v>21</v>
      </c>
      <c r="K761" s="137">
        <f>19+2</f>
        <v>21</v>
      </c>
    </row>
    <row r="762" spans="1:11" ht="46.5" x14ac:dyDescent="0.35">
      <c r="A762" s="271"/>
      <c r="B762" s="271"/>
      <c r="C762" s="279"/>
      <c r="D762" s="257"/>
      <c r="E762" s="257"/>
      <c r="F762" s="301"/>
      <c r="G762" s="141" t="s">
        <v>78</v>
      </c>
      <c r="H762" s="136" t="s">
        <v>634</v>
      </c>
      <c r="I762" s="137">
        <f>64987.95+D759*1</f>
        <v>69289.95</v>
      </c>
      <c r="J762" s="137">
        <f>I762/D759</f>
        <v>16.11</v>
      </c>
      <c r="K762" s="137">
        <f>16+1</f>
        <v>17</v>
      </c>
    </row>
    <row r="763" spans="1:11" ht="46.5" x14ac:dyDescent="0.35">
      <c r="A763" s="271">
        <v>886</v>
      </c>
      <c r="B763" s="271"/>
      <c r="C763" s="279"/>
      <c r="D763" s="257"/>
      <c r="E763" s="257"/>
      <c r="F763" s="301"/>
      <c r="G763" s="141" t="s">
        <v>89</v>
      </c>
      <c r="H763" s="136" t="s">
        <v>634</v>
      </c>
      <c r="I763" s="137">
        <f>44043.4+D759*2</f>
        <v>52647.4</v>
      </c>
      <c r="J763" s="137">
        <f>I763/D759</f>
        <v>12.24</v>
      </c>
      <c r="K763" s="137">
        <f>18+2</f>
        <v>20</v>
      </c>
    </row>
    <row r="764" spans="1:11" x14ac:dyDescent="0.35">
      <c r="A764" s="277">
        <f>A759+1</f>
        <v>103</v>
      </c>
      <c r="B764" s="277">
        <v>4053</v>
      </c>
      <c r="C764" s="286" t="s">
        <v>369</v>
      </c>
      <c r="D764" s="295">
        <v>2642</v>
      </c>
      <c r="E764" s="295" t="s">
        <v>70</v>
      </c>
      <c r="F764" s="344">
        <v>5</v>
      </c>
      <c r="G764" s="277" t="s">
        <v>71</v>
      </c>
      <c r="H764" s="136" t="s">
        <v>72</v>
      </c>
      <c r="I764" s="137">
        <f>I765+I766</f>
        <v>2706613.74</v>
      </c>
      <c r="J764" s="137">
        <f>J765+J766</f>
        <v>1024.46</v>
      </c>
      <c r="K764" s="137">
        <f>K765+K766</f>
        <v>3523</v>
      </c>
    </row>
    <row r="765" spans="1:11" ht="62" x14ac:dyDescent="0.35">
      <c r="A765" s="277">
        <v>75</v>
      </c>
      <c r="B765" s="277"/>
      <c r="C765" s="286"/>
      <c r="D765" s="295"/>
      <c r="E765" s="295"/>
      <c r="F765" s="344"/>
      <c r="G765" s="277"/>
      <c r="H765" s="136" t="s">
        <v>761</v>
      </c>
      <c r="I765" s="137">
        <v>372876.13</v>
      </c>
      <c r="J765" s="137">
        <f>I765/D764</f>
        <v>141.13</v>
      </c>
      <c r="K765" s="137">
        <f>135+11</f>
        <v>146</v>
      </c>
    </row>
    <row r="766" spans="1:11" ht="31" x14ac:dyDescent="0.35">
      <c r="A766" s="277">
        <v>77</v>
      </c>
      <c r="B766" s="277"/>
      <c r="C766" s="286"/>
      <c r="D766" s="295"/>
      <c r="E766" s="295"/>
      <c r="F766" s="344"/>
      <c r="G766" s="277"/>
      <c r="H766" s="136" t="s">
        <v>85</v>
      </c>
      <c r="I766" s="137">
        <f>7779125.36*0.3</f>
        <v>2333737.61</v>
      </c>
      <c r="J766" s="137">
        <f>I766/D764+0.01</f>
        <v>883.33</v>
      </c>
      <c r="K766" s="137">
        <v>3377</v>
      </c>
    </row>
    <row r="767" spans="1:11" x14ac:dyDescent="0.35">
      <c r="A767" s="277">
        <f>A764+1</f>
        <v>104</v>
      </c>
      <c r="B767" s="277">
        <v>4058</v>
      </c>
      <c r="C767" s="286" t="s">
        <v>370</v>
      </c>
      <c r="D767" s="287">
        <v>8847.6</v>
      </c>
      <c r="E767" s="287" t="s">
        <v>74</v>
      </c>
      <c r="F767" s="304">
        <v>9</v>
      </c>
      <c r="G767" s="146"/>
      <c r="H767" s="136" t="s">
        <v>72</v>
      </c>
      <c r="I767" s="137">
        <f>I768+I769+I770+I771+I772+I773+I774+I775+I776+I777+I778+I779+I780+I781+I782</f>
        <v>8592843.0800000001</v>
      </c>
      <c r="J767" s="137">
        <f>J768+J769+J770+J771+J772+J773+J774+J775+J776+J777+J778+J779+J780+J781+J782</f>
        <v>971.21</v>
      </c>
      <c r="K767" s="137">
        <f>K768+K769+K770+K771+K772+K773+K774+K775+K776+K777+K778+K779+K780+K781+K782</f>
        <v>1000.26</v>
      </c>
    </row>
    <row r="768" spans="1:11" ht="46.5" x14ac:dyDescent="0.35">
      <c r="A768" s="277"/>
      <c r="B768" s="277"/>
      <c r="C768" s="286"/>
      <c r="D768" s="287"/>
      <c r="E768" s="287"/>
      <c r="F768" s="304"/>
      <c r="G768" s="270" t="s">
        <v>641</v>
      </c>
      <c r="H768" s="136" t="s">
        <v>634</v>
      </c>
      <c r="I768" s="137">
        <v>0</v>
      </c>
      <c r="J768" s="137">
        <v>0</v>
      </c>
      <c r="K768" s="137">
        <f>24580/D767</f>
        <v>2.78</v>
      </c>
    </row>
    <row r="769" spans="1:11" x14ac:dyDescent="0.35">
      <c r="A769" s="277">
        <v>756</v>
      </c>
      <c r="B769" s="277"/>
      <c r="C769" s="286"/>
      <c r="D769" s="287"/>
      <c r="E769" s="287"/>
      <c r="F769" s="304"/>
      <c r="G769" s="271"/>
      <c r="H769" s="136" t="s">
        <v>642</v>
      </c>
      <c r="I769" s="137">
        <v>1700265.87</v>
      </c>
      <c r="J769" s="137">
        <f>I769/D767</f>
        <v>192.17</v>
      </c>
      <c r="K769" s="137">
        <f>1708823/D767</f>
        <v>193.14</v>
      </c>
    </row>
    <row r="770" spans="1:11" x14ac:dyDescent="0.35">
      <c r="A770" s="277">
        <v>757</v>
      </c>
      <c r="B770" s="277"/>
      <c r="C770" s="286"/>
      <c r="D770" s="287"/>
      <c r="E770" s="287"/>
      <c r="F770" s="304"/>
      <c r="G770" s="272"/>
      <c r="H770" s="136" t="s">
        <v>75</v>
      </c>
      <c r="I770" s="137">
        <v>36203.31</v>
      </c>
      <c r="J770" s="137">
        <f>I770/D767</f>
        <v>4.09</v>
      </c>
      <c r="K770" s="137">
        <f>36569/D767</f>
        <v>4.13</v>
      </c>
    </row>
    <row r="771" spans="1:11" ht="46.5" x14ac:dyDescent="0.35">
      <c r="A771" s="277"/>
      <c r="B771" s="277"/>
      <c r="C771" s="286"/>
      <c r="D771" s="287"/>
      <c r="E771" s="287"/>
      <c r="F771" s="304"/>
      <c r="G771" s="270" t="s">
        <v>647</v>
      </c>
      <c r="H771" s="136" t="s">
        <v>634</v>
      </c>
      <c r="I771" s="137">
        <v>0</v>
      </c>
      <c r="J771" s="137">
        <v>0</v>
      </c>
      <c r="K771" s="137">
        <f>24580/D767</f>
        <v>2.78</v>
      </c>
    </row>
    <row r="772" spans="1:11" x14ac:dyDescent="0.35">
      <c r="A772" s="277"/>
      <c r="B772" s="277"/>
      <c r="C772" s="286"/>
      <c r="D772" s="287"/>
      <c r="E772" s="287"/>
      <c r="F772" s="304"/>
      <c r="G772" s="271"/>
      <c r="H772" s="136" t="s">
        <v>642</v>
      </c>
      <c r="I772" s="137">
        <v>1700265.87</v>
      </c>
      <c r="J772" s="137">
        <f>I772/D767</f>
        <v>192.17</v>
      </c>
      <c r="K772" s="137">
        <f>1708823/D767</f>
        <v>193.14</v>
      </c>
    </row>
    <row r="773" spans="1:11" x14ac:dyDescent="0.35">
      <c r="A773" s="277"/>
      <c r="B773" s="277"/>
      <c r="C773" s="286"/>
      <c r="D773" s="287"/>
      <c r="E773" s="287"/>
      <c r="F773" s="304"/>
      <c r="G773" s="272"/>
      <c r="H773" s="136" t="s">
        <v>75</v>
      </c>
      <c r="I773" s="137">
        <v>36203.31</v>
      </c>
      <c r="J773" s="137">
        <f>I773/D767</f>
        <v>4.09</v>
      </c>
      <c r="K773" s="137">
        <f>36569/D767</f>
        <v>4.13</v>
      </c>
    </row>
    <row r="774" spans="1:11" ht="46.5" x14ac:dyDescent="0.35">
      <c r="A774" s="277"/>
      <c r="B774" s="277"/>
      <c r="C774" s="286"/>
      <c r="D774" s="287"/>
      <c r="E774" s="287"/>
      <c r="F774" s="304"/>
      <c r="G774" s="270" t="s">
        <v>648</v>
      </c>
      <c r="H774" s="136" t="s">
        <v>634</v>
      </c>
      <c r="I774" s="137">
        <v>0</v>
      </c>
      <c r="J774" s="137">
        <v>0</v>
      </c>
      <c r="K774" s="137">
        <f>24580/D767</f>
        <v>2.78</v>
      </c>
    </row>
    <row r="775" spans="1:11" x14ac:dyDescent="0.35">
      <c r="A775" s="277"/>
      <c r="B775" s="277"/>
      <c r="C775" s="286"/>
      <c r="D775" s="287"/>
      <c r="E775" s="287"/>
      <c r="F775" s="304"/>
      <c r="G775" s="271"/>
      <c r="H775" s="136" t="s">
        <v>642</v>
      </c>
      <c r="I775" s="137">
        <v>1700265.87</v>
      </c>
      <c r="J775" s="137">
        <f>I775/D767+0.01</f>
        <v>192.18</v>
      </c>
      <c r="K775" s="137">
        <f>1708823/D767+0.01</f>
        <v>193.15</v>
      </c>
    </row>
    <row r="776" spans="1:11" x14ac:dyDescent="0.35">
      <c r="A776" s="277"/>
      <c r="B776" s="277"/>
      <c r="C776" s="286"/>
      <c r="D776" s="287"/>
      <c r="E776" s="287"/>
      <c r="F776" s="304"/>
      <c r="G776" s="272"/>
      <c r="H776" s="136" t="s">
        <v>75</v>
      </c>
      <c r="I776" s="137">
        <v>36203.31</v>
      </c>
      <c r="J776" s="137">
        <f>I776/D767</f>
        <v>4.09</v>
      </c>
      <c r="K776" s="137">
        <f>36569/D767</f>
        <v>4.13</v>
      </c>
    </row>
    <row r="777" spans="1:11" ht="46.5" x14ac:dyDescent="0.35">
      <c r="A777" s="277"/>
      <c r="B777" s="277"/>
      <c r="C777" s="286"/>
      <c r="D777" s="287"/>
      <c r="E777" s="287"/>
      <c r="F777" s="304"/>
      <c r="G777" s="270" t="s">
        <v>649</v>
      </c>
      <c r="H777" s="136" t="s">
        <v>634</v>
      </c>
      <c r="I777" s="137">
        <v>0</v>
      </c>
      <c r="J777" s="137">
        <v>0</v>
      </c>
      <c r="K777" s="137">
        <f>24580/D767</f>
        <v>2.78</v>
      </c>
    </row>
    <row r="778" spans="1:11" x14ac:dyDescent="0.35">
      <c r="A778" s="277"/>
      <c r="B778" s="277"/>
      <c r="C778" s="286"/>
      <c r="D778" s="287"/>
      <c r="E778" s="287"/>
      <c r="F778" s="304"/>
      <c r="G778" s="271"/>
      <c r="H778" s="136" t="s">
        <v>642</v>
      </c>
      <c r="I778" s="137">
        <v>1656273.52</v>
      </c>
      <c r="J778" s="137">
        <f>I778/D767</f>
        <v>187.2</v>
      </c>
      <c r="K778" s="137">
        <f>1708823/D767</f>
        <v>193.14</v>
      </c>
    </row>
    <row r="779" spans="1:11" x14ac:dyDescent="0.35">
      <c r="A779" s="277"/>
      <c r="B779" s="277"/>
      <c r="C779" s="286"/>
      <c r="D779" s="287"/>
      <c r="E779" s="287"/>
      <c r="F779" s="304"/>
      <c r="G779" s="272"/>
      <c r="H779" s="136" t="s">
        <v>75</v>
      </c>
      <c r="I779" s="137">
        <f>I778*0.0214</f>
        <v>35444.25</v>
      </c>
      <c r="J779" s="137">
        <f>I779/D767</f>
        <v>4.01</v>
      </c>
      <c r="K779" s="137">
        <f>36569/D767</f>
        <v>4.13</v>
      </c>
    </row>
    <row r="780" spans="1:11" ht="46.5" x14ac:dyDescent="0.35">
      <c r="A780" s="277"/>
      <c r="B780" s="277"/>
      <c r="C780" s="286"/>
      <c r="D780" s="287"/>
      <c r="E780" s="287"/>
      <c r="F780" s="304"/>
      <c r="G780" s="270" t="s">
        <v>646</v>
      </c>
      <c r="H780" s="136" t="s">
        <v>634</v>
      </c>
      <c r="I780" s="137">
        <v>0</v>
      </c>
      <c r="J780" s="137">
        <v>0</v>
      </c>
      <c r="K780" s="137">
        <f>24580/D767</f>
        <v>2.78</v>
      </c>
    </row>
    <row r="781" spans="1:11" x14ac:dyDescent="0.35">
      <c r="A781" s="277"/>
      <c r="B781" s="277"/>
      <c r="C781" s="286"/>
      <c r="D781" s="287"/>
      <c r="E781" s="287"/>
      <c r="F781" s="304"/>
      <c r="G781" s="271"/>
      <c r="H781" s="136" t="s">
        <v>642</v>
      </c>
      <c r="I781" s="137">
        <v>1656273.52</v>
      </c>
      <c r="J781" s="137">
        <f>I781/D767</f>
        <v>187.2</v>
      </c>
      <c r="K781" s="137">
        <f>1708823/D767</f>
        <v>193.14</v>
      </c>
    </row>
    <row r="782" spans="1:11" x14ac:dyDescent="0.35">
      <c r="A782" s="277"/>
      <c r="B782" s="277"/>
      <c r="C782" s="286"/>
      <c r="D782" s="287"/>
      <c r="E782" s="287"/>
      <c r="F782" s="304"/>
      <c r="G782" s="272"/>
      <c r="H782" s="136" t="s">
        <v>75</v>
      </c>
      <c r="I782" s="137">
        <f>I781*0.0214</f>
        <v>35444.25</v>
      </c>
      <c r="J782" s="137">
        <f>I782/D767</f>
        <v>4.01</v>
      </c>
      <c r="K782" s="137">
        <f>36569/D767</f>
        <v>4.13</v>
      </c>
    </row>
    <row r="783" spans="1:11" x14ac:dyDescent="0.35">
      <c r="A783" s="277">
        <f>A767+1</f>
        <v>105</v>
      </c>
      <c r="B783" s="277">
        <v>4059</v>
      </c>
      <c r="C783" s="286" t="s">
        <v>371</v>
      </c>
      <c r="D783" s="287">
        <v>17452.2</v>
      </c>
      <c r="E783" s="287" t="s">
        <v>70</v>
      </c>
      <c r="F783" s="304">
        <v>9</v>
      </c>
      <c r="G783" s="146"/>
      <c r="H783" s="136" t="s">
        <v>72</v>
      </c>
      <c r="I783" s="137">
        <f>I784+I785+I786+I787+I788+I789+I790+I791+I792+I793+I794+I795+I796+I797+I798+I799+I800+I801+I802+I803+I804+I805+I806+I807+I808+I809+I810</f>
        <v>13705848.02</v>
      </c>
      <c r="J783" s="137">
        <f>J784+J785+J786+J787+J788+J789+J790+J791+J792+J793+J794+J795+J796+J797+J798+J799+J800+J801+J802+J803+J804+J805+J806+J807+J808+J809+J810</f>
        <v>785.34</v>
      </c>
      <c r="K783" s="137">
        <f>K784+K785+K786+K787+K788+K789+K790+K791+K792+K793+K794+K795+K796+K797+K798+K799+K800+K801+K802+K803+K804+K805+K806+K807+K808+K809+K810</f>
        <v>912.76</v>
      </c>
    </row>
    <row r="784" spans="1:11" ht="46.5" x14ac:dyDescent="0.35">
      <c r="A784" s="277"/>
      <c r="B784" s="277"/>
      <c r="C784" s="286"/>
      <c r="D784" s="287"/>
      <c r="E784" s="287"/>
      <c r="F784" s="304"/>
      <c r="G784" s="270" t="s">
        <v>641</v>
      </c>
      <c r="H784" s="136" t="s">
        <v>634</v>
      </c>
      <c r="I784" s="137">
        <v>0</v>
      </c>
      <c r="J784" s="137">
        <v>0</v>
      </c>
      <c r="K784" s="137">
        <f>24580/D783</f>
        <v>1.41</v>
      </c>
    </row>
    <row r="785" spans="1:11" x14ac:dyDescent="0.35">
      <c r="A785" s="277">
        <v>756</v>
      </c>
      <c r="B785" s="277"/>
      <c r="C785" s="286"/>
      <c r="D785" s="287"/>
      <c r="E785" s="287"/>
      <c r="F785" s="304"/>
      <c r="G785" s="271"/>
      <c r="H785" s="136" t="s">
        <v>642</v>
      </c>
      <c r="I785" s="137">
        <v>1490306.18</v>
      </c>
      <c r="J785" s="137">
        <f>I785/D783</f>
        <v>85.39</v>
      </c>
      <c r="K785" s="137">
        <f>1708823/D783-0.01</f>
        <v>97.9</v>
      </c>
    </row>
    <row r="786" spans="1:11" x14ac:dyDescent="0.35">
      <c r="A786" s="277">
        <v>757</v>
      </c>
      <c r="B786" s="277"/>
      <c r="C786" s="286"/>
      <c r="D786" s="287"/>
      <c r="E786" s="287"/>
      <c r="F786" s="304"/>
      <c r="G786" s="272"/>
      <c r="H786" s="136" t="s">
        <v>75</v>
      </c>
      <c r="I786" s="137">
        <v>31892.560000000001</v>
      </c>
      <c r="J786" s="137">
        <f>I786/D783</f>
        <v>1.83</v>
      </c>
      <c r="K786" s="137">
        <f>36569/D783</f>
        <v>2.1</v>
      </c>
    </row>
    <row r="787" spans="1:11" ht="46.5" x14ac:dyDescent="0.35">
      <c r="A787" s="277"/>
      <c r="B787" s="277"/>
      <c r="C787" s="286"/>
      <c r="D787" s="287"/>
      <c r="E787" s="287"/>
      <c r="F787" s="304"/>
      <c r="G787" s="270" t="s">
        <v>647</v>
      </c>
      <c r="H787" s="136" t="s">
        <v>634</v>
      </c>
      <c r="I787" s="137">
        <v>0</v>
      </c>
      <c r="J787" s="137">
        <v>0</v>
      </c>
      <c r="K787" s="137">
        <f>24580/D783</f>
        <v>1.41</v>
      </c>
    </row>
    <row r="788" spans="1:11" x14ac:dyDescent="0.35">
      <c r="A788" s="277"/>
      <c r="B788" s="277"/>
      <c r="C788" s="286"/>
      <c r="D788" s="287"/>
      <c r="E788" s="287"/>
      <c r="F788" s="304"/>
      <c r="G788" s="271"/>
      <c r="H788" s="136" t="s">
        <v>642</v>
      </c>
      <c r="I788" s="137">
        <v>1490306.18</v>
      </c>
      <c r="J788" s="137">
        <f>I788/D783</f>
        <v>85.39</v>
      </c>
      <c r="K788" s="137">
        <f>1708823/D783-0.01</f>
        <v>97.9</v>
      </c>
    </row>
    <row r="789" spans="1:11" x14ac:dyDescent="0.35">
      <c r="A789" s="277"/>
      <c r="B789" s="277"/>
      <c r="C789" s="286"/>
      <c r="D789" s="287"/>
      <c r="E789" s="287"/>
      <c r="F789" s="304"/>
      <c r="G789" s="272"/>
      <c r="H789" s="136" t="s">
        <v>75</v>
      </c>
      <c r="I789" s="137">
        <v>31892.55</v>
      </c>
      <c r="J789" s="137">
        <f>I789/D783</f>
        <v>1.83</v>
      </c>
      <c r="K789" s="137">
        <f>36569/D783</f>
        <v>2.1</v>
      </c>
    </row>
    <row r="790" spans="1:11" ht="46.5" x14ac:dyDescent="0.35">
      <c r="A790" s="277"/>
      <c r="B790" s="277"/>
      <c r="C790" s="286"/>
      <c r="D790" s="287"/>
      <c r="E790" s="287"/>
      <c r="F790" s="304"/>
      <c r="G790" s="270" t="s">
        <v>648</v>
      </c>
      <c r="H790" s="136" t="s">
        <v>634</v>
      </c>
      <c r="I790" s="137">
        <v>0</v>
      </c>
      <c r="J790" s="137">
        <v>0</v>
      </c>
      <c r="K790" s="137">
        <f>24580/D783</f>
        <v>1.41</v>
      </c>
    </row>
    <row r="791" spans="1:11" x14ac:dyDescent="0.35">
      <c r="A791" s="277"/>
      <c r="B791" s="277"/>
      <c r="C791" s="286"/>
      <c r="D791" s="287"/>
      <c r="E791" s="287"/>
      <c r="F791" s="304"/>
      <c r="G791" s="271"/>
      <c r="H791" s="136" t="s">
        <v>642</v>
      </c>
      <c r="I791" s="137">
        <v>1496238.65</v>
      </c>
      <c r="J791" s="137">
        <f>I791/D783</f>
        <v>85.73</v>
      </c>
      <c r="K791" s="137">
        <f>1708823/D783</f>
        <v>97.91</v>
      </c>
    </row>
    <row r="792" spans="1:11" x14ac:dyDescent="0.35">
      <c r="A792" s="277"/>
      <c r="B792" s="277"/>
      <c r="C792" s="286"/>
      <c r="D792" s="287"/>
      <c r="E792" s="287"/>
      <c r="F792" s="304"/>
      <c r="G792" s="272"/>
      <c r="H792" s="136" t="s">
        <v>75</v>
      </c>
      <c r="I792" s="137">
        <v>32019.51</v>
      </c>
      <c r="J792" s="137">
        <f>I792/D783</f>
        <v>1.83</v>
      </c>
      <c r="K792" s="137">
        <f>36569/D783</f>
        <v>2.1</v>
      </c>
    </row>
    <row r="793" spans="1:11" ht="46.5" x14ac:dyDescent="0.35">
      <c r="A793" s="277"/>
      <c r="B793" s="277"/>
      <c r="C793" s="286"/>
      <c r="D793" s="287"/>
      <c r="E793" s="287"/>
      <c r="F793" s="304"/>
      <c r="G793" s="270" t="s">
        <v>649</v>
      </c>
      <c r="H793" s="136" t="s">
        <v>634</v>
      </c>
      <c r="I793" s="137">
        <v>0</v>
      </c>
      <c r="J793" s="137">
        <v>0</v>
      </c>
      <c r="K793" s="137">
        <f>24580/D783</f>
        <v>1.41</v>
      </c>
    </row>
    <row r="794" spans="1:11" x14ac:dyDescent="0.35">
      <c r="A794" s="277"/>
      <c r="B794" s="277"/>
      <c r="C794" s="286"/>
      <c r="D794" s="287"/>
      <c r="E794" s="287"/>
      <c r="F794" s="304"/>
      <c r="G794" s="271"/>
      <c r="H794" s="136" t="s">
        <v>642</v>
      </c>
      <c r="I794" s="137">
        <v>1490306.18</v>
      </c>
      <c r="J794" s="137">
        <f>I794/D783</f>
        <v>85.39</v>
      </c>
      <c r="K794" s="137">
        <f>1708823/D783</f>
        <v>97.91</v>
      </c>
    </row>
    <row r="795" spans="1:11" x14ac:dyDescent="0.35">
      <c r="A795" s="277"/>
      <c r="B795" s="277"/>
      <c r="C795" s="286"/>
      <c r="D795" s="287"/>
      <c r="E795" s="287"/>
      <c r="F795" s="304"/>
      <c r="G795" s="272"/>
      <c r="H795" s="136" t="s">
        <v>75</v>
      </c>
      <c r="I795" s="137">
        <v>31892.560000000001</v>
      </c>
      <c r="J795" s="137">
        <f>I795/D783</f>
        <v>1.83</v>
      </c>
      <c r="K795" s="137">
        <f>36569/D783</f>
        <v>2.1</v>
      </c>
    </row>
    <row r="796" spans="1:11" ht="46.5" x14ac:dyDescent="0.35">
      <c r="A796" s="277"/>
      <c r="B796" s="277"/>
      <c r="C796" s="286"/>
      <c r="D796" s="287"/>
      <c r="E796" s="287"/>
      <c r="F796" s="304"/>
      <c r="G796" s="270" t="s">
        <v>646</v>
      </c>
      <c r="H796" s="136" t="s">
        <v>634</v>
      </c>
      <c r="I796" s="137">
        <v>0</v>
      </c>
      <c r="J796" s="137">
        <v>0</v>
      </c>
      <c r="K796" s="137">
        <f>24580/D783</f>
        <v>1.41</v>
      </c>
    </row>
    <row r="797" spans="1:11" x14ac:dyDescent="0.35">
      <c r="A797" s="277"/>
      <c r="B797" s="277"/>
      <c r="C797" s="286"/>
      <c r="D797" s="287"/>
      <c r="E797" s="287"/>
      <c r="F797" s="304"/>
      <c r="G797" s="271"/>
      <c r="H797" s="136" t="s">
        <v>642</v>
      </c>
      <c r="I797" s="137">
        <v>1490306.18</v>
      </c>
      <c r="J797" s="137">
        <f>I797/D783</f>
        <v>85.39</v>
      </c>
      <c r="K797" s="137">
        <f>1708823/D783</f>
        <v>97.91</v>
      </c>
    </row>
    <row r="798" spans="1:11" x14ac:dyDescent="0.35">
      <c r="A798" s="277"/>
      <c r="B798" s="277"/>
      <c r="C798" s="286"/>
      <c r="D798" s="287"/>
      <c r="E798" s="287"/>
      <c r="F798" s="304"/>
      <c r="G798" s="272"/>
      <c r="H798" s="136" t="s">
        <v>75</v>
      </c>
      <c r="I798" s="137">
        <v>31892.55</v>
      </c>
      <c r="J798" s="137">
        <f>I798/D783</f>
        <v>1.83</v>
      </c>
      <c r="K798" s="137">
        <f>36569/D783</f>
        <v>2.1</v>
      </c>
    </row>
    <row r="799" spans="1:11" ht="46.5" x14ac:dyDescent="0.35">
      <c r="A799" s="277"/>
      <c r="B799" s="277"/>
      <c r="C799" s="286"/>
      <c r="D799" s="287"/>
      <c r="E799" s="287"/>
      <c r="F799" s="304"/>
      <c r="G799" s="270" t="s">
        <v>650</v>
      </c>
      <c r="H799" s="136" t="s">
        <v>634</v>
      </c>
      <c r="I799" s="137">
        <v>0</v>
      </c>
      <c r="J799" s="137">
        <v>0</v>
      </c>
      <c r="K799" s="137">
        <f>24580/D783</f>
        <v>1.41</v>
      </c>
    </row>
    <row r="800" spans="1:11" x14ac:dyDescent="0.35">
      <c r="A800" s="277"/>
      <c r="B800" s="277"/>
      <c r="C800" s="286"/>
      <c r="D800" s="287"/>
      <c r="E800" s="287"/>
      <c r="F800" s="304"/>
      <c r="G800" s="271"/>
      <c r="H800" s="136" t="s">
        <v>642</v>
      </c>
      <c r="I800" s="137">
        <v>1490306.18</v>
      </c>
      <c r="J800" s="137">
        <f>I800/D783</f>
        <v>85.39</v>
      </c>
      <c r="K800" s="137">
        <f>1708823/D783</f>
        <v>97.91</v>
      </c>
    </row>
    <row r="801" spans="1:11" x14ac:dyDescent="0.35">
      <c r="A801" s="277"/>
      <c r="B801" s="277"/>
      <c r="C801" s="286"/>
      <c r="D801" s="287"/>
      <c r="E801" s="287"/>
      <c r="F801" s="304"/>
      <c r="G801" s="272"/>
      <c r="H801" s="136" t="s">
        <v>75</v>
      </c>
      <c r="I801" s="137">
        <v>31892.55</v>
      </c>
      <c r="J801" s="137">
        <f>I801/D783</f>
        <v>1.83</v>
      </c>
      <c r="K801" s="137">
        <f>36569/D783</f>
        <v>2.1</v>
      </c>
    </row>
    <row r="802" spans="1:11" ht="46.5" x14ac:dyDescent="0.35">
      <c r="A802" s="277"/>
      <c r="B802" s="277"/>
      <c r="C802" s="286"/>
      <c r="D802" s="287"/>
      <c r="E802" s="287"/>
      <c r="F802" s="304"/>
      <c r="G802" s="270" t="s">
        <v>651</v>
      </c>
      <c r="H802" s="136" t="s">
        <v>634</v>
      </c>
      <c r="I802" s="137">
        <v>0</v>
      </c>
      <c r="J802" s="137">
        <v>0</v>
      </c>
      <c r="K802" s="137">
        <f>24580/D783</f>
        <v>1.41</v>
      </c>
    </row>
    <row r="803" spans="1:11" x14ac:dyDescent="0.35">
      <c r="A803" s="277"/>
      <c r="B803" s="277"/>
      <c r="C803" s="286"/>
      <c r="D803" s="287"/>
      <c r="E803" s="287"/>
      <c r="F803" s="304"/>
      <c r="G803" s="271"/>
      <c r="H803" s="136" t="s">
        <v>642</v>
      </c>
      <c r="I803" s="137">
        <v>1490306.18</v>
      </c>
      <c r="J803" s="137">
        <f>I803/D783+0.01</f>
        <v>85.4</v>
      </c>
      <c r="K803" s="137">
        <f>1708823/D783</f>
        <v>97.91</v>
      </c>
    </row>
    <row r="804" spans="1:11" x14ac:dyDescent="0.35">
      <c r="A804" s="277"/>
      <c r="B804" s="277"/>
      <c r="C804" s="286"/>
      <c r="D804" s="287"/>
      <c r="E804" s="287"/>
      <c r="F804" s="304"/>
      <c r="G804" s="272"/>
      <c r="H804" s="136" t="s">
        <v>75</v>
      </c>
      <c r="I804" s="137">
        <v>31892.55</v>
      </c>
      <c r="J804" s="137">
        <f>I804/D783</f>
        <v>1.83</v>
      </c>
      <c r="K804" s="137">
        <f>36569/D783</f>
        <v>2.1</v>
      </c>
    </row>
    <row r="805" spans="1:11" ht="46.5" x14ac:dyDescent="0.35">
      <c r="A805" s="277"/>
      <c r="B805" s="277"/>
      <c r="C805" s="286"/>
      <c r="D805" s="287"/>
      <c r="E805" s="287"/>
      <c r="F805" s="304"/>
      <c r="G805" s="270" t="s">
        <v>652</v>
      </c>
      <c r="H805" s="136" t="s">
        <v>634</v>
      </c>
      <c r="I805" s="137">
        <v>0</v>
      </c>
      <c r="J805" s="137">
        <v>0</v>
      </c>
      <c r="K805" s="137">
        <f>24580/D783</f>
        <v>1.41</v>
      </c>
    </row>
    <row r="806" spans="1:11" x14ac:dyDescent="0.35">
      <c r="A806" s="277"/>
      <c r="B806" s="277"/>
      <c r="C806" s="286"/>
      <c r="D806" s="287"/>
      <c r="E806" s="287"/>
      <c r="F806" s="304"/>
      <c r="G806" s="271"/>
      <c r="H806" s="136" t="s">
        <v>642</v>
      </c>
      <c r="I806" s="137">
        <v>1490306.18</v>
      </c>
      <c r="J806" s="137">
        <f>I806/D783+0.01</f>
        <v>85.4</v>
      </c>
      <c r="K806" s="137">
        <f>1708823/D783</f>
        <v>97.91</v>
      </c>
    </row>
    <row r="807" spans="1:11" x14ac:dyDescent="0.35">
      <c r="A807" s="277"/>
      <c r="B807" s="277"/>
      <c r="C807" s="286"/>
      <c r="D807" s="287"/>
      <c r="E807" s="287"/>
      <c r="F807" s="304"/>
      <c r="G807" s="272"/>
      <c r="H807" s="136" t="s">
        <v>75</v>
      </c>
      <c r="I807" s="137">
        <v>31892.55</v>
      </c>
      <c r="J807" s="137">
        <f>I807/D783</f>
        <v>1.83</v>
      </c>
      <c r="K807" s="137">
        <f>36569/D783</f>
        <v>2.1</v>
      </c>
    </row>
    <row r="808" spans="1:11" ht="46.5" x14ac:dyDescent="0.35">
      <c r="A808" s="277"/>
      <c r="B808" s="277"/>
      <c r="C808" s="286"/>
      <c r="D808" s="287"/>
      <c r="E808" s="287"/>
      <c r="F808" s="304"/>
      <c r="G808" s="270" t="s">
        <v>653</v>
      </c>
      <c r="H808" s="136" t="s">
        <v>634</v>
      </c>
      <c r="I808" s="137">
        <v>0</v>
      </c>
      <c r="J808" s="137">
        <v>0</v>
      </c>
      <c r="K808" s="137">
        <f>24580/D783</f>
        <v>1.41</v>
      </c>
    </row>
    <row r="809" spans="1:11" x14ac:dyDescent="0.35">
      <c r="A809" s="277"/>
      <c r="B809" s="277"/>
      <c r="C809" s="286"/>
      <c r="D809" s="287"/>
      <c r="E809" s="287"/>
      <c r="F809" s="304"/>
      <c r="G809" s="271"/>
      <c r="H809" s="136" t="s">
        <v>642</v>
      </c>
      <c r="I809" s="137">
        <v>1490306.18</v>
      </c>
      <c r="J809" s="137">
        <f>I809/D783</f>
        <v>85.39</v>
      </c>
      <c r="K809" s="137">
        <f>1708823/D783</f>
        <v>97.91</v>
      </c>
    </row>
    <row r="810" spans="1:11" x14ac:dyDescent="0.35">
      <c r="A810" s="277"/>
      <c r="B810" s="277"/>
      <c r="C810" s="286"/>
      <c r="D810" s="287"/>
      <c r="E810" s="287"/>
      <c r="F810" s="304"/>
      <c r="G810" s="272"/>
      <c r="H810" s="136" t="s">
        <v>75</v>
      </c>
      <c r="I810" s="137">
        <v>31892.55</v>
      </c>
      <c r="J810" s="137">
        <f>I810/D783</f>
        <v>1.83</v>
      </c>
      <c r="K810" s="137">
        <f>36569/D783</f>
        <v>2.1</v>
      </c>
    </row>
    <row r="811" spans="1:11" x14ac:dyDescent="0.35">
      <c r="A811" s="277">
        <f>A783+1</f>
        <v>106</v>
      </c>
      <c r="B811" s="277">
        <v>4371</v>
      </c>
      <c r="C811" s="286" t="s">
        <v>372</v>
      </c>
      <c r="D811" s="287">
        <v>9043.4</v>
      </c>
      <c r="E811" s="287" t="s">
        <v>70</v>
      </c>
      <c r="F811" s="304">
        <v>9</v>
      </c>
      <c r="G811" s="146"/>
      <c r="H811" s="136" t="s">
        <v>72</v>
      </c>
      <c r="I811" s="137">
        <f>SUM(I812:I826)</f>
        <v>7610421.6299999999</v>
      </c>
      <c r="J811" s="137">
        <f>SUM(J812:J826)</f>
        <v>841.54</v>
      </c>
      <c r="K811" s="137">
        <f>SUM(K812:K826)</f>
        <v>978.6</v>
      </c>
    </row>
    <row r="812" spans="1:11" ht="46.5" x14ac:dyDescent="0.35">
      <c r="A812" s="277"/>
      <c r="B812" s="277"/>
      <c r="C812" s="286"/>
      <c r="D812" s="287"/>
      <c r="E812" s="287"/>
      <c r="F812" s="304"/>
      <c r="G812" s="270" t="s">
        <v>641</v>
      </c>
      <c r="H812" s="136" t="s">
        <v>634</v>
      </c>
      <c r="I812" s="137">
        <v>0</v>
      </c>
      <c r="J812" s="137">
        <v>0</v>
      </c>
      <c r="K812" s="137">
        <f>24580/D811-0.01</f>
        <v>2.71</v>
      </c>
    </row>
    <row r="813" spans="1:11" x14ac:dyDescent="0.35">
      <c r="A813" s="277">
        <v>756</v>
      </c>
      <c r="B813" s="277"/>
      <c r="C813" s="286"/>
      <c r="D813" s="287"/>
      <c r="E813" s="287"/>
      <c r="F813" s="304"/>
      <c r="G813" s="271"/>
      <c r="H813" s="136" t="s">
        <v>642</v>
      </c>
      <c r="I813" s="137">
        <v>1490194.17</v>
      </c>
      <c r="J813" s="137">
        <f>I813/D811-0.01</f>
        <v>164.77</v>
      </c>
      <c r="K813" s="137">
        <f>1708823/D811+0.01</f>
        <v>188.97</v>
      </c>
    </row>
    <row r="814" spans="1:11" x14ac:dyDescent="0.35">
      <c r="A814" s="277">
        <v>757</v>
      </c>
      <c r="B814" s="277"/>
      <c r="C814" s="286"/>
      <c r="D814" s="287"/>
      <c r="E814" s="287"/>
      <c r="F814" s="304"/>
      <c r="G814" s="272"/>
      <c r="H814" s="136" t="s">
        <v>75</v>
      </c>
      <c r="I814" s="137">
        <v>31890.16</v>
      </c>
      <c r="J814" s="137">
        <f>I814/D811</f>
        <v>3.53</v>
      </c>
      <c r="K814" s="137">
        <f>36569/D811</f>
        <v>4.04</v>
      </c>
    </row>
    <row r="815" spans="1:11" ht="46.5" x14ac:dyDescent="0.35">
      <c r="A815" s="277"/>
      <c r="B815" s="277"/>
      <c r="C815" s="286"/>
      <c r="D815" s="287"/>
      <c r="E815" s="287"/>
      <c r="F815" s="304"/>
      <c r="G815" s="270" t="s">
        <v>647</v>
      </c>
      <c r="H815" s="136" t="s">
        <v>634</v>
      </c>
      <c r="I815" s="137">
        <v>0</v>
      </c>
      <c r="J815" s="137">
        <v>0</v>
      </c>
      <c r="K815" s="137">
        <f>24580/D811</f>
        <v>2.72</v>
      </c>
    </row>
    <row r="816" spans="1:11" x14ac:dyDescent="0.35">
      <c r="A816" s="277"/>
      <c r="B816" s="277"/>
      <c r="C816" s="286"/>
      <c r="D816" s="287"/>
      <c r="E816" s="287"/>
      <c r="F816" s="304"/>
      <c r="G816" s="271"/>
      <c r="H816" s="136" t="s">
        <v>642</v>
      </c>
      <c r="I816" s="137">
        <v>1490194.17</v>
      </c>
      <c r="J816" s="137">
        <f>I816/D811</f>
        <v>164.78</v>
      </c>
      <c r="K816" s="137">
        <f>1708823/D811</f>
        <v>188.96</v>
      </c>
    </row>
    <row r="817" spans="1:11" x14ac:dyDescent="0.35">
      <c r="A817" s="277"/>
      <c r="B817" s="277"/>
      <c r="C817" s="286"/>
      <c r="D817" s="287"/>
      <c r="E817" s="287"/>
      <c r="F817" s="304"/>
      <c r="G817" s="272"/>
      <c r="H817" s="136" t="s">
        <v>75</v>
      </c>
      <c r="I817" s="137">
        <v>31890.15</v>
      </c>
      <c r="J817" s="137">
        <f>I817/D811</f>
        <v>3.53</v>
      </c>
      <c r="K817" s="137">
        <f>36569/D811</f>
        <v>4.04</v>
      </c>
    </row>
    <row r="818" spans="1:11" ht="46.5" x14ac:dyDescent="0.35">
      <c r="A818" s="277"/>
      <c r="B818" s="277"/>
      <c r="C818" s="286"/>
      <c r="D818" s="287"/>
      <c r="E818" s="287"/>
      <c r="F818" s="304"/>
      <c r="G818" s="270" t="s">
        <v>648</v>
      </c>
      <c r="H818" s="136" t="s">
        <v>634</v>
      </c>
      <c r="I818" s="137">
        <v>0</v>
      </c>
      <c r="J818" s="137">
        <v>0</v>
      </c>
      <c r="K818" s="137">
        <f>24580/D811</f>
        <v>2.72</v>
      </c>
    </row>
    <row r="819" spans="1:11" x14ac:dyDescent="0.35">
      <c r="A819" s="277"/>
      <c r="B819" s="277"/>
      <c r="C819" s="286"/>
      <c r="D819" s="287"/>
      <c r="E819" s="287"/>
      <c r="F819" s="304"/>
      <c r="G819" s="271"/>
      <c r="H819" s="136" t="s">
        <v>642</v>
      </c>
      <c r="I819" s="137">
        <v>1490194.17</v>
      </c>
      <c r="J819" s="137">
        <f>I819/D811</f>
        <v>164.78</v>
      </c>
      <c r="K819" s="137">
        <f>1708823/D811</f>
        <v>188.96</v>
      </c>
    </row>
    <row r="820" spans="1:11" x14ac:dyDescent="0.35">
      <c r="A820" s="277"/>
      <c r="B820" s="277"/>
      <c r="C820" s="286"/>
      <c r="D820" s="287"/>
      <c r="E820" s="287"/>
      <c r="F820" s="304"/>
      <c r="G820" s="272"/>
      <c r="H820" s="136" t="s">
        <v>75</v>
      </c>
      <c r="I820" s="137">
        <v>31890.16</v>
      </c>
      <c r="J820" s="137">
        <f>I820/D811</f>
        <v>3.53</v>
      </c>
      <c r="K820" s="137">
        <f>36569/D811</f>
        <v>4.04</v>
      </c>
    </row>
    <row r="821" spans="1:11" ht="46.5" x14ac:dyDescent="0.35">
      <c r="A821" s="277"/>
      <c r="B821" s="277"/>
      <c r="C821" s="286"/>
      <c r="D821" s="287"/>
      <c r="E821" s="287"/>
      <c r="F821" s="304"/>
      <c r="G821" s="270" t="s">
        <v>649</v>
      </c>
      <c r="H821" s="136" t="s">
        <v>634</v>
      </c>
      <c r="I821" s="137">
        <v>0</v>
      </c>
      <c r="J821" s="137">
        <v>0</v>
      </c>
      <c r="K821" s="137">
        <f>24580/D811</f>
        <v>2.72</v>
      </c>
    </row>
    <row r="822" spans="1:11" x14ac:dyDescent="0.35">
      <c r="A822" s="277"/>
      <c r="B822" s="277"/>
      <c r="C822" s="286"/>
      <c r="D822" s="287"/>
      <c r="E822" s="287"/>
      <c r="F822" s="304"/>
      <c r="G822" s="271"/>
      <c r="H822" s="136" t="s">
        <v>642</v>
      </c>
      <c r="I822" s="137">
        <v>1490194.17</v>
      </c>
      <c r="J822" s="137">
        <f>I822/D811</f>
        <v>164.78</v>
      </c>
      <c r="K822" s="137">
        <f>1708823/D811</f>
        <v>188.96</v>
      </c>
    </row>
    <row r="823" spans="1:11" x14ac:dyDescent="0.35">
      <c r="A823" s="277"/>
      <c r="B823" s="277"/>
      <c r="C823" s="286"/>
      <c r="D823" s="287"/>
      <c r="E823" s="287"/>
      <c r="F823" s="304"/>
      <c r="G823" s="272"/>
      <c r="H823" s="136" t="s">
        <v>75</v>
      </c>
      <c r="I823" s="137">
        <v>31890.15</v>
      </c>
      <c r="J823" s="137">
        <f>I823/D811</f>
        <v>3.53</v>
      </c>
      <c r="K823" s="137">
        <f>36569/D811</f>
        <v>4.04</v>
      </c>
    </row>
    <row r="824" spans="1:11" ht="61.5" customHeight="1" x14ac:dyDescent="0.35">
      <c r="A824" s="277"/>
      <c r="B824" s="277"/>
      <c r="C824" s="286"/>
      <c r="D824" s="287"/>
      <c r="E824" s="287"/>
      <c r="F824" s="304"/>
      <c r="G824" s="270" t="s">
        <v>646</v>
      </c>
      <c r="H824" s="136" t="s">
        <v>634</v>
      </c>
      <c r="I824" s="137">
        <v>0</v>
      </c>
      <c r="J824" s="137">
        <v>0</v>
      </c>
      <c r="K824" s="137">
        <f>24580/D811</f>
        <v>2.72</v>
      </c>
    </row>
    <row r="825" spans="1:11" x14ac:dyDescent="0.35">
      <c r="A825" s="277"/>
      <c r="B825" s="277"/>
      <c r="C825" s="286"/>
      <c r="D825" s="287"/>
      <c r="E825" s="287"/>
      <c r="F825" s="304"/>
      <c r="G825" s="271"/>
      <c r="H825" s="136" t="s">
        <v>642</v>
      </c>
      <c r="I825" s="137">
        <v>1490194.17</v>
      </c>
      <c r="J825" s="137">
        <f>I825/D811</f>
        <v>164.78</v>
      </c>
      <c r="K825" s="137">
        <f>1708823/D811</f>
        <v>188.96</v>
      </c>
    </row>
    <row r="826" spans="1:11" x14ac:dyDescent="0.35">
      <c r="A826" s="277"/>
      <c r="B826" s="277"/>
      <c r="C826" s="286"/>
      <c r="D826" s="287"/>
      <c r="E826" s="287"/>
      <c r="F826" s="304"/>
      <c r="G826" s="272"/>
      <c r="H826" s="136" t="s">
        <v>75</v>
      </c>
      <c r="I826" s="137">
        <v>31890.16</v>
      </c>
      <c r="J826" s="137">
        <f>I826/D811</f>
        <v>3.53</v>
      </c>
      <c r="K826" s="137">
        <f>36569/D811</f>
        <v>4.04</v>
      </c>
    </row>
    <row r="827" spans="1:11" x14ac:dyDescent="0.35">
      <c r="A827" s="277">
        <f>A811+1</f>
        <v>107</v>
      </c>
      <c r="B827" s="277">
        <v>4329</v>
      </c>
      <c r="C827" s="286" t="s">
        <v>373</v>
      </c>
      <c r="D827" s="287">
        <v>6684.43</v>
      </c>
      <c r="E827" s="287" t="s">
        <v>70</v>
      </c>
      <c r="F827" s="304">
        <v>10</v>
      </c>
      <c r="G827" s="146"/>
      <c r="H827" s="136" t="s">
        <v>72</v>
      </c>
      <c r="I827" s="137">
        <f>SUM(I828:I836)</f>
        <v>5094901</v>
      </c>
      <c r="J827" s="137">
        <f>SUM(J828:J836)</f>
        <v>762.2</v>
      </c>
      <c r="K827" s="137">
        <f>SUM(K828:K836)</f>
        <v>794.37</v>
      </c>
    </row>
    <row r="828" spans="1:11" ht="46.5" x14ac:dyDescent="0.35">
      <c r="A828" s="277"/>
      <c r="B828" s="277"/>
      <c r="C828" s="286"/>
      <c r="D828" s="287"/>
      <c r="E828" s="287"/>
      <c r="F828" s="304"/>
      <c r="G828" s="270" t="s">
        <v>641</v>
      </c>
      <c r="H828" s="136" t="s">
        <v>634</v>
      </c>
      <c r="I828" s="137">
        <v>0</v>
      </c>
      <c r="J828" s="137">
        <v>0</v>
      </c>
      <c r="K828" s="137">
        <f>24580/D827</f>
        <v>3.68</v>
      </c>
    </row>
    <row r="829" spans="1:11" x14ac:dyDescent="0.35">
      <c r="A829" s="277">
        <v>756</v>
      </c>
      <c r="B829" s="277"/>
      <c r="C829" s="286"/>
      <c r="D829" s="287"/>
      <c r="E829" s="287"/>
      <c r="F829" s="304"/>
      <c r="G829" s="271"/>
      <c r="H829" s="136" t="s">
        <v>642</v>
      </c>
      <c r="I829" s="137">
        <v>1680016.17</v>
      </c>
      <c r="J829" s="137">
        <f>I829/D827-0.01</f>
        <v>251.32</v>
      </c>
      <c r="K829" s="137">
        <f>1708823/D827</f>
        <v>255.64</v>
      </c>
    </row>
    <row r="830" spans="1:11" x14ac:dyDescent="0.35">
      <c r="A830" s="277">
        <v>757</v>
      </c>
      <c r="B830" s="277"/>
      <c r="C830" s="286"/>
      <c r="D830" s="287"/>
      <c r="E830" s="287"/>
      <c r="F830" s="304"/>
      <c r="G830" s="272"/>
      <c r="H830" s="136" t="s">
        <v>75</v>
      </c>
      <c r="I830" s="137">
        <v>18284.169999999998</v>
      </c>
      <c r="J830" s="137">
        <f>I830/D827</f>
        <v>2.74</v>
      </c>
      <c r="K830" s="137">
        <f>36569/D827</f>
        <v>5.47</v>
      </c>
    </row>
    <row r="831" spans="1:11" ht="46.5" x14ac:dyDescent="0.35">
      <c r="A831" s="277"/>
      <c r="B831" s="277"/>
      <c r="C831" s="286"/>
      <c r="D831" s="287"/>
      <c r="E831" s="287"/>
      <c r="F831" s="304"/>
      <c r="G831" s="270" t="s">
        <v>647</v>
      </c>
      <c r="H831" s="136" t="s">
        <v>634</v>
      </c>
      <c r="I831" s="137">
        <v>0</v>
      </c>
      <c r="J831" s="137">
        <v>0</v>
      </c>
      <c r="K831" s="137">
        <f>24580/D827</f>
        <v>3.68</v>
      </c>
    </row>
    <row r="832" spans="1:11" x14ac:dyDescent="0.35">
      <c r="A832" s="277"/>
      <c r="B832" s="277"/>
      <c r="C832" s="286"/>
      <c r="D832" s="287"/>
      <c r="E832" s="287"/>
      <c r="F832" s="304"/>
      <c r="G832" s="271"/>
      <c r="H832" s="136" t="s">
        <v>642</v>
      </c>
      <c r="I832" s="137">
        <v>1680016.17</v>
      </c>
      <c r="J832" s="137">
        <f>I832/D827</f>
        <v>251.33</v>
      </c>
      <c r="K832" s="137">
        <f>1708823/D827</f>
        <v>255.64</v>
      </c>
    </row>
    <row r="833" spans="1:11" x14ac:dyDescent="0.35">
      <c r="A833" s="277"/>
      <c r="B833" s="277"/>
      <c r="C833" s="286"/>
      <c r="D833" s="287"/>
      <c r="E833" s="287"/>
      <c r="F833" s="304"/>
      <c r="G833" s="272"/>
      <c r="H833" s="136" t="s">
        <v>75</v>
      </c>
      <c r="I833" s="137">
        <v>18284.169999999998</v>
      </c>
      <c r="J833" s="137">
        <f>I833/D827</f>
        <v>2.74</v>
      </c>
      <c r="K833" s="137">
        <f>36569/D827</f>
        <v>5.47</v>
      </c>
    </row>
    <row r="834" spans="1:11" ht="46.5" x14ac:dyDescent="0.35">
      <c r="A834" s="277"/>
      <c r="B834" s="277"/>
      <c r="C834" s="286"/>
      <c r="D834" s="287"/>
      <c r="E834" s="287"/>
      <c r="F834" s="304"/>
      <c r="G834" s="270" t="s">
        <v>648</v>
      </c>
      <c r="H834" s="136" t="s">
        <v>634</v>
      </c>
      <c r="I834" s="137">
        <v>0</v>
      </c>
      <c r="J834" s="137">
        <v>0</v>
      </c>
      <c r="K834" s="137">
        <f>24580/D827</f>
        <v>3.68</v>
      </c>
    </row>
    <row r="835" spans="1:11" x14ac:dyDescent="0.35">
      <c r="A835" s="277"/>
      <c r="B835" s="277"/>
      <c r="C835" s="286"/>
      <c r="D835" s="287"/>
      <c r="E835" s="287"/>
      <c r="F835" s="304"/>
      <c r="G835" s="271"/>
      <c r="H835" s="136" t="s">
        <v>642</v>
      </c>
      <c r="I835" s="137">
        <v>1680016.16</v>
      </c>
      <c r="J835" s="137">
        <f>I835/D827</f>
        <v>251.33</v>
      </c>
      <c r="K835" s="137">
        <f>1708823/D827</f>
        <v>255.64</v>
      </c>
    </row>
    <row r="836" spans="1:11" x14ac:dyDescent="0.35">
      <c r="A836" s="277"/>
      <c r="B836" s="277"/>
      <c r="C836" s="286"/>
      <c r="D836" s="287"/>
      <c r="E836" s="287"/>
      <c r="F836" s="304"/>
      <c r="G836" s="272"/>
      <c r="H836" s="136" t="s">
        <v>75</v>
      </c>
      <c r="I836" s="137">
        <v>18284.16</v>
      </c>
      <c r="J836" s="137">
        <f>I836/D827</f>
        <v>2.74</v>
      </c>
      <c r="K836" s="137">
        <f>36569/D827</f>
        <v>5.47</v>
      </c>
    </row>
    <row r="837" spans="1:11" x14ac:dyDescent="0.35">
      <c r="A837" s="277">
        <f>A827+1</f>
        <v>108</v>
      </c>
      <c r="B837" s="277">
        <v>3367</v>
      </c>
      <c r="C837" s="286" t="s">
        <v>374</v>
      </c>
      <c r="D837" s="287">
        <v>2875.15</v>
      </c>
      <c r="E837" s="287" t="s">
        <v>70</v>
      </c>
      <c r="F837" s="304">
        <v>5</v>
      </c>
      <c r="G837" s="277" t="s">
        <v>71</v>
      </c>
      <c r="H837" s="136" t="s">
        <v>72</v>
      </c>
      <c r="I837" s="137">
        <f>I838+I839</f>
        <v>5335146.21</v>
      </c>
      <c r="J837" s="137">
        <f>J838+J839</f>
        <v>1855.61</v>
      </c>
      <c r="K837" s="137">
        <f>K838+K839</f>
        <v>2831</v>
      </c>
    </row>
    <row r="838" spans="1:11" x14ac:dyDescent="0.35">
      <c r="A838" s="277">
        <v>77</v>
      </c>
      <c r="B838" s="277"/>
      <c r="C838" s="286"/>
      <c r="D838" s="287"/>
      <c r="E838" s="287"/>
      <c r="F838" s="304"/>
      <c r="G838" s="277"/>
      <c r="H838" s="136" t="s">
        <v>73</v>
      </c>
      <c r="I838" s="137">
        <v>5264629</v>
      </c>
      <c r="J838" s="137">
        <f>I838/D837</f>
        <v>1831.08</v>
      </c>
      <c r="K838" s="137">
        <v>2772</v>
      </c>
    </row>
    <row r="839" spans="1:11" x14ac:dyDescent="0.35">
      <c r="A839" s="277">
        <v>78</v>
      </c>
      <c r="B839" s="277"/>
      <c r="C839" s="286"/>
      <c r="D839" s="287"/>
      <c r="E839" s="287"/>
      <c r="F839" s="304"/>
      <c r="G839" s="277"/>
      <c r="H839" s="136" t="s">
        <v>75</v>
      </c>
      <c r="I839" s="137">
        <v>70517.210000000006</v>
      </c>
      <c r="J839" s="137">
        <f>I839/D837</f>
        <v>24.53</v>
      </c>
      <c r="K839" s="137">
        <v>59</v>
      </c>
    </row>
    <row r="840" spans="1:11" x14ac:dyDescent="0.35">
      <c r="A840" s="277">
        <f>A837+1</f>
        <v>109</v>
      </c>
      <c r="B840" s="277">
        <v>8192</v>
      </c>
      <c r="C840" s="286" t="s">
        <v>375</v>
      </c>
      <c r="D840" s="287">
        <v>3552.8</v>
      </c>
      <c r="E840" s="287" t="s">
        <v>70</v>
      </c>
      <c r="F840" s="304">
        <v>5</v>
      </c>
      <c r="G840" s="277" t="s">
        <v>71</v>
      </c>
      <c r="H840" s="136" t="s">
        <v>72</v>
      </c>
      <c r="I840" s="137">
        <f>I841+I842</f>
        <v>7833565.3399999999</v>
      </c>
      <c r="J840" s="137">
        <f>J841+J842</f>
        <v>2204.9</v>
      </c>
      <c r="K840" s="137">
        <f>K841+K842</f>
        <v>2831</v>
      </c>
    </row>
    <row r="841" spans="1:11" x14ac:dyDescent="0.35">
      <c r="A841" s="277">
        <v>77</v>
      </c>
      <c r="B841" s="277"/>
      <c r="C841" s="286"/>
      <c r="D841" s="287"/>
      <c r="E841" s="287"/>
      <c r="F841" s="304"/>
      <c r="G841" s="277"/>
      <c r="H841" s="136" t="s">
        <v>73</v>
      </c>
      <c r="I841" s="137">
        <f>7681329.46+70046.88</f>
        <v>7751376.3399999999</v>
      </c>
      <c r="J841" s="137">
        <f>I841/D840</f>
        <v>2181.77</v>
      </c>
      <c r="K841" s="137">
        <v>2772</v>
      </c>
    </row>
    <row r="842" spans="1:11" x14ac:dyDescent="0.35">
      <c r="A842" s="277">
        <v>78</v>
      </c>
      <c r="B842" s="277"/>
      <c r="C842" s="286"/>
      <c r="D842" s="287"/>
      <c r="E842" s="287"/>
      <c r="F842" s="304"/>
      <c r="G842" s="277"/>
      <c r="H842" s="136" t="s">
        <v>75</v>
      </c>
      <c r="I842" s="137">
        <v>82189</v>
      </c>
      <c r="J842" s="137">
        <f>I842/D840</f>
        <v>23.13</v>
      </c>
      <c r="K842" s="137">
        <v>59</v>
      </c>
    </row>
    <row r="843" spans="1:11" x14ac:dyDescent="0.35">
      <c r="A843" s="277">
        <f>A840+1</f>
        <v>110</v>
      </c>
      <c r="B843" s="277">
        <v>3297</v>
      </c>
      <c r="C843" s="286" t="s">
        <v>376</v>
      </c>
      <c r="D843" s="287">
        <v>3538.6</v>
      </c>
      <c r="E843" s="287" t="s">
        <v>70</v>
      </c>
      <c r="F843" s="304">
        <v>5</v>
      </c>
      <c r="G843" s="277" t="s">
        <v>71</v>
      </c>
      <c r="H843" s="136" t="s">
        <v>72</v>
      </c>
      <c r="I843" s="137">
        <f>I844+I845</f>
        <v>7152676.7699999996</v>
      </c>
      <c r="J843" s="137">
        <f>J844+J845</f>
        <v>2021.33</v>
      </c>
      <c r="K843" s="137">
        <f>K844+K845</f>
        <v>2831</v>
      </c>
    </row>
    <row r="844" spans="1:11" x14ac:dyDescent="0.35">
      <c r="A844" s="277">
        <v>77</v>
      </c>
      <c r="B844" s="277"/>
      <c r="C844" s="286"/>
      <c r="D844" s="287"/>
      <c r="E844" s="287"/>
      <c r="F844" s="304"/>
      <c r="G844" s="277"/>
      <c r="H844" s="136" t="s">
        <v>73</v>
      </c>
      <c r="I844" s="137">
        <v>7070487.7699999996</v>
      </c>
      <c r="J844" s="137">
        <f>I844/D843</f>
        <v>1998.1</v>
      </c>
      <c r="K844" s="137">
        <v>2772</v>
      </c>
    </row>
    <row r="845" spans="1:11" x14ac:dyDescent="0.35">
      <c r="A845" s="277">
        <v>78</v>
      </c>
      <c r="B845" s="277"/>
      <c r="C845" s="286"/>
      <c r="D845" s="287"/>
      <c r="E845" s="287"/>
      <c r="F845" s="304"/>
      <c r="G845" s="277"/>
      <c r="H845" s="136" t="s">
        <v>75</v>
      </c>
      <c r="I845" s="137">
        <v>82189</v>
      </c>
      <c r="J845" s="137">
        <f>I845/D843</f>
        <v>23.23</v>
      </c>
      <c r="K845" s="137">
        <v>59</v>
      </c>
    </row>
    <row r="846" spans="1:11" x14ac:dyDescent="0.35">
      <c r="A846" s="277">
        <f>A843+1</f>
        <v>111</v>
      </c>
      <c r="B846" s="277">
        <v>4341</v>
      </c>
      <c r="C846" s="286" t="s">
        <v>377</v>
      </c>
      <c r="D846" s="287">
        <v>3554.2</v>
      </c>
      <c r="E846" s="287" t="s">
        <v>70</v>
      </c>
      <c r="F846" s="304">
        <v>5</v>
      </c>
      <c r="G846" s="277" t="s">
        <v>71</v>
      </c>
      <c r="H846" s="136" t="s">
        <v>72</v>
      </c>
      <c r="I846" s="137">
        <f>I847+I848</f>
        <v>8160654.8899999997</v>
      </c>
      <c r="J846" s="137">
        <f>J847+J848</f>
        <v>2296.06</v>
      </c>
      <c r="K846" s="137">
        <f>K847+K848</f>
        <v>3449</v>
      </c>
    </row>
    <row r="847" spans="1:11" ht="31" x14ac:dyDescent="0.35">
      <c r="A847" s="277"/>
      <c r="B847" s="277"/>
      <c r="C847" s="286"/>
      <c r="D847" s="287"/>
      <c r="E847" s="287"/>
      <c r="F847" s="304"/>
      <c r="G847" s="277"/>
      <c r="H847" s="136" t="s">
        <v>85</v>
      </c>
      <c r="I847" s="137">
        <v>8071647.4900000002</v>
      </c>
      <c r="J847" s="137">
        <f>I847/D846</f>
        <v>2271.02</v>
      </c>
      <c r="K847" s="137">
        <v>3377</v>
      </c>
    </row>
    <row r="848" spans="1:11" x14ac:dyDescent="0.35">
      <c r="A848" s="277"/>
      <c r="B848" s="277"/>
      <c r="C848" s="286"/>
      <c r="D848" s="287"/>
      <c r="E848" s="287"/>
      <c r="F848" s="304"/>
      <c r="G848" s="277"/>
      <c r="H848" s="136" t="s">
        <v>75</v>
      </c>
      <c r="I848" s="137">
        <v>89007.4</v>
      </c>
      <c r="J848" s="137">
        <f>I848/D846</f>
        <v>25.04</v>
      </c>
      <c r="K848" s="137">
        <v>72</v>
      </c>
    </row>
    <row r="849" spans="1:11" x14ac:dyDescent="0.35">
      <c r="A849" s="277">
        <f>A846+1</f>
        <v>112</v>
      </c>
      <c r="B849" s="277">
        <v>3134</v>
      </c>
      <c r="C849" s="286" t="s">
        <v>378</v>
      </c>
      <c r="D849" s="287">
        <v>1040.0999999999999</v>
      </c>
      <c r="E849" s="287" t="s">
        <v>74</v>
      </c>
      <c r="F849" s="304">
        <v>3</v>
      </c>
      <c r="G849" s="277" t="s">
        <v>71</v>
      </c>
      <c r="H849" s="136" t="s">
        <v>72</v>
      </c>
      <c r="I849" s="137">
        <f>I850+I851</f>
        <v>3190320.79</v>
      </c>
      <c r="J849" s="137">
        <f>J850+J851</f>
        <v>3067.32</v>
      </c>
      <c r="K849" s="137">
        <f>K850+K851</f>
        <v>4728</v>
      </c>
    </row>
    <row r="850" spans="1:11" x14ac:dyDescent="0.35">
      <c r="A850" s="277">
        <v>77</v>
      </c>
      <c r="B850" s="277"/>
      <c r="C850" s="286"/>
      <c r="D850" s="287"/>
      <c r="E850" s="287"/>
      <c r="F850" s="304"/>
      <c r="G850" s="277"/>
      <c r="H850" s="136" t="s">
        <v>73</v>
      </c>
      <c r="I850" s="137">
        <v>3137985.66</v>
      </c>
      <c r="J850" s="137">
        <f>I850/D849</f>
        <v>3017</v>
      </c>
      <c r="K850" s="137">
        <v>4629</v>
      </c>
    </row>
    <row r="851" spans="1:11" x14ac:dyDescent="0.35">
      <c r="A851" s="277">
        <v>78</v>
      </c>
      <c r="B851" s="277"/>
      <c r="C851" s="286"/>
      <c r="D851" s="287"/>
      <c r="E851" s="287"/>
      <c r="F851" s="304"/>
      <c r="G851" s="277"/>
      <c r="H851" s="136" t="s">
        <v>75</v>
      </c>
      <c r="I851" s="137">
        <v>52335.13</v>
      </c>
      <c r="J851" s="137">
        <f>I851/D849</f>
        <v>50.32</v>
      </c>
      <c r="K851" s="137">
        <v>99</v>
      </c>
    </row>
    <row r="852" spans="1:11" x14ac:dyDescent="0.35">
      <c r="A852" s="277">
        <f>A849+1</f>
        <v>113</v>
      </c>
      <c r="B852" s="277">
        <v>3178</v>
      </c>
      <c r="C852" s="286" t="s">
        <v>379</v>
      </c>
      <c r="D852" s="287">
        <v>7031.9</v>
      </c>
      <c r="E852" s="287" t="s">
        <v>70</v>
      </c>
      <c r="F852" s="304">
        <v>5</v>
      </c>
      <c r="G852" s="277" t="s">
        <v>71</v>
      </c>
      <c r="H852" s="136" t="s">
        <v>72</v>
      </c>
      <c r="I852" s="137">
        <f>I853+I854</f>
        <v>14383585.99</v>
      </c>
      <c r="J852" s="137">
        <f>J853+J854</f>
        <v>2045.48</v>
      </c>
      <c r="K852" s="137">
        <f>K853+K854</f>
        <v>2831</v>
      </c>
    </row>
    <row r="853" spans="1:11" x14ac:dyDescent="0.35">
      <c r="A853" s="277">
        <v>75</v>
      </c>
      <c r="B853" s="277"/>
      <c r="C853" s="286"/>
      <c r="D853" s="287"/>
      <c r="E853" s="287"/>
      <c r="F853" s="304"/>
      <c r="G853" s="277"/>
      <c r="H853" s="136" t="s">
        <v>73</v>
      </c>
      <c r="I853" s="137">
        <v>14144681.85</v>
      </c>
      <c r="J853" s="137">
        <f>I853/D852+0.01</f>
        <v>2011.51</v>
      </c>
      <c r="K853" s="137">
        <v>2772</v>
      </c>
    </row>
    <row r="854" spans="1:11" x14ac:dyDescent="0.35">
      <c r="A854" s="277">
        <v>76</v>
      </c>
      <c r="B854" s="277"/>
      <c r="C854" s="286"/>
      <c r="D854" s="287"/>
      <c r="E854" s="287"/>
      <c r="F854" s="304"/>
      <c r="G854" s="277"/>
      <c r="H854" s="136" t="s">
        <v>75</v>
      </c>
      <c r="I854" s="137">
        <v>238904.14</v>
      </c>
      <c r="J854" s="137">
        <f>I854/D852</f>
        <v>33.97</v>
      </c>
      <c r="K854" s="137">
        <v>59</v>
      </c>
    </row>
    <row r="855" spans="1:11" x14ac:dyDescent="0.35">
      <c r="A855" s="277">
        <f>A852+1</f>
        <v>114</v>
      </c>
      <c r="B855" s="277">
        <v>3179</v>
      </c>
      <c r="C855" s="286" t="s">
        <v>380</v>
      </c>
      <c r="D855" s="287">
        <v>2834.4</v>
      </c>
      <c r="E855" s="287" t="s">
        <v>70</v>
      </c>
      <c r="F855" s="304">
        <v>5</v>
      </c>
      <c r="G855" s="277" t="s">
        <v>71</v>
      </c>
      <c r="H855" s="136" t="s">
        <v>72</v>
      </c>
      <c r="I855" s="137">
        <f>I856+I857</f>
        <v>5798671.0700000003</v>
      </c>
      <c r="J855" s="137">
        <f>J856+J857</f>
        <v>2045.82</v>
      </c>
      <c r="K855" s="137">
        <f>K856+K857</f>
        <v>2831</v>
      </c>
    </row>
    <row r="856" spans="1:11" x14ac:dyDescent="0.35">
      <c r="A856" s="277">
        <v>77</v>
      </c>
      <c r="B856" s="277"/>
      <c r="C856" s="286"/>
      <c r="D856" s="287"/>
      <c r="E856" s="287"/>
      <c r="F856" s="304"/>
      <c r="G856" s="277"/>
      <c r="H856" s="136" t="s">
        <v>73</v>
      </c>
      <c r="I856" s="137">
        <v>5702896.25</v>
      </c>
      <c r="J856" s="137">
        <f>I856/D855</f>
        <v>2012.03</v>
      </c>
      <c r="K856" s="137">
        <v>2772</v>
      </c>
    </row>
    <row r="857" spans="1:11" x14ac:dyDescent="0.35">
      <c r="A857" s="277">
        <v>78</v>
      </c>
      <c r="B857" s="277"/>
      <c r="C857" s="286"/>
      <c r="D857" s="287"/>
      <c r="E857" s="287"/>
      <c r="F857" s="304"/>
      <c r="G857" s="277"/>
      <c r="H857" s="136" t="s">
        <v>75</v>
      </c>
      <c r="I857" s="137">
        <v>95774.82</v>
      </c>
      <c r="J857" s="137">
        <f>I857/D855</f>
        <v>33.79</v>
      </c>
      <c r="K857" s="137">
        <v>59</v>
      </c>
    </row>
    <row r="858" spans="1:11" x14ac:dyDescent="0.35">
      <c r="A858" s="277">
        <f>A855+1</f>
        <v>115</v>
      </c>
      <c r="B858" s="277">
        <v>3182</v>
      </c>
      <c r="C858" s="286" t="s">
        <v>381</v>
      </c>
      <c r="D858" s="287">
        <v>3552.6</v>
      </c>
      <c r="E858" s="287" t="s">
        <v>70</v>
      </c>
      <c r="F858" s="304">
        <v>5</v>
      </c>
      <c r="G858" s="277" t="s">
        <v>71</v>
      </c>
      <c r="H858" s="136" t="s">
        <v>72</v>
      </c>
      <c r="I858" s="137">
        <f>I859+I860</f>
        <v>8031131.5599999996</v>
      </c>
      <c r="J858" s="137">
        <f>J859+J860</f>
        <v>2260.63</v>
      </c>
      <c r="K858" s="137">
        <f>K859+K860</f>
        <v>2831</v>
      </c>
    </row>
    <row r="859" spans="1:11" x14ac:dyDescent="0.35">
      <c r="A859" s="277">
        <v>77</v>
      </c>
      <c r="B859" s="277"/>
      <c r="C859" s="286"/>
      <c r="D859" s="287"/>
      <c r="E859" s="287"/>
      <c r="F859" s="304"/>
      <c r="G859" s="277"/>
      <c r="H859" s="136" t="s">
        <v>73</v>
      </c>
      <c r="I859" s="137">
        <v>7910415.5599999996</v>
      </c>
      <c r="J859" s="137">
        <f>I859/D858-0.01</f>
        <v>2226.65</v>
      </c>
      <c r="K859" s="137">
        <v>2772</v>
      </c>
    </row>
    <row r="860" spans="1:11" x14ac:dyDescent="0.35">
      <c r="A860" s="277">
        <v>78</v>
      </c>
      <c r="B860" s="277"/>
      <c r="C860" s="286"/>
      <c r="D860" s="287"/>
      <c r="E860" s="287"/>
      <c r="F860" s="304"/>
      <c r="G860" s="277"/>
      <c r="H860" s="136" t="s">
        <v>75</v>
      </c>
      <c r="I860" s="137">
        <v>120716</v>
      </c>
      <c r="J860" s="137">
        <f>I860/D858</f>
        <v>33.979999999999997</v>
      </c>
      <c r="K860" s="137">
        <v>59</v>
      </c>
    </row>
    <row r="861" spans="1:11" x14ac:dyDescent="0.35">
      <c r="A861" s="277">
        <f>A858+1</f>
        <v>116</v>
      </c>
      <c r="B861" s="277">
        <v>3185</v>
      </c>
      <c r="C861" s="286" t="s">
        <v>382</v>
      </c>
      <c r="D861" s="287">
        <v>7158.6</v>
      </c>
      <c r="E861" s="287" t="s">
        <v>70</v>
      </c>
      <c r="F861" s="304">
        <v>5</v>
      </c>
      <c r="G861" s="277" t="s">
        <v>71</v>
      </c>
      <c r="H861" s="136" t="s">
        <v>72</v>
      </c>
      <c r="I861" s="137">
        <f>I862+I863</f>
        <v>18369514</v>
      </c>
      <c r="J861" s="137">
        <f>J862+J863</f>
        <v>2566.08</v>
      </c>
      <c r="K861" s="137">
        <f>K862+K863</f>
        <v>2831</v>
      </c>
    </row>
    <row r="862" spans="1:11" x14ac:dyDescent="0.35">
      <c r="A862" s="277">
        <v>75</v>
      </c>
      <c r="B862" s="277"/>
      <c r="C862" s="286"/>
      <c r="D862" s="287"/>
      <c r="E862" s="287"/>
      <c r="F862" s="304"/>
      <c r="G862" s="277"/>
      <c r="H862" s="136" t="s">
        <v>73</v>
      </c>
      <c r="I862" s="137">
        <v>18099785.18</v>
      </c>
      <c r="J862" s="137">
        <f>I862/D861</f>
        <v>2528.4</v>
      </c>
      <c r="K862" s="137">
        <v>2772</v>
      </c>
    </row>
    <row r="863" spans="1:11" x14ac:dyDescent="0.35">
      <c r="A863" s="277">
        <v>76</v>
      </c>
      <c r="B863" s="277"/>
      <c r="C863" s="286"/>
      <c r="D863" s="287"/>
      <c r="E863" s="287"/>
      <c r="F863" s="304"/>
      <c r="G863" s="277"/>
      <c r="H863" s="136" t="s">
        <v>75</v>
      </c>
      <c r="I863" s="137">
        <v>269728.82</v>
      </c>
      <c r="J863" s="137">
        <f>I863/D861</f>
        <v>37.68</v>
      </c>
      <c r="K863" s="137">
        <v>59</v>
      </c>
    </row>
    <row r="864" spans="1:11" ht="13.5" customHeight="1" x14ac:dyDescent="0.35">
      <c r="A864" s="277">
        <f>A861+1</f>
        <v>117</v>
      </c>
      <c r="B864" s="277">
        <v>3138</v>
      </c>
      <c r="C864" s="286" t="s">
        <v>383</v>
      </c>
      <c r="D864" s="287">
        <v>3244</v>
      </c>
      <c r="E864" s="287" t="s">
        <v>70</v>
      </c>
      <c r="F864" s="304">
        <v>5</v>
      </c>
      <c r="G864" s="277" t="s">
        <v>71</v>
      </c>
      <c r="H864" s="136" t="s">
        <v>72</v>
      </c>
      <c r="I864" s="137">
        <f>I865+I866</f>
        <v>3206403.31</v>
      </c>
      <c r="J864" s="137">
        <f>J865+J866</f>
        <v>988.41</v>
      </c>
      <c r="K864" s="137">
        <f>K865+K866</f>
        <v>2936</v>
      </c>
    </row>
    <row r="865" spans="1:11" ht="46.5" x14ac:dyDescent="0.35">
      <c r="A865" s="277">
        <v>75</v>
      </c>
      <c r="B865" s="277"/>
      <c r="C865" s="286"/>
      <c r="D865" s="287"/>
      <c r="E865" s="287"/>
      <c r="F865" s="304"/>
      <c r="G865" s="277"/>
      <c r="H865" s="136" t="s">
        <v>673</v>
      </c>
      <c r="I865" s="137">
        <v>508692.91</v>
      </c>
      <c r="J865" s="137">
        <f>I865/D864</f>
        <v>156.81</v>
      </c>
      <c r="K865" s="137">
        <f>151+13</f>
        <v>164</v>
      </c>
    </row>
    <row r="866" spans="1:11" x14ac:dyDescent="0.35">
      <c r="A866" s="277">
        <v>77</v>
      </c>
      <c r="B866" s="277"/>
      <c r="C866" s="286"/>
      <c r="D866" s="287"/>
      <c r="E866" s="287"/>
      <c r="F866" s="304"/>
      <c r="G866" s="277"/>
      <c r="H866" s="136" t="s">
        <v>73</v>
      </c>
      <c r="I866" s="137">
        <f>K866*D864*0.3</f>
        <v>2697710.4</v>
      </c>
      <c r="J866" s="137">
        <f>I866/D864</f>
        <v>831.6</v>
      </c>
      <c r="K866" s="137">
        <v>2772</v>
      </c>
    </row>
    <row r="867" spans="1:11" ht="15" customHeight="1" x14ac:dyDescent="0.35">
      <c r="A867" s="270">
        <f>A864+1</f>
        <v>118</v>
      </c>
      <c r="B867" s="270">
        <v>3139</v>
      </c>
      <c r="C867" s="278" t="s">
        <v>384</v>
      </c>
      <c r="D867" s="273">
        <v>3270</v>
      </c>
      <c r="E867" s="273" t="s">
        <v>70</v>
      </c>
      <c r="F867" s="282">
        <v>5</v>
      </c>
      <c r="G867" s="270" t="s">
        <v>71</v>
      </c>
      <c r="H867" s="136" t="s">
        <v>72</v>
      </c>
      <c r="I867" s="137">
        <f>I868+I869</f>
        <v>3255612</v>
      </c>
      <c r="J867" s="137">
        <f>J868+J869</f>
        <v>995.6</v>
      </c>
      <c r="K867" s="137">
        <f>K868+K869</f>
        <v>2936</v>
      </c>
    </row>
    <row r="868" spans="1:11" ht="46.5" x14ac:dyDescent="0.35">
      <c r="A868" s="271"/>
      <c r="B868" s="271"/>
      <c r="C868" s="279"/>
      <c r="D868" s="274"/>
      <c r="E868" s="274"/>
      <c r="F868" s="283"/>
      <c r="G868" s="271"/>
      <c r="H868" s="136" t="s">
        <v>673</v>
      </c>
      <c r="I868" s="137">
        <f>493770+D867*13</f>
        <v>536280</v>
      </c>
      <c r="J868" s="137">
        <f>I868/D867</f>
        <v>164</v>
      </c>
      <c r="K868" s="137">
        <f>151+13</f>
        <v>164</v>
      </c>
    </row>
    <row r="869" spans="1:11" x14ac:dyDescent="0.35">
      <c r="A869" s="272"/>
      <c r="B869" s="272"/>
      <c r="C869" s="285"/>
      <c r="D869" s="275"/>
      <c r="E869" s="275"/>
      <c r="F869" s="284"/>
      <c r="G869" s="272"/>
      <c r="H869" s="136" t="s">
        <v>73</v>
      </c>
      <c r="I869" s="137">
        <f>K869*D867*0.3</f>
        <v>2719332</v>
      </c>
      <c r="J869" s="137">
        <f>I869/D867</f>
        <v>831.6</v>
      </c>
      <c r="K869" s="137">
        <v>2772</v>
      </c>
    </row>
    <row r="870" spans="1:11" x14ac:dyDescent="0.35">
      <c r="A870" s="270">
        <f>A867+1</f>
        <v>119</v>
      </c>
      <c r="B870" s="270">
        <v>3140</v>
      </c>
      <c r="C870" s="278" t="s">
        <v>385</v>
      </c>
      <c r="D870" s="273">
        <v>3278</v>
      </c>
      <c r="E870" s="273" t="s">
        <v>70</v>
      </c>
      <c r="F870" s="282">
        <v>5</v>
      </c>
      <c r="G870" s="270" t="s">
        <v>71</v>
      </c>
      <c r="H870" s="136" t="s">
        <v>72</v>
      </c>
      <c r="I870" s="137">
        <f>I871+I872</f>
        <v>3260428.43</v>
      </c>
      <c r="J870" s="137">
        <f>J871+J872</f>
        <v>994.64</v>
      </c>
      <c r="K870" s="137">
        <f>K871+K872</f>
        <v>2936</v>
      </c>
    </row>
    <row r="871" spans="1:11" ht="46.5" x14ac:dyDescent="0.35">
      <c r="A871" s="271"/>
      <c r="B871" s="271"/>
      <c r="C871" s="279"/>
      <c r="D871" s="274"/>
      <c r="E871" s="274"/>
      <c r="F871" s="283"/>
      <c r="G871" s="271"/>
      <c r="H871" s="136" t="s">
        <v>673</v>
      </c>
      <c r="I871" s="137">
        <f>491829.63+D870*13</f>
        <v>534443.63</v>
      </c>
      <c r="J871" s="137">
        <f>I871/D870</f>
        <v>163.04</v>
      </c>
      <c r="K871" s="137">
        <f>151+13</f>
        <v>164</v>
      </c>
    </row>
    <row r="872" spans="1:11" x14ac:dyDescent="0.35">
      <c r="A872" s="272"/>
      <c r="B872" s="272"/>
      <c r="C872" s="285"/>
      <c r="D872" s="275"/>
      <c r="E872" s="275"/>
      <c r="F872" s="284"/>
      <c r="G872" s="272"/>
      <c r="H872" s="136" t="s">
        <v>73</v>
      </c>
      <c r="I872" s="137">
        <f>K872*D870*0.3</f>
        <v>2725984.8</v>
      </c>
      <c r="J872" s="137">
        <f>I872/D870</f>
        <v>831.6</v>
      </c>
      <c r="K872" s="137">
        <v>2772</v>
      </c>
    </row>
    <row r="873" spans="1:11" x14ac:dyDescent="0.35">
      <c r="A873" s="277">
        <f>A870+1</f>
        <v>120</v>
      </c>
      <c r="B873" s="277">
        <v>3192</v>
      </c>
      <c r="C873" s="286" t="s">
        <v>386</v>
      </c>
      <c r="D873" s="287">
        <v>5806.9</v>
      </c>
      <c r="E873" s="287" t="s">
        <v>70</v>
      </c>
      <c r="F873" s="304">
        <v>5</v>
      </c>
      <c r="G873" s="277" t="s">
        <v>71</v>
      </c>
      <c r="H873" s="136" t="s">
        <v>72</v>
      </c>
      <c r="I873" s="137">
        <f>I874+I875</f>
        <v>5732656.8600000003</v>
      </c>
      <c r="J873" s="137">
        <f>J874+J875</f>
        <v>987.21</v>
      </c>
      <c r="K873" s="137">
        <f>K874+K875</f>
        <v>2936</v>
      </c>
    </row>
    <row r="874" spans="1:11" ht="46.5" x14ac:dyDescent="0.35">
      <c r="A874" s="277">
        <v>75</v>
      </c>
      <c r="B874" s="277"/>
      <c r="C874" s="286"/>
      <c r="D874" s="287"/>
      <c r="E874" s="287"/>
      <c r="F874" s="304"/>
      <c r="G874" s="277"/>
      <c r="H874" s="136" t="s">
        <v>673</v>
      </c>
      <c r="I874" s="137">
        <f>828149.12+D873*13</f>
        <v>903638.82</v>
      </c>
      <c r="J874" s="137">
        <f>I874/D873</f>
        <v>155.61000000000001</v>
      </c>
      <c r="K874" s="137">
        <f>151+13</f>
        <v>164</v>
      </c>
    </row>
    <row r="875" spans="1:11" x14ac:dyDescent="0.35">
      <c r="A875" s="277">
        <v>77</v>
      </c>
      <c r="B875" s="277"/>
      <c r="C875" s="286"/>
      <c r="D875" s="287"/>
      <c r="E875" s="287"/>
      <c r="F875" s="304"/>
      <c r="G875" s="277"/>
      <c r="H875" s="136" t="s">
        <v>73</v>
      </c>
      <c r="I875" s="137">
        <f>K875*D873*0.3</f>
        <v>4829018.04</v>
      </c>
      <c r="J875" s="137">
        <f>I875/D873</f>
        <v>831.6</v>
      </c>
      <c r="K875" s="137">
        <v>2772</v>
      </c>
    </row>
    <row r="876" spans="1:11" x14ac:dyDescent="0.35">
      <c r="A876" s="277">
        <f>A873+1</f>
        <v>121</v>
      </c>
      <c r="B876" s="277">
        <v>4350</v>
      </c>
      <c r="C876" s="286" t="s">
        <v>387</v>
      </c>
      <c r="D876" s="287">
        <v>3201.6</v>
      </c>
      <c r="E876" s="287" t="s">
        <v>74</v>
      </c>
      <c r="F876" s="304">
        <v>5</v>
      </c>
      <c r="G876" s="277" t="s">
        <v>71</v>
      </c>
      <c r="H876" s="136" t="s">
        <v>72</v>
      </c>
      <c r="I876" s="137">
        <f>I877+I878</f>
        <v>6185776.1200000001</v>
      </c>
      <c r="J876" s="137">
        <f>J877+J878</f>
        <v>1932.09</v>
      </c>
      <c r="K876" s="137">
        <f>K877+K878</f>
        <v>2831</v>
      </c>
    </row>
    <row r="877" spans="1:11" x14ac:dyDescent="0.35">
      <c r="A877" s="277">
        <v>77</v>
      </c>
      <c r="B877" s="277"/>
      <c r="C877" s="286"/>
      <c r="D877" s="287"/>
      <c r="E877" s="287"/>
      <c r="F877" s="304"/>
      <c r="G877" s="277"/>
      <c r="H877" s="136" t="s">
        <v>73</v>
      </c>
      <c r="I877" s="137">
        <v>6097515</v>
      </c>
      <c r="J877" s="137">
        <f>I877/D876</f>
        <v>1904.52</v>
      </c>
      <c r="K877" s="137">
        <v>2772</v>
      </c>
    </row>
    <row r="878" spans="1:11" x14ac:dyDescent="0.35">
      <c r="A878" s="277">
        <v>78</v>
      </c>
      <c r="B878" s="277"/>
      <c r="C878" s="286"/>
      <c r="D878" s="287"/>
      <c r="E878" s="287"/>
      <c r="F878" s="304"/>
      <c r="G878" s="277"/>
      <c r="H878" s="136" t="s">
        <v>75</v>
      </c>
      <c r="I878" s="137">
        <v>88261.119999999995</v>
      </c>
      <c r="J878" s="137">
        <f>I878/D876</f>
        <v>27.57</v>
      </c>
      <c r="K878" s="137">
        <v>59</v>
      </c>
    </row>
    <row r="879" spans="1:11" x14ac:dyDescent="0.35">
      <c r="A879" s="270">
        <f>A876+1</f>
        <v>122</v>
      </c>
      <c r="B879" s="270">
        <v>3389</v>
      </c>
      <c r="C879" s="278" t="s">
        <v>388</v>
      </c>
      <c r="D879" s="273">
        <v>1631.17</v>
      </c>
      <c r="E879" s="273" t="s">
        <v>79</v>
      </c>
      <c r="F879" s="282">
        <v>3</v>
      </c>
      <c r="G879" s="277" t="s">
        <v>71</v>
      </c>
      <c r="H879" s="136" t="s">
        <v>72</v>
      </c>
      <c r="I879" s="137">
        <f>I880+I881</f>
        <v>3682203.18</v>
      </c>
      <c r="J879" s="137">
        <f>J880+J881</f>
        <v>2257.4</v>
      </c>
      <c r="K879" s="137">
        <f>K880+K881</f>
        <v>4728</v>
      </c>
    </row>
    <row r="880" spans="1:11" x14ac:dyDescent="0.35">
      <c r="A880" s="271"/>
      <c r="B880" s="271"/>
      <c r="C880" s="279"/>
      <c r="D880" s="274"/>
      <c r="E880" s="274"/>
      <c r="F880" s="283"/>
      <c r="G880" s="277"/>
      <c r="H880" s="136" t="s">
        <v>73</v>
      </c>
      <c r="I880" s="137">
        <v>3605055</v>
      </c>
      <c r="J880" s="137">
        <f>I880/D879</f>
        <v>2210.1</v>
      </c>
      <c r="K880" s="137">
        <v>4629</v>
      </c>
    </row>
    <row r="881" spans="1:11" x14ac:dyDescent="0.35">
      <c r="A881" s="271"/>
      <c r="B881" s="271"/>
      <c r="C881" s="279"/>
      <c r="D881" s="274"/>
      <c r="E881" s="274"/>
      <c r="F881" s="283"/>
      <c r="G881" s="277"/>
      <c r="H881" s="136" t="s">
        <v>75</v>
      </c>
      <c r="I881" s="137">
        <v>77148.179999999993</v>
      </c>
      <c r="J881" s="137">
        <f>I881/D879</f>
        <v>47.3</v>
      </c>
      <c r="K881" s="137">
        <v>99</v>
      </c>
    </row>
    <row r="882" spans="1:11" x14ac:dyDescent="0.35">
      <c r="A882" s="277">
        <f>A879+1</f>
        <v>123</v>
      </c>
      <c r="B882" s="277">
        <v>3147</v>
      </c>
      <c r="C882" s="286" t="s">
        <v>392</v>
      </c>
      <c r="D882" s="287">
        <v>7160</v>
      </c>
      <c r="E882" s="287" t="s">
        <v>70</v>
      </c>
      <c r="F882" s="304">
        <v>9</v>
      </c>
      <c r="G882" s="146"/>
      <c r="H882" s="136" t="s">
        <v>72</v>
      </c>
      <c r="I882" s="137">
        <f>SUM(I883:I894)</f>
        <v>6776380.8300000001</v>
      </c>
      <c r="J882" s="137">
        <f>SUM(J883:J894)</f>
        <v>946.42</v>
      </c>
      <c r="K882" s="137">
        <f>SUM(K883:K894)</f>
        <v>988.81</v>
      </c>
    </row>
    <row r="883" spans="1:11" ht="46.5" x14ac:dyDescent="0.35">
      <c r="A883" s="277"/>
      <c r="B883" s="277"/>
      <c r="C883" s="286"/>
      <c r="D883" s="287"/>
      <c r="E883" s="287"/>
      <c r="F883" s="304"/>
      <c r="G883" s="270" t="s">
        <v>641</v>
      </c>
      <c r="H883" s="136" t="s">
        <v>634</v>
      </c>
      <c r="I883" s="137">
        <v>0</v>
      </c>
      <c r="J883" s="137">
        <v>0</v>
      </c>
      <c r="K883" s="137">
        <f>24580/D882-0.01</f>
        <v>3.42</v>
      </c>
    </row>
    <row r="884" spans="1:11" x14ac:dyDescent="0.35">
      <c r="A884" s="277">
        <v>756</v>
      </c>
      <c r="B884" s="277"/>
      <c r="C884" s="286"/>
      <c r="D884" s="287"/>
      <c r="E884" s="287"/>
      <c r="F884" s="304"/>
      <c r="G884" s="271"/>
      <c r="H884" s="136" t="s">
        <v>642</v>
      </c>
      <c r="I884" s="137">
        <v>1698030.39</v>
      </c>
      <c r="J884" s="137">
        <f>I884/D882</f>
        <v>237.16</v>
      </c>
      <c r="K884" s="137">
        <f>1708823/D882+0.01</f>
        <v>238.67</v>
      </c>
    </row>
    <row r="885" spans="1:11" x14ac:dyDescent="0.35">
      <c r="A885" s="277">
        <v>757</v>
      </c>
      <c r="B885" s="277"/>
      <c r="C885" s="286"/>
      <c r="D885" s="287"/>
      <c r="E885" s="287"/>
      <c r="F885" s="304"/>
      <c r="G885" s="272"/>
      <c r="H885" s="136" t="s">
        <v>75</v>
      </c>
      <c r="I885" s="137">
        <v>21941.4</v>
      </c>
      <c r="J885" s="137">
        <f>I885/D882</f>
        <v>3.06</v>
      </c>
      <c r="K885" s="137">
        <f>36569/D882</f>
        <v>5.1100000000000003</v>
      </c>
    </row>
    <row r="886" spans="1:11" ht="46.5" x14ac:dyDescent="0.35">
      <c r="A886" s="277"/>
      <c r="B886" s="277"/>
      <c r="C886" s="286"/>
      <c r="D886" s="287"/>
      <c r="E886" s="287"/>
      <c r="F886" s="304"/>
      <c r="G886" s="270" t="s">
        <v>647</v>
      </c>
      <c r="H886" s="136" t="s">
        <v>634</v>
      </c>
      <c r="I886" s="137">
        <v>0</v>
      </c>
      <c r="J886" s="137">
        <v>0</v>
      </c>
      <c r="K886" s="137">
        <f>24580/D882-0.01</f>
        <v>3.42</v>
      </c>
    </row>
    <row r="887" spans="1:11" x14ac:dyDescent="0.35">
      <c r="A887" s="277"/>
      <c r="B887" s="277"/>
      <c r="C887" s="286"/>
      <c r="D887" s="287"/>
      <c r="E887" s="287"/>
      <c r="F887" s="304"/>
      <c r="G887" s="271"/>
      <c r="H887" s="136" t="s">
        <v>642</v>
      </c>
      <c r="I887" s="137">
        <v>1663528.28</v>
      </c>
      <c r="J887" s="137">
        <f>I887/D882</f>
        <v>232.34</v>
      </c>
      <c r="K887" s="137">
        <f>1708823/D882+0.01</f>
        <v>238.67</v>
      </c>
    </row>
    <row r="888" spans="1:11" x14ac:dyDescent="0.35">
      <c r="A888" s="277"/>
      <c r="B888" s="277"/>
      <c r="C888" s="286"/>
      <c r="D888" s="287"/>
      <c r="E888" s="287"/>
      <c r="F888" s="304"/>
      <c r="G888" s="272"/>
      <c r="H888" s="136" t="s">
        <v>75</v>
      </c>
      <c r="I888" s="137">
        <v>21941.4</v>
      </c>
      <c r="J888" s="137">
        <f>I888/D882</f>
        <v>3.06</v>
      </c>
      <c r="K888" s="137">
        <f>36569/D882</f>
        <v>5.1100000000000003</v>
      </c>
    </row>
    <row r="889" spans="1:11" ht="46.5" x14ac:dyDescent="0.35">
      <c r="A889" s="277"/>
      <c r="B889" s="277"/>
      <c r="C889" s="286"/>
      <c r="D889" s="287"/>
      <c r="E889" s="287"/>
      <c r="F889" s="304"/>
      <c r="G889" s="270" t="s">
        <v>648</v>
      </c>
      <c r="H889" s="136" t="s">
        <v>634</v>
      </c>
      <c r="I889" s="137">
        <v>0</v>
      </c>
      <c r="J889" s="137">
        <v>0</v>
      </c>
      <c r="K889" s="137">
        <f>24580/D882</f>
        <v>3.43</v>
      </c>
    </row>
    <row r="890" spans="1:11" x14ac:dyDescent="0.35">
      <c r="A890" s="277"/>
      <c r="B890" s="277"/>
      <c r="C890" s="286"/>
      <c r="D890" s="287"/>
      <c r="E890" s="287"/>
      <c r="F890" s="304"/>
      <c r="G890" s="271"/>
      <c r="H890" s="136" t="s">
        <v>642</v>
      </c>
      <c r="I890" s="137">
        <v>1663528.28</v>
      </c>
      <c r="J890" s="137">
        <f>I890/D882</f>
        <v>232.34</v>
      </c>
      <c r="K890" s="137">
        <f>1708823/D882+0.01</f>
        <v>238.67</v>
      </c>
    </row>
    <row r="891" spans="1:11" x14ac:dyDescent="0.35">
      <c r="A891" s="277"/>
      <c r="B891" s="277"/>
      <c r="C891" s="286"/>
      <c r="D891" s="287"/>
      <c r="E891" s="287"/>
      <c r="F891" s="304"/>
      <c r="G891" s="272"/>
      <c r="H891" s="136" t="s">
        <v>75</v>
      </c>
      <c r="I891" s="137">
        <v>21941.4</v>
      </c>
      <c r="J891" s="137">
        <f>I891/D882</f>
        <v>3.06</v>
      </c>
      <c r="K891" s="137">
        <f>36569/D882</f>
        <v>5.1100000000000003</v>
      </c>
    </row>
    <row r="892" spans="1:11" ht="46.5" x14ac:dyDescent="0.35">
      <c r="A892" s="277"/>
      <c r="B892" s="277"/>
      <c r="C892" s="286"/>
      <c r="D892" s="287"/>
      <c r="E892" s="287"/>
      <c r="F892" s="304"/>
      <c r="G892" s="270" t="s">
        <v>649</v>
      </c>
      <c r="H892" s="136" t="s">
        <v>634</v>
      </c>
      <c r="I892" s="137">
        <v>0</v>
      </c>
      <c r="J892" s="137">
        <v>0</v>
      </c>
      <c r="K892" s="137">
        <f>24580/D882</f>
        <v>3.43</v>
      </c>
    </row>
    <row r="893" spans="1:11" x14ac:dyDescent="0.35">
      <c r="A893" s="277"/>
      <c r="B893" s="277"/>
      <c r="C893" s="286"/>
      <c r="D893" s="287"/>
      <c r="E893" s="287"/>
      <c r="F893" s="304"/>
      <c r="G893" s="271"/>
      <c r="H893" s="136" t="s">
        <v>642</v>
      </c>
      <c r="I893" s="137">
        <v>1663528.28</v>
      </c>
      <c r="J893" s="137">
        <f>I893/D882</f>
        <v>232.34</v>
      </c>
      <c r="K893" s="137">
        <f>1708823/D882</f>
        <v>238.66</v>
      </c>
    </row>
    <row r="894" spans="1:11" x14ac:dyDescent="0.35">
      <c r="A894" s="277"/>
      <c r="B894" s="277"/>
      <c r="C894" s="286"/>
      <c r="D894" s="287"/>
      <c r="E894" s="287"/>
      <c r="F894" s="304"/>
      <c r="G894" s="272"/>
      <c r="H894" s="136" t="s">
        <v>75</v>
      </c>
      <c r="I894" s="137">
        <v>21941.4</v>
      </c>
      <c r="J894" s="137">
        <f>I894/D882</f>
        <v>3.06</v>
      </c>
      <c r="K894" s="137">
        <f>36569/D882</f>
        <v>5.1100000000000003</v>
      </c>
    </row>
    <row r="895" spans="1:11" x14ac:dyDescent="0.35">
      <c r="A895" s="277">
        <f>A882+1</f>
        <v>124</v>
      </c>
      <c r="B895" s="277">
        <v>2258</v>
      </c>
      <c r="C895" s="278" t="s">
        <v>394</v>
      </c>
      <c r="D895" s="287">
        <v>4516</v>
      </c>
      <c r="E895" s="287" t="s">
        <v>74</v>
      </c>
      <c r="F895" s="304">
        <v>5</v>
      </c>
      <c r="G895" s="277" t="s">
        <v>71</v>
      </c>
      <c r="H895" s="136" t="s">
        <v>72</v>
      </c>
      <c r="I895" s="137">
        <f>I896+I897</f>
        <v>3265963.02</v>
      </c>
      <c r="J895" s="137">
        <f>J896+J897</f>
        <v>723.2</v>
      </c>
      <c r="K895" s="137">
        <f>K896+K897</f>
        <v>2936</v>
      </c>
    </row>
    <row r="896" spans="1:11" ht="46.5" x14ac:dyDescent="0.35">
      <c r="A896" s="277">
        <v>75</v>
      </c>
      <c r="B896" s="277"/>
      <c r="C896" s="279"/>
      <c r="D896" s="287"/>
      <c r="E896" s="287"/>
      <c r="F896" s="304"/>
      <c r="G896" s="277"/>
      <c r="H896" s="136" t="s">
        <v>673</v>
      </c>
      <c r="I896" s="137">
        <v>213044.71</v>
      </c>
      <c r="J896" s="137">
        <f>I896/D895</f>
        <v>47.18</v>
      </c>
      <c r="K896" s="137">
        <f>151+13</f>
        <v>164</v>
      </c>
    </row>
    <row r="897" spans="1:11" x14ac:dyDescent="0.35">
      <c r="A897" s="277">
        <v>77</v>
      </c>
      <c r="B897" s="277"/>
      <c r="C897" s="285"/>
      <c r="D897" s="287"/>
      <c r="E897" s="287"/>
      <c r="F897" s="304"/>
      <c r="G897" s="277"/>
      <c r="H897" s="136" t="s">
        <v>73</v>
      </c>
      <c r="I897" s="137">
        <f>10176394.36*0.3</f>
        <v>3052918.31</v>
      </c>
      <c r="J897" s="137">
        <f>I897/D895</f>
        <v>676.02</v>
      </c>
      <c r="K897" s="137">
        <v>2772</v>
      </c>
    </row>
    <row r="898" spans="1:11" x14ac:dyDescent="0.35">
      <c r="A898" s="277">
        <f>A895+1</f>
        <v>125</v>
      </c>
      <c r="B898" s="277">
        <v>2333</v>
      </c>
      <c r="C898" s="286" t="s">
        <v>395</v>
      </c>
      <c r="D898" s="287">
        <v>4882.3999999999996</v>
      </c>
      <c r="E898" s="287" t="s">
        <v>74</v>
      </c>
      <c r="F898" s="304">
        <v>9</v>
      </c>
      <c r="G898" s="165"/>
      <c r="H898" s="136" t="s">
        <v>72</v>
      </c>
      <c r="I898" s="137">
        <f>SUM(I899:I901)</f>
        <v>1671941.4</v>
      </c>
      <c r="J898" s="137">
        <f>SUM(J899:J901)</f>
        <v>342.44</v>
      </c>
      <c r="K898" s="137">
        <f>SUM(K899:K901)</f>
        <v>362.52</v>
      </c>
    </row>
    <row r="899" spans="1:11" ht="46.5" x14ac:dyDescent="0.35">
      <c r="A899" s="277"/>
      <c r="B899" s="277"/>
      <c r="C899" s="286"/>
      <c r="D899" s="287"/>
      <c r="E899" s="287"/>
      <c r="F899" s="304"/>
      <c r="G899" s="270" t="s">
        <v>641</v>
      </c>
      <c r="H899" s="136" t="s">
        <v>634</v>
      </c>
      <c r="I899" s="137">
        <v>0</v>
      </c>
      <c r="J899" s="137">
        <v>0</v>
      </c>
      <c r="K899" s="137">
        <f>24580/D898</f>
        <v>5.03</v>
      </c>
    </row>
    <row r="900" spans="1:11" x14ac:dyDescent="0.35">
      <c r="A900" s="277">
        <v>756</v>
      </c>
      <c r="B900" s="277"/>
      <c r="C900" s="286"/>
      <c r="D900" s="287"/>
      <c r="E900" s="287"/>
      <c r="F900" s="304"/>
      <c r="G900" s="271"/>
      <c r="H900" s="136" t="s">
        <v>642</v>
      </c>
      <c r="I900" s="137">
        <v>1650000</v>
      </c>
      <c r="J900" s="137">
        <f>I900/D898</f>
        <v>337.95</v>
      </c>
      <c r="K900" s="137">
        <f>1708823/D898</f>
        <v>350</v>
      </c>
    </row>
    <row r="901" spans="1:11" x14ac:dyDescent="0.35">
      <c r="A901" s="277">
        <v>757</v>
      </c>
      <c r="B901" s="277"/>
      <c r="C901" s="286"/>
      <c r="D901" s="287"/>
      <c r="E901" s="287"/>
      <c r="F901" s="304"/>
      <c r="G901" s="272"/>
      <c r="H901" s="136" t="s">
        <v>75</v>
      </c>
      <c r="I901" s="137">
        <v>21941.4</v>
      </c>
      <c r="J901" s="137">
        <f>I901/D898</f>
        <v>4.49</v>
      </c>
      <c r="K901" s="137">
        <f>36569/D898</f>
        <v>7.49</v>
      </c>
    </row>
    <row r="902" spans="1:11" ht="14" customHeight="1" x14ac:dyDescent="0.35">
      <c r="A902" s="277">
        <f>A898+1</f>
        <v>126</v>
      </c>
      <c r="B902" s="277">
        <v>2343</v>
      </c>
      <c r="C902" s="286" t="s">
        <v>396</v>
      </c>
      <c r="D902" s="287">
        <v>8262.9</v>
      </c>
      <c r="E902" s="287" t="s">
        <v>74</v>
      </c>
      <c r="F902" s="304">
        <v>9</v>
      </c>
      <c r="G902" s="146"/>
      <c r="H902" s="136" t="s">
        <v>72</v>
      </c>
      <c r="I902" s="137">
        <f>SUM(I903:I908)</f>
        <v>3420199.9</v>
      </c>
      <c r="J902" s="137">
        <f>SUM(J903:J908)</f>
        <v>413.92</v>
      </c>
      <c r="K902" s="137">
        <f>SUM(K903:K908)</f>
        <v>428.41</v>
      </c>
    </row>
    <row r="903" spans="1:11" ht="46.5" x14ac:dyDescent="0.35">
      <c r="A903" s="277"/>
      <c r="B903" s="277"/>
      <c r="C903" s="286"/>
      <c r="D903" s="287"/>
      <c r="E903" s="287"/>
      <c r="F903" s="304"/>
      <c r="G903" s="270" t="s">
        <v>648</v>
      </c>
      <c r="H903" s="136" t="s">
        <v>634</v>
      </c>
      <c r="I903" s="137">
        <v>0</v>
      </c>
      <c r="J903" s="137">
        <v>0</v>
      </c>
      <c r="K903" s="137">
        <f>24580/D902</f>
        <v>2.97</v>
      </c>
    </row>
    <row r="904" spans="1:11" ht="14" customHeight="1" x14ac:dyDescent="0.35">
      <c r="A904" s="277"/>
      <c r="B904" s="277"/>
      <c r="C904" s="286"/>
      <c r="D904" s="287"/>
      <c r="E904" s="287"/>
      <c r="F904" s="304"/>
      <c r="G904" s="271"/>
      <c r="H904" s="136" t="s">
        <v>642</v>
      </c>
      <c r="I904" s="137">
        <v>1688158.55</v>
      </c>
      <c r="J904" s="137">
        <f>I904/D902-0.01</f>
        <v>204.3</v>
      </c>
      <c r="K904" s="137">
        <f>1708823/D902</f>
        <v>206.81</v>
      </c>
    </row>
    <row r="905" spans="1:11" x14ac:dyDescent="0.35">
      <c r="A905" s="277"/>
      <c r="B905" s="277"/>
      <c r="C905" s="286"/>
      <c r="D905" s="287"/>
      <c r="E905" s="287"/>
      <c r="F905" s="304"/>
      <c r="G905" s="272"/>
      <c r="H905" s="136" t="s">
        <v>75</v>
      </c>
      <c r="I905" s="137">
        <v>21941.4</v>
      </c>
      <c r="J905" s="137">
        <f>I905/D902</f>
        <v>2.66</v>
      </c>
      <c r="K905" s="137">
        <f>36569/D902</f>
        <v>4.43</v>
      </c>
    </row>
    <row r="906" spans="1:11" ht="46.5" x14ac:dyDescent="0.35">
      <c r="A906" s="277"/>
      <c r="B906" s="277"/>
      <c r="C906" s="286"/>
      <c r="D906" s="287"/>
      <c r="E906" s="287"/>
      <c r="F906" s="304"/>
      <c r="G906" s="270" t="s">
        <v>649</v>
      </c>
      <c r="H906" s="136" t="s">
        <v>634</v>
      </c>
      <c r="I906" s="137">
        <v>0</v>
      </c>
      <c r="J906" s="137">
        <v>0</v>
      </c>
      <c r="K906" s="137">
        <f>24580/D902</f>
        <v>2.97</v>
      </c>
    </row>
    <row r="907" spans="1:11" x14ac:dyDescent="0.35">
      <c r="A907" s="277"/>
      <c r="B907" s="277"/>
      <c r="C907" s="286"/>
      <c r="D907" s="287"/>
      <c r="E907" s="287"/>
      <c r="F907" s="304"/>
      <c r="G907" s="271"/>
      <c r="H907" s="136" t="s">
        <v>642</v>
      </c>
      <c r="I907" s="137">
        <v>1688158.55</v>
      </c>
      <c r="J907" s="137">
        <f>I907/D902-0.01</f>
        <v>204.3</v>
      </c>
      <c r="K907" s="137">
        <f>1708823/D902-0.01</f>
        <v>206.8</v>
      </c>
    </row>
    <row r="908" spans="1:11" x14ac:dyDescent="0.35">
      <c r="A908" s="277"/>
      <c r="B908" s="277"/>
      <c r="C908" s="286"/>
      <c r="D908" s="287"/>
      <c r="E908" s="287"/>
      <c r="F908" s="304"/>
      <c r="G908" s="272"/>
      <c r="H908" s="136" t="s">
        <v>75</v>
      </c>
      <c r="I908" s="137">
        <v>21941.4</v>
      </c>
      <c r="J908" s="137">
        <f>I908/D902</f>
        <v>2.66</v>
      </c>
      <c r="K908" s="137">
        <f>36569/D902</f>
        <v>4.43</v>
      </c>
    </row>
    <row r="909" spans="1:11" x14ac:dyDescent="0.35">
      <c r="A909" s="277">
        <f>A902+1</f>
        <v>127</v>
      </c>
      <c r="B909" s="277">
        <v>2345</v>
      </c>
      <c r="C909" s="286" t="s">
        <v>397</v>
      </c>
      <c r="D909" s="287">
        <v>2866.7</v>
      </c>
      <c r="E909" s="287" t="s">
        <v>70</v>
      </c>
      <c r="F909" s="304">
        <v>5</v>
      </c>
      <c r="G909" s="277" t="s">
        <v>71</v>
      </c>
      <c r="H909" s="136" t="s">
        <v>72</v>
      </c>
      <c r="I909" s="137">
        <f>I910+I911</f>
        <v>2887711.15</v>
      </c>
      <c r="J909" s="137">
        <f>J910+J911</f>
        <v>1007.33</v>
      </c>
      <c r="K909" s="137">
        <f>K910+K911</f>
        <v>3523</v>
      </c>
    </row>
    <row r="910" spans="1:11" ht="62" x14ac:dyDescent="0.35">
      <c r="A910" s="277">
        <v>75</v>
      </c>
      <c r="B910" s="277"/>
      <c r="C910" s="286"/>
      <c r="D910" s="287"/>
      <c r="E910" s="287"/>
      <c r="F910" s="304"/>
      <c r="G910" s="277"/>
      <c r="H910" s="136" t="s">
        <v>761</v>
      </c>
      <c r="I910" s="137">
        <v>374036.35</v>
      </c>
      <c r="J910" s="137">
        <f>I910/D909</f>
        <v>130.47999999999999</v>
      </c>
      <c r="K910" s="137">
        <f>135+11</f>
        <v>146</v>
      </c>
    </row>
    <row r="911" spans="1:11" ht="31" x14ac:dyDescent="0.35">
      <c r="A911" s="277">
        <v>77</v>
      </c>
      <c r="B911" s="277"/>
      <c r="C911" s="286"/>
      <c r="D911" s="287"/>
      <c r="E911" s="287"/>
      <c r="F911" s="304"/>
      <c r="G911" s="277"/>
      <c r="H911" s="136" t="s">
        <v>85</v>
      </c>
      <c r="I911" s="137">
        <f>8378915.99*0.3</f>
        <v>2513674.7999999998</v>
      </c>
      <c r="J911" s="137">
        <f>I911/D909</f>
        <v>876.85</v>
      </c>
      <c r="K911" s="137">
        <v>3377</v>
      </c>
    </row>
    <row r="912" spans="1:11" x14ac:dyDescent="0.35">
      <c r="A912" s="277">
        <f>A909+1</f>
        <v>128</v>
      </c>
      <c r="B912" s="277">
        <v>2213</v>
      </c>
      <c r="C912" s="286" t="s">
        <v>398</v>
      </c>
      <c r="D912" s="287">
        <v>3314</v>
      </c>
      <c r="E912" s="287" t="s">
        <v>70</v>
      </c>
      <c r="F912" s="304">
        <v>5</v>
      </c>
      <c r="G912" s="277" t="s">
        <v>71</v>
      </c>
      <c r="H912" s="136" t="s">
        <v>72</v>
      </c>
      <c r="I912" s="137">
        <f>I913+I914</f>
        <v>3681292.09</v>
      </c>
      <c r="J912" s="137">
        <f>J913+J914</f>
        <v>1110.83</v>
      </c>
      <c r="K912" s="137">
        <f>K913+K914</f>
        <v>3523</v>
      </c>
    </row>
    <row r="913" spans="1:11" ht="62" x14ac:dyDescent="0.35">
      <c r="A913" s="277">
        <v>75</v>
      </c>
      <c r="B913" s="277"/>
      <c r="C913" s="286"/>
      <c r="D913" s="287"/>
      <c r="E913" s="287"/>
      <c r="F913" s="304"/>
      <c r="G913" s="277"/>
      <c r="H913" s="136" t="s">
        <v>761</v>
      </c>
      <c r="I913" s="137">
        <v>433505.75</v>
      </c>
      <c r="J913" s="137">
        <f>I913/D912</f>
        <v>130.81</v>
      </c>
      <c r="K913" s="137">
        <f>135+11</f>
        <v>146</v>
      </c>
    </row>
    <row r="914" spans="1:11" ht="31" x14ac:dyDescent="0.35">
      <c r="A914" s="277">
        <v>77</v>
      </c>
      <c r="B914" s="277"/>
      <c r="C914" s="286"/>
      <c r="D914" s="287"/>
      <c r="E914" s="287"/>
      <c r="F914" s="304"/>
      <c r="G914" s="277"/>
      <c r="H914" s="136" t="s">
        <v>85</v>
      </c>
      <c r="I914" s="137">
        <f>10825954.46*0.3</f>
        <v>3247786.34</v>
      </c>
      <c r="J914" s="137">
        <f>I914/D912</f>
        <v>980.02</v>
      </c>
      <c r="K914" s="137">
        <v>3377</v>
      </c>
    </row>
    <row r="915" spans="1:11" x14ac:dyDescent="0.35">
      <c r="A915" s="277">
        <f>A912+1</f>
        <v>129</v>
      </c>
      <c r="B915" s="277">
        <v>2215</v>
      </c>
      <c r="C915" s="286" t="s">
        <v>399</v>
      </c>
      <c r="D915" s="287">
        <v>3550.3</v>
      </c>
      <c r="E915" s="287" t="s">
        <v>70</v>
      </c>
      <c r="F915" s="304">
        <v>5</v>
      </c>
      <c r="G915" s="277" t="s">
        <v>71</v>
      </c>
      <c r="H915" s="136" t="s">
        <v>72</v>
      </c>
      <c r="I915" s="137">
        <f>I916+I917</f>
        <v>3415959.86</v>
      </c>
      <c r="J915" s="137">
        <f>J916+J917</f>
        <v>962.16</v>
      </c>
      <c r="K915" s="137">
        <f>K916+K917</f>
        <v>2936</v>
      </c>
    </row>
    <row r="916" spans="1:11" ht="46.5" x14ac:dyDescent="0.35">
      <c r="A916" s="277">
        <v>75</v>
      </c>
      <c r="B916" s="277"/>
      <c r="C916" s="286"/>
      <c r="D916" s="287"/>
      <c r="E916" s="287"/>
      <c r="F916" s="304"/>
      <c r="G916" s="277"/>
      <c r="H916" s="136" t="s">
        <v>673</v>
      </c>
      <c r="I916" s="137">
        <f>475695.29+D915*13</f>
        <v>521849.19</v>
      </c>
      <c r="J916" s="137">
        <f>I916/D915</f>
        <v>146.99</v>
      </c>
      <c r="K916" s="137">
        <f>151+13</f>
        <v>164</v>
      </c>
    </row>
    <row r="917" spans="1:11" x14ac:dyDescent="0.35">
      <c r="A917" s="277">
        <v>77</v>
      </c>
      <c r="B917" s="277"/>
      <c r="C917" s="286"/>
      <c r="D917" s="287"/>
      <c r="E917" s="287"/>
      <c r="F917" s="304"/>
      <c r="G917" s="277"/>
      <c r="H917" s="136" t="s">
        <v>73</v>
      </c>
      <c r="I917" s="137">
        <f>9187652.92*1.05*0.3</f>
        <v>2894110.67</v>
      </c>
      <c r="J917" s="137">
        <f>I917/D915</f>
        <v>815.17</v>
      </c>
      <c r="K917" s="137">
        <v>2772</v>
      </c>
    </row>
    <row r="918" spans="1:11" x14ac:dyDescent="0.35">
      <c r="A918" s="277">
        <f>A915+1</f>
        <v>130</v>
      </c>
      <c r="B918" s="277">
        <v>2217</v>
      </c>
      <c r="C918" s="286" t="s">
        <v>400</v>
      </c>
      <c r="D918" s="287">
        <v>3563</v>
      </c>
      <c r="E918" s="287" t="s">
        <v>70</v>
      </c>
      <c r="F918" s="304">
        <v>5</v>
      </c>
      <c r="G918" s="277" t="s">
        <v>71</v>
      </c>
      <c r="H918" s="136" t="s">
        <v>72</v>
      </c>
      <c r="I918" s="137">
        <f>I919+I920</f>
        <v>3418118.17</v>
      </c>
      <c r="J918" s="137">
        <f>J919+J920</f>
        <v>959.34</v>
      </c>
      <c r="K918" s="137">
        <f>K919+K920</f>
        <v>2936</v>
      </c>
    </row>
    <row r="919" spans="1:11" ht="46.5" x14ac:dyDescent="0.35">
      <c r="A919" s="277">
        <v>75</v>
      </c>
      <c r="B919" s="277"/>
      <c r="C919" s="286"/>
      <c r="D919" s="287"/>
      <c r="E919" s="287"/>
      <c r="F919" s="304"/>
      <c r="G919" s="277"/>
      <c r="H919" s="136" t="s">
        <v>673</v>
      </c>
      <c r="I919" s="137">
        <f>477688.5+D918*13</f>
        <v>524007.5</v>
      </c>
      <c r="J919" s="137">
        <f>I919/D918</f>
        <v>147.07</v>
      </c>
      <c r="K919" s="137">
        <f>151+13</f>
        <v>164</v>
      </c>
    </row>
    <row r="920" spans="1:11" x14ac:dyDescent="0.35">
      <c r="A920" s="277">
        <v>77</v>
      </c>
      <c r="B920" s="277"/>
      <c r="C920" s="286"/>
      <c r="D920" s="287"/>
      <c r="E920" s="287"/>
      <c r="F920" s="304"/>
      <c r="G920" s="277"/>
      <c r="H920" s="136" t="s">
        <v>73</v>
      </c>
      <c r="I920" s="137">
        <f>9187652.92*1.05*0.3</f>
        <v>2894110.67</v>
      </c>
      <c r="J920" s="137">
        <f>I920/D918</f>
        <v>812.27</v>
      </c>
      <c r="K920" s="137">
        <v>2772</v>
      </c>
    </row>
    <row r="921" spans="1:11" x14ac:dyDescent="0.35">
      <c r="A921" s="277">
        <f>A918+1</f>
        <v>131</v>
      </c>
      <c r="B921" s="277">
        <v>2479</v>
      </c>
      <c r="C921" s="286" t="s">
        <v>667</v>
      </c>
      <c r="D921" s="287">
        <v>2528.3000000000002</v>
      </c>
      <c r="E921" s="287" t="s">
        <v>74</v>
      </c>
      <c r="F921" s="304">
        <v>5</v>
      </c>
      <c r="G921" s="165"/>
      <c r="H921" s="136" t="s">
        <v>72</v>
      </c>
      <c r="I921" s="137">
        <f>I922+I923+I924+I925</f>
        <v>1026256.84</v>
      </c>
      <c r="J921" s="137">
        <f>J922+J923+J924+J925</f>
        <v>405.91</v>
      </c>
      <c r="K921" s="137">
        <f>K922+K923+K924+K925</f>
        <v>891</v>
      </c>
    </row>
    <row r="922" spans="1:11" x14ac:dyDescent="0.35">
      <c r="A922" s="277"/>
      <c r="B922" s="277"/>
      <c r="C922" s="286"/>
      <c r="D922" s="287"/>
      <c r="E922" s="287"/>
      <c r="F922" s="304"/>
      <c r="G922" s="270" t="s">
        <v>78</v>
      </c>
      <c r="H922" s="136" t="s">
        <v>73</v>
      </c>
      <c r="I922" s="137">
        <v>678697.08</v>
      </c>
      <c r="J922" s="137">
        <f>I922/D921</f>
        <v>268.44</v>
      </c>
      <c r="K922" s="137">
        <v>409</v>
      </c>
    </row>
    <row r="923" spans="1:11" x14ac:dyDescent="0.35">
      <c r="A923" s="277"/>
      <c r="B923" s="277"/>
      <c r="C923" s="286"/>
      <c r="D923" s="287"/>
      <c r="E923" s="287"/>
      <c r="F923" s="304"/>
      <c r="G923" s="272"/>
      <c r="H923" s="136" t="s">
        <v>75</v>
      </c>
      <c r="I923" s="137">
        <v>14451.5</v>
      </c>
      <c r="J923" s="137">
        <f>I923/D921</f>
        <v>5.72</v>
      </c>
      <c r="K923" s="137">
        <v>9</v>
      </c>
    </row>
    <row r="924" spans="1:11" x14ac:dyDescent="0.35">
      <c r="A924" s="277"/>
      <c r="B924" s="277"/>
      <c r="C924" s="286"/>
      <c r="D924" s="287"/>
      <c r="E924" s="287"/>
      <c r="F924" s="304"/>
      <c r="G924" s="270" t="s">
        <v>77</v>
      </c>
      <c r="H924" s="136" t="s">
        <v>73</v>
      </c>
      <c r="I924" s="137">
        <v>326163.26</v>
      </c>
      <c r="J924" s="137">
        <f>I924/D921</f>
        <v>129</v>
      </c>
      <c r="K924" s="137">
        <v>463</v>
      </c>
    </row>
    <row r="925" spans="1:11" x14ac:dyDescent="0.35">
      <c r="A925" s="277"/>
      <c r="B925" s="277"/>
      <c r="C925" s="286"/>
      <c r="D925" s="287"/>
      <c r="E925" s="287"/>
      <c r="F925" s="304"/>
      <c r="G925" s="272"/>
      <c r="H925" s="136" t="s">
        <v>75</v>
      </c>
      <c r="I925" s="137">
        <v>6945</v>
      </c>
      <c r="J925" s="137">
        <f>I925/D921</f>
        <v>2.75</v>
      </c>
      <c r="K925" s="137">
        <v>10</v>
      </c>
    </row>
    <row r="926" spans="1:11" x14ac:dyDescent="0.35">
      <c r="A926" s="277">
        <f>A921+1</f>
        <v>132</v>
      </c>
      <c r="B926" s="277">
        <v>2222</v>
      </c>
      <c r="C926" s="286" t="s">
        <v>403</v>
      </c>
      <c r="D926" s="287">
        <v>5780.42</v>
      </c>
      <c r="E926" s="287" t="s">
        <v>70</v>
      </c>
      <c r="F926" s="304">
        <v>5</v>
      </c>
      <c r="G926" s="277" t="s">
        <v>71</v>
      </c>
      <c r="H926" s="136" t="s">
        <v>72</v>
      </c>
      <c r="I926" s="137">
        <f>I927+I928</f>
        <v>6625388.1399999997</v>
      </c>
      <c r="J926" s="137">
        <f>J927+J928</f>
        <v>1146.18</v>
      </c>
      <c r="K926" s="137">
        <f>K927+K928</f>
        <v>3523</v>
      </c>
    </row>
    <row r="927" spans="1:11" ht="62" x14ac:dyDescent="0.35">
      <c r="A927" s="277">
        <v>75</v>
      </c>
      <c r="B927" s="277"/>
      <c r="C927" s="286"/>
      <c r="D927" s="287"/>
      <c r="E927" s="287"/>
      <c r="F927" s="304"/>
      <c r="G927" s="277"/>
      <c r="H927" s="136" t="s">
        <v>761</v>
      </c>
      <c r="I927" s="137">
        <f>705660.02+D926*11</f>
        <v>769244.64</v>
      </c>
      <c r="J927" s="137">
        <f>I927/D926</f>
        <v>133.08000000000001</v>
      </c>
      <c r="K927" s="137">
        <f>135+11</f>
        <v>146</v>
      </c>
    </row>
    <row r="928" spans="1:11" ht="31" x14ac:dyDescent="0.35">
      <c r="A928" s="277">
        <v>77</v>
      </c>
      <c r="B928" s="277"/>
      <c r="C928" s="286"/>
      <c r="D928" s="287"/>
      <c r="E928" s="287"/>
      <c r="F928" s="304"/>
      <c r="G928" s="277"/>
      <c r="H928" s="136" t="s">
        <v>85</v>
      </c>
      <c r="I928" s="137">
        <f>K928*D926*0.3</f>
        <v>5856143.5</v>
      </c>
      <c r="J928" s="137">
        <f>I928/D926</f>
        <v>1013.1</v>
      </c>
      <c r="K928" s="137">
        <v>3377</v>
      </c>
    </row>
    <row r="929" spans="1:11" x14ac:dyDescent="0.35">
      <c r="A929" s="277">
        <f>A926+1</f>
        <v>133</v>
      </c>
      <c r="B929" s="277">
        <v>2223</v>
      </c>
      <c r="C929" s="286" t="s">
        <v>404</v>
      </c>
      <c r="D929" s="287">
        <v>4630</v>
      </c>
      <c r="E929" s="287" t="s">
        <v>74</v>
      </c>
      <c r="F929" s="304">
        <v>5</v>
      </c>
      <c r="G929" s="277" t="s">
        <v>71</v>
      </c>
      <c r="H929" s="136" t="s">
        <v>72</v>
      </c>
      <c r="I929" s="137">
        <f>I930+I931</f>
        <v>4169451.01</v>
      </c>
      <c r="J929" s="137">
        <f>J930+J931</f>
        <v>900.53</v>
      </c>
      <c r="K929" s="137">
        <f>K930+K931</f>
        <v>2936</v>
      </c>
    </row>
    <row r="930" spans="1:11" ht="46.5" x14ac:dyDescent="0.35">
      <c r="A930" s="277">
        <v>75</v>
      </c>
      <c r="B930" s="277"/>
      <c r="C930" s="286"/>
      <c r="D930" s="287"/>
      <c r="E930" s="287"/>
      <c r="F930" s="304"/>
      <c r="G930" s="277"/>
      <c r="H930" s="136" t="s">
        <v>673</v>
      </c>
      <c r="I930" s="137">
        <f>258953.01+D929*13</f>
        <v>319143.01</v>
      </c>
      <c r="J930" s="137">
        <f>I930/D929</f>
        <v>68.930000000000007</v>
      </c>
      <c r="K930" s="137">
        <f>151+13</f>
        <v>164</v>
      </c>
    </row>
    <row r="931" spans="1:11" x14ac:dyDescent="0.35">
      <c r="A931" s="277">
        <v>77</v>
      </c>
      <c r="B931" s="277"/>
      <c r="C931" s="286"/>
      <c r="D931" s="287"/>
      <c r="E931" s="287"/>
      <c r="F931" s="304"/>
      <c r="G931" s="277"/>
      <c r="H931" s="136" t="s">
        <v>73</v>
      </c>
      <c r="I931" s="137">
        <f>K931*D929*0.3</f>
        <v>3850308</v>
      </c>
      <c r="J931" s="137">
        <f>I931/D929</f>
        <v>831.6</v>
      </c>
      <c r="K931" s="137">
        <v>2772</v>
      </c>
    </row>
    <row r="932" spans="1:11" x14ac:dyDescent="0.35">
      <c r="A932" s="277">
        <f>A929+1</f>
        <v>134</v>
      </c>
      <c r="B932" s="277">
        <v>2103</v>
      </c>
      <c r="C932" s="286" t="s">
        <v>405</v>
      </c>
      <c r="D932" s="287">
        <v>3273.5</v>
      </c>
      <c r="E932" s="287" t="s">
        <v>74</v>
      </c>
      <c r="F932" s="304">
        <v>5</v>
      </c>
      <c r="G932" s="277" t="s">
        <v>71</v>
      </c>
      <c r="H932" s="136" t="s">
        <v>72</v>
      </c>
      <c r="I932" s="137">
        <f>I933+I934</f>
        <v>3159344.49</v>
      </c>
      <c r="J932" s="137">
        <f>J933+J934</f>
        <v>965.13</v>
      </c>
      <c r="K932" s="137">
        <f>K933+K934</f>
        <v>3523</v>
      </c>
    </row>
    <row r="933" spans="1:11" ht="62" x14ac:dyDescent="0.35">
      <c r="A933" s="277">
        <v>75</v>
      </c>
      <c r="B933" s="277"/>
      <c r="C933" s="286"/>
      <c r="D933" s="287"/>
      <c r="E933" s="287"/>
      <c r="F933" s="304"/>
      <c r="G933" s="277"/>
      <c r="H933" s="136" t="s">
        <v>761</v>
      </c>
      <c r="I933" s="137">
        <f>297067.5+D932*11</f>
        <v>333076</v>
      </c>
      <c r="J933" s="137">
        <f>I933/D932</f>
        <v>101.75</v>
      </c>
      <c r="K933" s="137">
        <f>135+11</f>
        <v>146</v>
      </c>
    </row>
    <row r="934" spans="1:11" ht="31" x14ac:dyDescent="0.35">
      <c r="A934" s="277">
        <v>77</v>
      </c>
      <c r="B934" s="277"/>
      <c r="C934" s="286"/>
      <c r="D934" s="287"/>
      <c r="E934" s="287"/>
      <c r="F934" s="304"/>
      <c r="G934" s="277"/>
      <c r="H934" s="136" t="s">
        <v>85</v>
      </c>
      <c r="I934" s="137">
        <f>9420894.95*0.3</f>
        <v>2826268.49</v>
      </c>
      <c r="J934" s="137">
        <f>I934/D932</f>
        <v>863.38</v>
      </c>
      <c r="K934" s="137">
        <v>3377</v>
      </c>
    </row>
    <row r="935" spans="1:11" x14ac:dyDescent="0.35">
      <c r="A935" s="277">
        <f>A932+1</f>
        <v>135</v>
      </c>
      <c r="B935" s="277">
        <v>2367</v>
      </c>
      <c r="C935" s="286" t="s">
        <v>406</v>
      </c>
      <c r="D935" s="287">
        <v>1819.1</v>
      </c>
      <c r="E935" s="287" t="s">
        <v>74</v>
      </c>
      <c r="F935" s="304">
        <v>5</v>
      </c>
      <c r="G935" s="277" t="s">
        <v>83</v>
      </c>
      <c r="H935" s="136" t="s">
        <v>72</v>
      </c>
      <c r="I935" s="137">
        <f>I936+I937</f>
        <v>468192.44</v>
      </c>
      <c r="J935" s="137">
        <f>J936+J937</f>
        <v>257.38</v>
      </c>
      <c r="K935" s="137">
        <f>K936+K937</f>
        <v>277</v>
      </c>
    </row>
    <row r="936" spans="1:11" x14ac:dyDescent="0.35">
      <c r="A936" s="277"/>
      <c r="B936" s="277"/>
      <c r="C936" s="286"/>
      <c r="D936" s="287"/>
      <c r="E936" s="287"/>
      <c r="F936" s="304"/>
      <c r="G936" s="277"/>
      <c r="H936" s="136" t="s">
        <v>73</v>
      </c>
      <c r="I936" s="137">
        <v>466373.34</v>
      </c>
      <c r="J936" s="137">
        <f>I936/D935</f>
        <v>256.38</v>
      </c>
      <c r="K936" s="137">
        <v>271</v>
      </c>
    </row>
    <row r="937" spans="1:11" x14ac:dyDescent="0.35">
      <c r="A937" s="277"/>
      <c r="B937" s="277"/>
      <c r="C937" s="286"/>
      <c r="D937" s="287"/>
      <c r="E937" s="287"/>
      <c r="F937" s="304"/>
      <c r="G937" s="277"/>
      <c r="H937" s="136" t="s">
        <v>75</v>
      </c>
      <c r="I937" s="137">
        <v>1819.1</v>
      </c>
      <c r="J937" s="137">
        <f>I937/D935</f>
        <v>1</v>
      </c>
      <c r="K937" s="137">
        <v>6</v>
      </c>
    </row>
    <row r="938" spans="1:11" x14ac:dyDescent="0.35">
      <c r="A938" s="270">
        <f>A935+1</f>
        <v>136</v>
      </c>
      <c r="B938" s="270">
        <v>2368</v>
      </c>
      <c r="C938" s="278" t="s">
        <v>407</v>
      </c>
      <c r="D938" s="287">
        <v>4326</v>
      </c>
      <c r="E938" s="273" t="s">
        <v>74</v>
      </c>
      <c r="F938" s="282">
        <v>5</v>
      </c>
      <c r="G938" s="270" t="s">
        <v>71</v>
      </c>
      <c r="H938" s="136" t="s">
        <v>72</v>
      </c>
      <c r="I938" s="137">
        <f>I939+I940</f>
        <v>4603652.2300000004</v>
      </c>
      <c r="J938" s="137">
        <f>J939+J940</f>
        <v>1064.18</v>
      </c>
      <c r="K938" s="137">
        <f>K939+K940</f>
        <v>3523</v>
      </c>
    </row>
    <row r="939" spans="1:11" ht="62" x14ac:dyDescent="0.35">
      <c r="A939" s="271">
        <v>75</v>
      </c>
      <c r="B939" s="271"/>
      <c r="C939" s="279"/>
      <c r="D939" s="287"/>
      <c r="E939" s="274"/>
      <c r="F939" s="283"/>
      <c r="G939" s="271"/>
      <c r="H939" s="136" t="s">
        <v>761</v>
      </c>
      <c r="I939" s="137">
        <f>400041.88+D938*11</f>
        <v>447627.88</v>
      </c>
      <c r="J939" s="137">
        <f>I939/D938</f>
        <v>103.47</v>
      </c>
      <c r="K939" s="137">
        <f>135+11</f>
        <v>146</v>
      </c>
    </row>
    <row r="940" spans="1:11" ht="31" x14ac:dyDescent="0.35">
      <c r="A940" s="272"/>
      <c r="B940" s="272"/>
      <c r="C940" s="285"/>
      <c r="D940" s="287"/>
      <c r="E940" s="275"/>
      <c r="F940" s="284"/>
      <c r="G940" s="272"/>
      <c r="H940" s="136" t="s">
        <v>85</v>
      </c>
      <c r="I940" s="137">
        <f>13853414.49*0.3</f>
        <v>4156024.35</v>
      </c>
      <c r="J940" s="137">
        <f>I940/D938</f>
        <v>960.71</v>
      </c>
      <c r="K940" s="137">
        <v>3377</v>
      </c>
    </row>
    <row r="941" spans="1:11" x14ac:dyDescent="0.35">
      <c r="A941" s="277">
        <f>A938+1</f>
        <v>137</v>
      </c>
      <c r="B941" s="277">
        <v>2486</v>
      </c>
      <c r="C941" s="286" t="s">
        <v>408</v>
      </c>
      <c r="D941" s="287">
        <v>1314</v>
      </c>
      <c r="E941" s="287" t="s">
        <v>74</v>
      </c>
      <c r="F941" s="304">
        <v>4</v>
      </c>
      <c r="G941" s="277" t="s">
        <v>86</v>
      </c>
      <c r="H941" s="136" t="s">
        <v>72</v>
      </c>
      <c r="I941" s="137">
        <f>I942+I943</f>
        <v>457100.01</v>
      </c>
      <c r="J941" s="137">
        <f>J942+J943</f>
        <v>347.87</v>
      </c>
      <c r="K941" s="137">
        <f>K942+K943</f>
        <v>596</v>
      </c>
    </row>
    <row r="942" spans="1:11" x14ac:dyDescent="0.35">
      <c r="A942" s="277">
        <v>75</v>
      </c>
      <c r="B942" s="277"/>
      <c r="C942" s="286"/>
      <c r="D942" s="287"/>
      <c r="E942" s="287"/>
      <c r="F942" s="304"/>
      <c r="G942" s="277"/>
      <c r="H942" s="136" t="s">
        <v>73</v>
      </c>
      <c r="I942" s="137">
        <v>449216.01</v>
      </c>
      <c r="J942" s="137">
        <f>I942/D941</f>
        <v>341.87</v>
      </c>
      <c r="K942" s="137">
        <v>584</v>
      </c>
    </row>
    <row r="943" spans="1:11" x14ac:dyDescent="0.35">
      <c r="A943" s="277">
        <v>76</v>
      </c>
      <c r="B943" s="277"/>
      <c r="C943" s="286"/>
      <c r="D943" s="287"/>
      <c r="E943" s="287"/>
      <c r="F943" s="304"/>
      <c r="G943" s="277"/>
      <c r="H943" s="136" t="s">
        <v>75</v>
      </c>
      <c r="I943" s="137">
        <v>7884</v>
      </c>
      <c r="J943" s="137">
        <f>I943/D941</f>
        <v>6</v>
      </c>
      <c r="K943" s="137">
        <v>12</v>
      </c>
    </row>
    <row r="944" spans="1:11" x14ac:dyDescent="0.35">
      <c r="A944" s="277">
        <f>A941+1</f>
        <v>138</v>
      </c>
      <c r="B944" s="277">
        <v>2236</v>
      </c>
      <c r="C944" s="286" t="s">
        <v>409</v>
      </c>
      <c r="D944" s="287">
        <v>1767.2</v>
      </c>
      <c r="E944" s="287" t="s">
        <v>74</v>
      </c>
      <c r="F944" s="304">
        <v>6</v>
      </c>
      <c r="G944" s="277" t="s">
        <v>76</v>
      </c>
      <c r="H944" s="136" t="s">
        <v>72</v>
      </c>
      <c r="I944" s="137">
        <f>I945</f>
        <v>206762.4</v>
      </c>
      <c r="J944" s="137">
        <f>J945</f>
        <v>117</v>
      </c>
      <c r="K944" s="137">
        <f>K945</f>
        <v>117</v>
      </c>
    </row>
    <row r="945" spans="1:11" ht="46.5" x14ac:dyDescent="0.35">
      <c r="A945" s="277">
        <v>75</v>
      </c>
      <c r="B945" s="277"/>
      <c r="C945" s="286"/>
      <c r="D945" s="287"/>
      <c r="E945" s="287"/>
      <c r="F945" s="304"/>
      <c r="G945" s="277"/>
      <c r="H945" s="136" t="s">
        <v>634</v>
      </c>
      <c r="I945" s="137">
        <f>D944*K945</f>
        <v>206762.4</v>
      </c>
      <c r="J945" s="137">
        <f>I945/D944</f>
        <v>117</v>
      </c>
      <c r="K945" s="137">
        <f>108+9</f>
        <v>117</v>
      </c>
    </row>
    <row r="946" spans="1:11" x14ac:dyDescent="0.35">
      <c r="A946" s="277">
        <f>A944+1</f>
        <v>139</v>
      </c>
      <c r="B946" s="277">
        <v>2488</v>
      </c>
      <c r="C946" s="286" t="s">
        <v>410</v>
      </c>
      <c r="D946" s="287">
        <v>5037.5</v>
      </c>
      <c r="E946" s="287" t="s">
        <v>74</v>
      </c>
      <c r="F946" s="304">
        <v>10</v>
      </c>
      <c r="G946" s="146"/>
      <c r="H946" s="136" t="s">
        <v>72</v>
      </c>
      <c r="I946" s="137">
        <f>I947+I948+I949+I950+I951+I952</f>
        <v>3454215</v>
      </c>
      <c r="J946" s="137">
        <f>J947+J948+J949+J950+J951+J952</f>
        <v>685.7</v>
      </c>
      <c r="K946" s="137">
        <f>K947+K948+K949+K950+K951+K952</f>
        <v>702.72</v>
      </c>
    </row>
    <row r="947" spans="1:11" ht="46.5" x14ac:dyDescent="0.35">
      <c r="A947" s="277"/>
      <c r="B947" s="277"/>
      <c r="C947" s="286"/>
      <c r="D947" s="287"/>
      <c r="E947" s="287"/>
      <c r="F947" s="304"/>
      <c r="G947" s="270" t="s">
        <v>641</v>
      </c>
      <c r="H947" s="136" t="s">
        <v>634</v>
      </c>
      <c r="I947" s="137">
        <v>0</v>
      </c>
      <c r="J947" s="137">
        <v>0</v>
      </c>
      <c r="K947" s="137">
        <f>24580/D946</f>
        <v>4.88</v>
      </c>
    </row>
    <row r="948" spans="1:11" x14ac:dyDescent="0.35">
      <c r="A948" s="277"/>
      <c r="B948" s="277"/>
      <c r="C948" s="286"/>
      <c r="D948" s="287"/>
      <c r="E948" s="287"/>
      <c r="F948" s="304"/>
      <c r="G948" s="271"/>
      <c r="H948" s="136" t="s">
        <v>642</v>
      </c>
      <c r="I948" s="137">
        <v>1708823</v>
      </c>
      <c r="J948" s="137">
        <f>I948/D946</f>
        <v>339.22</v>
      </c>
      <c r="K948" s="137">
        <f>1708823/D946</f>
        <v>339.22</v>
      </c>
    </row>
    <row r="949" spans="1:11" x14ac:dyDescent="0.35">
      <c r="A949" s="277"/>
      <c r="B949" s="277"/>
      <c r="C949" s="286"/>
      <c r="D949" s="287"/>
      <c r="E949" s="287"/>
      <c r="F949" s="304"/>
      <c r="G949" s="272"/>
      <c r="H949" s="136" t="s">
        <v>75</v>
      </c>
      <c r="I949" s="137">
        <v>18284.5</v>
      </c>
      <c r="J949" s="137">
        <f>I949/D946</f>
        <v>3.63</v>
      </c>
      <c r="K949" s="137">
        <f>36569/D946</f>
        <v>7.26</v>
      </c>
    </row>
    <row r="950" spans="1:11" ht="61" customHeight="1" x14ac:dyDescent="0.35">
      <c r="A950" s="277"/>
      <c r="B950" s="277"/>
      <c r="C950" s="286"/>
      <c r="D950" s="287"/>
      <c r="E950" s="287"/>
      <c r="F950" s="304"/>
      <c r="G950" s="270" t="s">
        <v>647</v>
      </c>
      <c r="H950" s="136" t="s">
        <v>634</v>
      </c>
      <c r="I950" s="137">
        <v>0</v>
      </c>
      <c r="J950" s="137">
        <v>0</v>
      </c>
      <c r="K950" s="137">
        <f>24580/D946</f>
        <v>4.88</v>
      </c>
    </row>
    <row r="951" spans="1:11" x14ac:dyDescent="0.35">
      <c r="A951" s="277"/>
      <c r="B951" s="277"/>
      <c r="C951" s="286"/>
      <c r="D951" s="287"/>
      <c r="E951" s="287"/>
      <c r="F951" s="304"/>
      <c r="G951" s="271"/>
      <c r="H951" s="136" t="s">
        <v>642</v>
      </c>
      <c r="I951" s="137">
        <v>1708823</v>
      </c>
      <c r="J951" s="137">
        <f>I951/D946</f>
        <v>339.22</v>
      </c>
      <c r="K951" s="137">
        <f>1708823/D946</f>
        <v>339.22</v>
      </c>
    </row>
    <row r="952" spans="1:11" x14ac:dyDescent="0.35">
      <c r="A952" s="277"/>
      <c r="B952" s="277"/>
      <c r="C952" s="286"/>
      <c r="D952" s="287"/>
      <c r="E952" s="287"/>
      <c r="F952" s="304"/>
      <c r="G952" s="272"/>
      <c r="H952" s="136" t="s">
        <v>75</v>
      </c>
      <c r="I952" s="137">
        <v>18284.5</v>
      </c>
      <c r="J952" s="137">
        <f>I952/D946</f>
        <v>3.63</v>
      </c>
      <c r="K952" s="137">
        <f>36569/D946</f>
        <v>7.26</v>
      </c>
    </row>
    <row r="953" spans="1:11" x14ac:dyDescent="0.35">
      <c r="A953" s="277">
        <f>A946+1</f>
        <v>140</v>
      </c>
      <c r="B953" s="277">
        <v>2138</v>
      </c>
      <c r="C953" s="286" t="s">
        <v>411</v>
      </c>
      <c r="D953" s="287">
        <v>6167</v>
      </c>
      <c r="E953" s="287" t="s">
        <v>70</v>
      </c>
      <c r="F953" s="304">
        <v>10</v>
      </c>
      <c r="G953" s="146"/>
      <c r="H953" s="136" t="s">
        <v>72</v>
      </c>
      <c r="I953" s="137">
        <f>I954+I955+I956+I957+I958+I959+I960+I961+I962+I963+I964+I965</f>
        <v>6849690</v>
      </c>
      <c r="J953" s="137">
        <f>J954+J955+J956+J957+J958+J959+J960+J961+J962+J963+J964+J965</f>
        <v>1110.7</v>
      </c>
      <c r="K953" s="137">
        <f>K954+K955+K956+K957+K958+K959+K960+K961+K962+K963+K964+K965</f>
        <v>1148.03</v>
      </c>
    </row>
    <row r="954" spans="1:11" ht="55" customHeight="1" x14ac:dyDescent="0.35">
      <c r="A954" s="277"/>
      <c r="B954" s="277"/>
      <c r="C954" s="286"/>
      <c r="D954" s="287"/>
      <c r="E954" s="287"/>
      <c r="F954" s="304"/>
      <c r="G954" s="270" t="s">
        <v>641</v>
      </c>
      <c r="H954" s="136" t="s">
        <v>634</v>
      </c>
      <c r="I954" s="137">
        <v>0</v>
      </c>
      <c r="J954" s="137">
        <v>0</v>
      </c>
      <c r="K954" s="137">
        <f>24580/D953</f>
        <v>3.99</v>
      </c>
    </row>
    <row r="955" spans="1:11" x14ac:dyDescent="0.35">
      <c r="A955" s="277">
        <v>756</v>
      </c>
      <c r="B955" s="277"/>
      <c r="C955" s="286"/>
      <c r="D955" s="287"/>
      <c r="E955" s="287"/>
      <c r="F955" s="304"/>
      <c r="G955" s="271"/>
      <c r="H955" s="136" t="s">
        <v>642</v>
      </c>
      <c r="I955" s="137">
        <v>1694138</v>
      </c>
      <c r="J955" s="137">
        <f>I955/D953</f>
        <v>274.70999999999998</v>
      </c>
      <c r="K955" s="137">
        <f>1708823/D953</f>
        <v>277.08999999999997</v>
      </c>
    </row>
    <row r="956" spans="1:11" x14ac:dyDescent="0.35">
      <c r="A956" s="277">
        <v>757</v>
      </c>
      <c r="B956" s="277"/>
      <c r="C956" s="286"/>
      <c r="D956" s="287"/>
      <c r="E956" s="287"/>
      <c r="F956" s="304"/>
      <c r="G956" s="272"/>
      <c r="H956" s="136" t="s">
        <v>75</v>
      </c>
      <c r="I956" s="137">
        <v>18284.5</v>
      </c>
      <c r="J956" s="137">
        <f>I956/D953</f>
        <v>2.96</v>
      </c>
      <c r="K956" s="137">
        <f>36569/D953-0.01</f>
        <v>5.92</v>
      </c>
    </row>
    <row r="957" spans="1:11" ht="65" customHeight="1" x14ac:dyDescent="0.35">
      <c r="A957" s="277"/>
      <c r="B957" s="277"/>
      <c r="C957" s="286"/>
      <c r="D957" s="287"/>
      <c r="E957" s="287"/>
      <c r="F957" s="304"/>
      <c r="G957" s="270" t="s">
        <v>647</v>
      </c>
      <c r="H957" s="136" t="s">
        <v>634</v>
      </c>
      <c r="I957" s="137">
        <v>0</v>
      </c>
      <c r="J957" s="137">
        <v>0</v>
      </c>
      <c r="K957" s="137">
        <f>24580/D953</f>
        <v>3.99</v>
      </c>
    </row>
    <row r="958" spans="1:11" x14ac:dyDescent="0.35">
      <c r="A958" s="277"/>
      <c r="B958" s="277"/>
      <c r="C958" s="286"/>
      <c r="D958" s="287"/>
      <c r="E958" s="287"/>
      <c r="F958" s="304"/>
      <c r="G958" s="271"/>
      <c r="H958" s="136" t="s">
        <v>642</v>
      </c>
      <c r="I958" s="137">
        <v>1694138</v>
      </c>
      <c r="J958" s="137">
        <f>I958/D953</f>
        <v>274.70999999999998</v>
      </c>
      <c r="K958" s="137">
        <f>1708823/D953</f>
        <v>277.08999999999997</v>
      </c>
    </row>
    <row r="959" spans="1:11" x14ac:dyDescent="0.35">
      <c r="A959" s="277"/>
      <c r="B959" s="277"/>
      <c r="C959" s="286"/>
      <c r="D959" s="287"/>
      <c r="E959" s="287"/>
      <c r="F959" s="304"/>
      <c r="G959" s="272"/>
      <c r="H959" s="136" t="s">
        <v>75</v>
      </c>
      <c r="I959" s="137">
        <v>18284.5</v>
      </c>
      <c r="J959" s="137">
        <f>I959/D953+0.01</f>
        <v>2.97</v>
      </c>
      <c r="K959" s="137">
        <f>36569/D953</f>
        <v>5.93</v>
      </c>
    </row>
    <row r="960" spans="1:11" ht="61.5" customHeight="1" x14ac:dyDescent="0.35">
      <c r="A960" s="277"/>
      <c r="B960" s="277"/>
      <c r="C960" s="286"/>
      <c r="D960" s="287"/>
      <c r="E960" s="287"/>
      <c r="F960" s="304"/>
      <c r="G960" s="270" t="s">
        <v>648</v>
      </c>
      <c r="H960" s="136" t="s">
        <v>634</v>
      </c>
      <c r="I960" s="137">
        <v>0</v>
      </c>
      <c r="J960" s="137">
        <v>0</v>
      </c>
      <c r="K960" s="137">
        <f>24580/D953</f>
        <v>3.99</v>
      </c>
    </row>
    <row r="961" spans="1:11" x14ac:dyDescent="0.35">
      <c r="A961" s="277"/>
      <c r="B961" s="277"/>
      <c r="C961" s="286"/>
      <c r="D961" s="287"/>
      <c r="E961" s="287"/>
      <c r="F961" s="304"/>
      <c r="G961" s="271"/>
      <c r="H961" s="136" t="s">
        <v>642</v>
      </c>
      <c r="I961" s="137">
        <v>1694138</v>
      </c>
      <c r="J961" s="137">
        <f>I961/D953</f>
        <v>274.70999999999998</v>
      </c>
      <c r="K961" s="137">
        <f>1708823/D953</f>
        <v>277.08999999999997</v>
      </c>
    </row>
    <row r="962" spans="1:11" x14ac:dyDescent="0.35">
      <c r="A962" s="277"/>
      <c r="B962" s="277"/>
      <c r="C962" s="286"/>
      <c r="D962" s="287"/>
      <c r="E962" s="287"/>
      <c r="F962" s="304"/>
      <c r="G962" s="272"/>
      <c r="H962" s="136" t="s">
        <v>75</v>
      </c>
      <c r="I962" s="137">
        <v>18284.5</v>
      </c>
      <c r="J962" s="137">
        <f>I962/D953+0.01</f>
        <v>2.97</v>
      </c>
      <c r="K962" s="137">
        <f>36569/D953</f>
        <v>5.93</v>
      </c>
    </row>
    <row r="963" spans="1:11" ht="59.5" customHeight="1" x14ac:dyDescent="0.35">
      <c r="A963" s="277"/>
      <c r="B963" s="277"/>
      <c r="C963" s="286"/>
      <c r="D963" s="287"/>
      <c r="E963" s="287"/>
      <c r="F963" s="304"/>
      <c r="G963" s="270" t="s">
        <v>649</v>
      </c>
      <c r="H963" s="136" t="s">
        <v>634</v>
      </c>
      <c r="I963" s="137">
        <v>0</v>
      </c>
      <c r="J963" s="137">
        <v>0</v>
      </c>
      <c r="K963" s="137">
        <f>24580/D953</f>
        <v>3.99</v>
      </c>
    </row>
    <row r="964" spans="1:11" x14ac:dyDescent="0.35">
      <c r="A964" s="277"/>
      <c r="B964" s="277"/>
      <c r="C964" s="286"/>
      <c r="D964" s="287"/>
      <c r="E964" s="287"/>
      <c r="F964" s="304"/>
      <c r="G964" s="271"/>
      <c r="H964" s="136" t="s">
        <v>642</v>
      </c>
      <c r="I964" s="137">
        <v>1694138</v>
      </c>
      <c r="J964" s="137">
        <f>I964/D953</f>
        <v>274.70999999999998</v>
      </c>
      <c r="K964" s="137">
        <f>1708823/D953</f>
        <v>277.08999999999997</v>
      </c>
    </row>
    <row r="965" spans="1:11" x14ac:dyDescent="0.35">
      <c r="A965" s="277"/>
      <c r="B965" s="277"/>
      <c r="C965" s="286"/>
      <c r="D965" s="287"/>
      <c r="E965" s="287"/>
      <c r="F965" s="304"/>
      <c r="G965" s="272"/>
      <c r="H965" s="136" t="s">
        <v>75</v>
      </c>
      <c r="I965" s="137">
        <v>18284.5</v>
      </c>
      <c r="J965" s="137">
        <f>I965/D953</f>
        <v>2.96</v>
      </c>
      <c r="K965" s="137">
        <f>36569/D953</f>
        <v>5.93</v>
      </c>
    </row>
    <row r="966" spans="1:11" x14ac:dyDescent="0.35">
      <c r="A966" s="277">
        <f>A953+1</f>
        <v>141</v>
      </c>
      <c r="B966" s="277">
        <v>8060</v>
      </c>
      <c r="C966" s="286" t="s">
        <v>412</v>
      </c>
      <c r="D966" s="287">
        <v>3009.11</v>
      </c>
      <c r="E966" s="287" t="s">
        <v>74</v>
      </c>
      <c r="F966" s="304">
        <v>9</v>
      </c>
      <c r="G966" s="146"/>
      <c r="H966" s="136" t="s">
        <v>72</v>
      </c>
      <c r="I966" s="137">
        <f>I967+I968+I969</f>
        <v>1718556.24</v>
      </c>
      <c r="J966" s="137">
        <f>J967+J968+J969</f>
        <v>571.12</v>
      </c>
      <c r="K966" s="137">
        <f>K967+K968+K969</f>
        <v>588.20000000000005</v>
      </c>
    </row>
    <row r="967" spans="1:11" ht="46.5" x14ac:dyDescent="0.35">
      <c r="A967" s="277"/>
      <c r="B967" s="277"/>
      <c r="C967" s="286"/>
      <c r="D967" s="287"/>
      <c r="E967" s="287"/>
      <c r="F967" s="304"/>
      <c r="G967" s="270" t="s">
        <v>641</v>
      </c>
      <c r="H967" s="136" t="s">
        <v>634</v>
      </c>
      <c r="I967" s="137">
        <v>0</v>
      </c>
      <c r="J967" s="137">
        <v>0</v>
      </c>
      <c r="K967" s="137">
        <f>24580/D966</f>
        <v>8.17</v>
      </c>
    </row>
    <row r="968" spans="1:11" x14ac:dyDescent="0.35">
      <c r="A968" s="277">
        <v>756</v>
      </c>
      <c r="B968" s="277"/>
      <c r="C968" s="286"/>
      <c r="D968" s="287"/>
      <c r="E968" s="287"/>
      <c r="F968" s="304"/>
      <c r="G968" s="271"/>
      <c r="H968" s="136" t="s">
        <v>642</v>
      </c>
      <c r="I968" s="137">
        <v>1700271.74</v>
      </c>
      <c r="J968" s="137">
        <f>I968/D966</f>
        <v>565.04</v>
      </c>
      <c r="K968" s="137">
        <f>1708823/D966</f>
        <v>567.88</v>
      </c>
    </row>
    <row r="969" spans="1:11" x14ac:dyDescent="0.35">
      <c r="A969" s="277">
        <v>757</v>
      </c>
      <c r="B969" s="277"/>
      <c r="C969" s="286"/>
      <c r="D969" s="287"/>
      <c r="E969" s="287"/>
      <c r="F969" s="304"/>
      <c r="G969" s="272"/>
      <c r="H969" s="136" t="s">
        <v>75</v>
      </c>
      <c r="I969" s="137">
        <v>18284.5</v>
      </c>
      <c r="J969" s="137">
        <f>I969/D966</f>
        <v>6.08</v>
      </c>
      <c r="K969" s="137">
        <f>36569/D966</f>
        <v>12.15</v>
      </c>
    </row>
    <row r="970" spans="1:11" x14ac:dyDescent="0.35">
      <c r="A970" s="270">
        <f>A966+1</f>
        <v>142</v>
      </c>
      <c r="B970" s="270">
        <v>2654</v>
      </c>
      <c r="C970" s="278" t="s">
        <v>413</v>
      </c>
      <c r="D970" s="273">
        <v>619.4</v>
      </c>
      <c r="E970" s="273" t="s">
        <v>633</v>
      </c>
      <c r="F970" s="282">
        <v>2</v>
      </c>
      <c r="G970" s="165"/>
      <c r="H970" s="136" t="s">
        <v>72</v>
      </c>
      <c r="I970" s="137">
        <f>I971+I972+I973+I974+I975+I976+I977+I978</f>
        <v>2213895.79</v>
      </c>
      <c r="J970" s="137">
        <f>J971+J972+J973+J974+J975+J976+J977+J978</f>
        <v>3574.26</v>
      </c>
      <c r="K970" s="137">
        <f>K971+K972+K973+K974+K975+K976+K977+K978</f>
        <v>7245</v>
      </c>
    </row>
    <row r="971" spans="1:11" x14ac:dyDescent="0.35">
      <c r="A971" s="271"/>
      <c r="B971" s="271"/>
      <c r="C971" s="279"/>
      <c r="D971" s="274"/>
      <c r="E971" s="274"/>
      <c r="F971" s="283"/>
      <c r="G971" s="270" t="s">
        <v>76</v>
      </c>
      <c r="H971" s="136" t="s">
        <v>73</v>
      </c>
      <c r="I971" s="137">
        <v>868885.26</v>
      </c>
      <c r="J971" s="137">
        <f>I971/D970</f>
        <v>1402.79</v>
      </c>
      <c r="K971" s="137">
        <v>2691</v>
      </c>
    </row>
    <row r="972" spans="1:11" x14ac:dyDescent="0.35">
      <c r="A972" s="271"/>
      <c r="B972" s="271"/>
      <c r="C972" s="279"/>
      <c r="D972" s="274"/>
      <c r="E972" s="274"/>
      <c r="F972" s="283"/>
      <c r="G972" s="272"/>
      <c r="H972" s="136" t="s">
        <v>75</v>
      </c>
      <c r="I972" s="137">
        <v>9291</v>
      </c>
      <c r="J972" s="137">
        <f>I972/D970</f>
        <v>15</v>
      </c>
      <c r="K972" s="137">
        <v>58</v>
      </c>
    </row>
    <row r="973" spans="1:11" x14ac:dyDescent="0.35">
      <c r="A973" s="271"/>
      <c r="B973" s="271"/>
      <c r="C973" s="279"/>
      <c r="D973" s="274"/>
      <c r="E973" s="274"/>
      <c r="F973" s="283"/>
      <c r="G973" s="277" t="s">
        <v>77</v>
      </c>
      <c r="H973" s="136" t="s">
        <v>73</v>
      </c>
      <c r="I973" s="137">
        <v>176633.21</v>
      </c>
      <c r="J973" s="137">
        <f>I973/D970</f>
        <v>285.17</v>
      </c>
      <c r="K973" s="137">
        <v>452</v>
      </c>
    </row>
    <row r="974" spans="1:11" x14ac:dyDescent="0.35">
      <c r="A974" s="271"/>
      <c r="B974" s="271"/>
      <c r="C974" s="279"/>
      <c r="D974" s="274"/>
      <c r="E974" s="274"/>
      <c r="F974" s="283"/>
      <c r="G974" s="277"/>
      <c r="H974" s="136" t="s">
        <v>75</v>
      </c>
      <c r="I974" s="137">
        <v>4295.3999999999996</v>
      </c>
      <c r="J974" s="137">
        <f>I974/D970</f>
        <v>6.93</v>
      </c>
      <c r="K974" s="137">
        <v>10</v>
      </c>
    </row>
    <row r="975" spans="1:11" x14ac:dyDescent="0.35">
      <c r="A975" s="271"/>
      <c r="B975" s="271"/>
      <c r="C975" s="279"/>
      <c r="D975" s="274"/>
      <c r="E975" s="274"/>
      <c r="F975" s="283"/>
      <c r="G975" s="277" t="s">
        <v>78</v>
      </c>
      <c r="H975" s="136" t="s">
        <v>73</v>
      </c>
      <c r="I975" s="137">
        <v>226950.04</v>
      </c>
      <c r="J975" s="137">
        <f>I975/D970</f>
        <v>366.4</v>
      </c>
      <c r="K975" s="137">
        <v>422</v>
      </c>
    </row>
    <row r="976" spans="1:11" x14ac:dyDescent="0.35">
      <c r="A976" s="271"/>
      <c r="B976" s="271"/>
      <c r="C976" s="279"/>
      <c r="D976" s="274"/>
      <c r="E976" s="274"/>
      <c r="F976" s="283"/>
      <c r="G976" s="277"/>
      <c r="H976" s="136" t="s">
        <v>75</v>
      </c>
      <c r="I976" s="137">
        <v>5519.01</v>
      </c>
      <c r="J976" s="137">
        <f>I976/D970</f>
        <v>8.91</v>
      </c>
      <c r="K976" s="137">
        <v>9</v>
      </c>
    </row>
    <row r="977" spans="1:11" x14ac:dyDescent="0.35">
      <c r="A977" s="271"/>
      <c r="B977" s="271"/>
      <c r="C977" s="279"/>
      <c r="D977" s="274"/>
      <c r="E977" s="274"/>
      <c r="F977" s="283"/>
      <c r="G977" s="277" t="s">
        <v>668</v>
      </c>
      <c r="H977" s="136" t="s">
        <v>656</v>
      </c>
      <c r="I977" s="137">
        <v>900425.17</v>
      </c>
      <c r="J977" s="137">
        <f>I977/D970</f>
        <v>1453.71</v>
      </c>
      <c r="K977" s="137">
        <f>1176*3</f>
        <v>3528</v>
      </c>
    </row>
    <row r="978" spans="1:11" ht="129" customHeight="1" x14ac:dyDescent="0.35">
      <c r="A978" s="272"/>
      <c r="B978" s="272"/>
      <c r="C978" s="285"/>
      <c r="D978" s="275"/>
      <c r="E978" s="275"/>
      <c r="F978" s="284"/>
      <c r="G978" s="277"/>
      <c r="H978" s="136" t="s">
        <v>75</v>
      </c>
      <c r="I978" s="137">
        <v>21896.7</v>
      </c>
      <c r="J978" s="137">
        <f>I978/D970</f>
        <v>35.35</v>
      </c>
      <c r="K978" s="137">
        <f>25*3</f>
        <v>75</v>
      </c>
    </row>
    <row r="979" spans="1:11" x14ac:dyDescent="0.35">
      <c r="A979" s="277">
        <f>A970+1</f>
        <v>143</v>
      </c>
      <c r="B979" s="277">
        <v>2247</v>
      </c>
      <c r="C979" s="286" t="s">
        <v>415</v>
      </c>
      <c r="D979" s="287">
        <v>8946.5</v>
      </c>
      <c r="E979" s="287" t="s">
        <v>70</v>
      </c>
      <c r="F979" s="304">
        <v>10</v>
      </c>
      <c r="G979" s="146"/>
      <c r="H979" s="136" t="s">
        <v>72</v>
      </c>
      <c r="I979" s="137">
        <f>I980+I981+I982+I983+I984+I985</f>
        <v>2635380.86</v>
      </c>
      <c r="J979" s="137">
        <f>J980+J981+J982+J983+J984+J985</f>
        <v>294.57</v>
      </c>
      <c r="K979" s="137">
        <f>K980+K981+K982+K983+K984+K985</f>
        <v>395.68</v>
      </c>
    </row>
    <row r="980" spans="1:11" ht="46.5" x14ac:dyDescent="0.35">
      <c r="A980" s="277"/>
      <c r="B980" s="277"/>
      <c r="C980" s="286"/>
      <c r="D980" s="287"/>
      <c r="E980" s="287"/>
      <c r="F980" s="304"/>
      <c r="G980" s="270" t="s">
        <v>641</v>
      </c>
      <c r="H980" s="136" t="s">
        <v>634</v>
      </c>
      <c r="I980" s="137">
        <v>0</v>
      </c>
      <c r="J980" s="137">
        <v>0</v>
      </c>
      <c r="K980" s="137">
        <f>24580/D979-0.01</f>
        <v>2.74</v>
      </c>
    </row>
    <row r="981" spans="1:11" x14ac:dyDescent="0.35">
      <c r="A981" s="277"/>
      <c r="B981" s="277"/>
      <c r="C981" s="286"/>
      <c r="D981" s="287"/>
      <c r="E981" s="287"/>
      <c r="F981" s="304"/>
      <c r="G981" s="271"/>
      <c r="H981" s="136" t="s">
        <v>642</v>
      </c>
      <c r="I981" s="137">
        <v>1299405.93</v>
      </c>
      <c r="J981" s="137">
        <f>I981/D979</f>
        <v>145.24</v>
      </c>
      <c r="K981" s="137">
        <f>1708823/D979+0.01</f>
        <v>191.01</v>
      </c>
    </row>
    <row r="982" spans="1:11" x14ac:dyDescent="0.35">
      <c r="A982" s="277"/>
      <c r="B982" s="277"/>
      <c r="C982" s="286"/>
      <c r="D982" s="287"/>
      <c r="E982" s="287"/>
      <c r="F982" s="304"/>
      <c r="G982" s="272"/>
      <c r="H982" s="136" t="s">
        <v>75</v>
      </c>
      <c r="I982" s="137">
        <v>18284.5</v>
      </c>
      <c r="J982" s="137">
        <f>I982/D979</f>
        <v>2.04</v>
      </c>
      <c r="K982" s="137">
        <f>36569/D979</f>
        <v>4.09</v>
      </c>
    </row>
    <row r="983" spans="1:11" ht="46.5" x14ac:dyDescent="0.35">
      <c r="A983" s="277"/>
      <c r="B983" s="277"/>
      <c r="C983" s="286"/>
      <c r="D983" s="287"/>
      <c r="E983" s="287"/>
      <c r="F983" s="304"/>
      <c r="G983" s="270" t="s">
        <v>647</v>
      </c>
      <c r="H983" s="136" t="s">
        <v>634</v>
      </c>
      <c r="I983" s="137">
        <v>0</v>
      </c>
      <c r="J983" s="137">
        <v>0</v>
      </c>
      <c r="K983" s="137">
        <f>24580/D979-0.01</f>
        <v>2.74</v>
      </c>
    </row>
    <row r="984" spans="1:11" x14ac:dyDescent="0.35">
      <c r="A984" s="277"/>
      <c r="B984" s="277"/>
      <c r="C984" s="286"/>
      <c r="D984" s="287"/>
      <c r="E984" s="287"/>
      <c r="F984" s="304"/>
      <c r="G984" s="271"/>
      <c r="H984" s="136" t="s">
        <v>642</v>
      </c>
      <c r="I984" s="137">
        <v>1299405.93</v>
      </c>
      <c r="J984" s="137">
        <f>I984/D979+0.01</f>
        <v>145.25</v>
      </c>
      <c r="K984" s="137">
        <f>1708823/D979+0.01</f>
        <v>191.01</v>
      </c>
    </row>
    <row r="985" spans="1:11" x14ac:dyDescent="0.35">
      <c r="A985" s="277"/>
      <c r="B985" s="277"/>
      <c r="C985" s="286"/>
      <c r="D985" s="287"/>
      <c r="E985" s="287"/>
      <c r="F985" s="304"/>
      <c r="G985" s="272"/>
      <c r="H985" s="136" t="s">
        <v>75</v>
      </c>
      <c r="I985" s="137">
        <v>18284.5</v>
      </c>
      <c r="J985" s="137">
        <f>I985/D979</f>
        <v>2.04</v>
      </c>
      <c r="K985" s="137">
        <f>36569/D979</f>
        <v>4.09</v>
      </c>
    </row>
    <row r="986" spans="1:11" x14ac:dyDescent="0.35">
      <c r="A986" s="277">
        <f>A979+1</f>
        <v>144</v>
      </c>
      <c r="B986" s="277">
        <v>2733</v>
      </c>
      <c r="C986" s="286" t="s">
        <v>417</v>
      </c>
      <c r="D986" s="287">
        <v>822.4</v>
      </c>
      <c r="E986" s="287" t="s">
        <v>74</v>
      </c>
      <c r="F986" s="304">
        <v>3</v>
      </c>
      <c r="G986" s="277" t="s">
        <v>71</v>
      </c>
      <c r="H986" s="136" t="s">
        <v>72</v>
      </c>
      <c r="I986" s="137">
        <f>I987+I988</f>
        <v>914508.80000000005</v>
      </c>
      <c r="J986" s="137">
        <f>J987+J988</f>
        <v>1112</v>
      </c>
      <c r="K986" s="137">
        <f>K987+K988</f>
        <v>1112</v>
      </c>
    </row>
    <row r="987" spans="1:11" ht="46.5" x14ac:dyDescent="0.35">
      <c r="A987" s="277"/>
      <c r="B987" s="277"/>
      <c r="C987" s="286"/>
      <c r="D987" s="287"/>
      <c r="E987" s="287"/>
      <c r="F987" s="304"/>
      <c r="G987" s="277"/>
      <c r="H987" s="136" t="s">
        <v>673</v>
      </c>
      <c r="I987" s="137">
        <f>D986*K987</f>
        <v>719600</v>
      </c>
      <c r="J987" s="137">
        <f>I987/D986</f>
        <v>875</v>
      </c>
      <c r="K987" s="137">
        <f>807+68</f>
        <v>875</v>
      </c>
    </row>
    <row r="988" spans="1:11" ht="31" x14ac:dyDescent="0.35">
      <c r="A988" s="277"/>
      <c r="B988" s="277"/>
      <c r="C988" s="286"/>
      <c r="D988" s="287"/>
      <c r="E988" s="287"/>
      <c r="F988" s="304"/>
      <c r="G988" s="277"/>
      <c r="H988" s="136" t="s">
        <v>666</v>
      </c>
      <c r="I988" s="137">
        <f>D986*K988</f>
        <v>194908.79999999999</v>
      </c>
      <c r="J988" s="137">
        <f>I988/D986</f>
        <v>237</v>
      </c>
      <c r="K988" s="137">
        <v>237</v>
      </c>
    </row>
    <row r="989" spans="1:11" x14ac:dyDescent="0.35">
      <c r="A989" s="277">
        <f>A986+1</f>
        <v>145</v>
      </c>
      <c r="B989" s="277">
        <v>2268</v>
      </c>
      <c r="C989" s="286" t="s">
        <v>418</v>
      </c>
      <c r="D989" s="287">
        <v>3547.2</v>
      </c>
      <c r="E989" s="287" t="s">
        <v>70</v>
      </c>
      <c r="F989" s="304">
        <v>5</v>
      </c>
      <c r="G989" s="277" t="s">
        <v>71</v>
      </c>
      <c r="H989" s="136" t="s">
        <v>72</v>
      </c>
      <c r="I989" s="137">
        <f>I990+I991</f>
        <v>3632456.97</v>
      </c>
      <c r="J989" s="137">
        <f>J990+J991</f>
        <v>1024.04</v>
      </c>
      <c r="K989" s="137">
        <f>K990+K991</f>
        <v>3523</v>
      </c>
    </row>
    <row r="990" spans="1:11" ht="74" customHeight="1" x14ac:dyDescent="0.35">
      <c r="A990" s="277">
        <v>75</v>
      </c>
      <c r="B990" s="277"/>
      <c r="C990" s="286"/>
      <c r="D990" s="287"/>
      <c r="E990" s="287"/>
      <c r="F990" s="304"/>
      <c r="G990" s="277"/>
      <c r="H990" s="136" t="s">
        <v>761</v>
      </c>
      <c r="I990" s="137">
        <v>504895.41</v>
      </c>
      <c r="J990" s="137">
        <f>I990/D989</f>
        <v>142.34</v>
      </c>
      <c r="K990" s="137">
        <f>135+11</f>
        <v>146</v>
      </c>
    </row>
    <row r="991" spans="1:11" ht="40.5" customHeight="1" x14ac:dyDescent="0.35">
      <c r="A991" s="277">
        <v>77</v>
      </c>
      <c r="B991" s="277"/>
      <c r="C991" s="286"/>
      <c r="D991" s="287"/>
      <c r="E991" s="287"/>
      <c r="F991" s="304"/>
      <c r="G991" s="277"/>
      <c r="H991" s="136" t="s">
        <v>85</v>
      </c>
      <c r="I991" s="137">
        <f>10425205.19*0.3</f>
        <v>3127561.56</v>
      </c>
      <c r="J991" s="137">
        <f>I991/D989</f>
        <v>881.7</v>
      </c>
      <c r="K991" s="137">
        <v>3377</v>
      </c>
    </row>
    <row r="992" spans="1:11" x14ac:dyDescent="0.35">
      <c r="A992" s="277">
        <f>A989+1</f>
        <v>146</v>
      </c>
      <c r="B992" s="277">
        <v>2269</v>
      </c>
      <c r="C992" s="286" t="s">
        <v>419</v>
      </c>
      <c r="D992" s="287">
        <v>3668.87</v>
      </c>
      <c r="E992" s="287" t="s">
        <v>70</v>
      </c>
      <c r="F992" s="304">
        <v>5</v>
      </c>
      <c r="G992" s="277" t="s">
        <v>71</v>
      </c>
      <c r="H992" s="136" t="s">
        <v>72</v>
      </c>
      <c r="I992" s="137">
        <f>I993+I994</f>
        <v>2503295.39</v>
      </c>
      <c r="J992" s="137">
        <f>J993+J994</f>
        <v>682.31</v>
      </c>
      <c r="K992" s="137">
        <f>K993+K994</f>
        <v>2936</v>
      </c>
    </row>
    <row r="993" spans="1:11" ht="54.5" customHeight="1" x14ac:dyDescent="0.35">
      <c r="A993" s="277">
        <v>75</v>
      </c>
      <c r="B993" s="277"/>
      <c r="C993" s="286"/>
      <c r="D993" s="287"/>
      <c r="E993" s="287"/>
      <c r="F993" s="304"/>
      <c r="G993" s="277"/>
      <c r="H993" s="136" t="s">
        <v>673</v>
      </c>
      <c r="I993" s="137">
        <v>225045.84</v>
      </c>
      <c r="J993" s="137">
        <f>I993/D992</f>
        <v>61.34</v>
      </c>
      <c r="K993" s="137">
        <f>151+13</f>
        <v>164</v>
      </c>
    </row>
    <row r="994" spans="1:11" x14ac:dyDescent="0.35">
      <c r="A994" s="277">
        <v>77</v>
      </c>
      <c r="B994" s="277"/>
      <c r="C994" s="286"/>
      <c r="D994" s="287"/>
      <c r="E994" s="287"/>
      <c r="F994" s="304"/>
      <c r="G994" s="277"/>
      <c r="H994" s="136" t="s">
        <v>73</v>
      </c>
      <c r="I994" s="137">
        <f>7594165.18*0.3</f>
        <v>2278249.5499999998</v>
      </c>
      <c r="J994" s="137">
        <f>I994/D992</f>
        <v>620.97</v>
      </c>
      <c r="K994" s="137">
        <v>2772</v>
      </c>
    </row>
    <row r="995" spans="1:11" x14ac:dyDescent="0.35">
      <c r="A995" s="277">
        <f>A992+1</f>
        <v>147</v>
      </c>
      <c r="B995" s="277">
        <v>2285</v>
      </c>
      <c r="C995" s="286" t="s">
        <v>421</v>
      </c>
      <c r="D995" s="287">
        <v>18629</v>
      </c>
      <c r="E995" s="287" t="s">
        <v>70</v>
      </c>
      <c r="F995" s="304">
        <v>10</v>
      </c>
      <c r="G995" s="146"/>
      <c r="H995" s="136" t="s">
        <v>72</v>
      </c>
      <c r="I995" s="137">
        <f>I996+I997+I998+I999+I1000+I1001+I1002+I1003+I1004+I1005+I1006+I1007</f>
        <v>6864616.1299999999</v>
      </c>
      <c r="J995" s="137">
        <f>J996+J997+J998+J999+J1000+J1001+J1002+J1003+J1004+J1005+J1006+J1007</f>
        <v>368.49</v>
      </c>
      <c r="K995" s="137">
        <f>K996+K997+K998+K999+K1000+K1001+K1002+K1003+K1004+K1005+K1006+K1007</f>
        <v>380.05</v>
      </c>
    </row>
    <row r="996" spans="1:11" ht="46.5" x14ac:dyDescent="0.35">
      <c r="A996" s="277"/>
      <c r="B996" s="277"/>
      <c r="C996" s="286"/>
      <c r="D996" s="287"/>
      <c r="E996" s="287"/>
      <c r="F996" s="304"/>
      <c r="G996" s="270" t="s">
        <v>646</v>
      </c>
      <c r="H996" s="136" t="s">
        <v>634</v>
      </c>
      <c r="I996" s="137">
        <v>0</v>
      </c>
      <c r="J996" s="137">
        <v>0</v>
      </c>
      <c r="K996" s="137">
        <f>24580/D995</f>
        <v>1.32</v>
      </c>
    </row>
    <row r="997" spans="1:11" ht="14" customHeight="1" x14ac:dyDescent="0.35">
      <c r="A997" s="277"/>
      <c r="B997" s="277"/>
      <c r="C997" s="286"/>
      <c r="D997" s="287"/>
      <c r="E997" s="287"/>
      <c r="F997" s="304"/>
      <c r="G997" s="271"/>
      <c r="H997" s="136" t="s">
        <v>642</v>
      </c>
      <c r="I997" s="137">
        <v>1697869.53</v>
      </c>
      <c r="J997" s="137">
        <f>I997/D995+0.01</f>
        <v>91.15</v>
      </c>
      <c r="K997" s="137">
        <f>1708823/D995+0.01</f>
        <v>91.74</v>
      </c>
    </row>
    <row r="998" spans="1:11" x14ac:dyDescent="0.35">
      <c r="A998" s="277"/>
      <c r="B998" s="277"/>
      <c r="C998" s="286"/>
      <c r="D998" s="287"/>
      <c r="E998" s="287"/>
      <c r="F998" s="304"/>
      <c r="G998" s="272"/>
      <c r="H998" s="136" t="s">
        <v>75</v>
      </c>
      <c r="I998" s="137">
        <v>18284.5</v>
      </c>
      <c r="J998" s="137">
        <f>I998/D995</f>
        <v>0.98</v>
      </c>
      <c r="K998" s="137">
        <f>36569/D995</f>
        <v>1.96</v>
      </c>
    </row>
    <row r="999" spans="1:11" ht="46.5" x14ac:dyDescent="0.35">
      <c r="A999" s="277"/>
      <c r="B999" s="277"/>
      <c r="C999" s="286"/>
      <c r="D999" s="287"/>
      <c r="E999" s="287"/>
      <c r="F999" s="304"/>
      <c r="G999" s="270" t="s">
        <v>650</v>
      </c>
      <c r="H999" s="136" t="s">
        <v>634</v>
      </c>
      <c r="I999" s="137">
        <v>0</v>
      </c>
      <c r="J999" s="137">
        <v>0</v>
      </c>
      <c r="K999" s="137">
        <f>24580/D995</f>
        <v>1.32</v>
      </c>
    </row>
    <row r="1000" spans="1:11" ht="14.5" customHeight="1" x14ac:dyDescent="0.35">
      <c r="A1000" s="277"/>
      <c r="B1000" s="277"/>
      <c r="C1000" s="286"/>
      <c r="D1000" s="287"/>
      <c r="E1000" s="287"/>
      <c r="F1000" s="304"/>
      <c r="G1000" s="271"/>
      <c r="H1000" s="136" t="s">
        <v>642</v>
      </c>
      <c r="I1000" s="137">
        <v>1697869.53</v>
      </c>
      <c r="J1000" s="137">
        <f>I1000/D995</f>
        <v>91.14</v>
      </c>
      <c r="K1000" s="137">
        <f>1708823/D995</f>
        <v>91.73</v>
      </c>
    </row>
    <row r="1001" spans="1:11" x14ac:dyDescent="0.35">
      <c r="A1001" s="277"/>
      <c r="B1001" s="277"/>
      <c r="C1001" s="286"/>
      <c r="D1001" s="287"/>
      <c r="E1001" s="287"/>
      <c r="F1001" s="304"/>
      <c r="G1001" s="272"/>
      <c r="H1001" s="136" t="s">
        <v>75</v>
      </c>
      <c r="I1001" s="137">
        <v>18284.5</v>
      </c>
      <c r="J1001" s="137">
        <f>I1001/D995</f>
        <v>0.98</v>
      </c>
      <c r="K1001" s="137">
        <f>36569/D995</f>
        <v>1.96</v>
      </c>
    </row>
    <row r="1002" spans="1:11" ht="46.5" x14ac:dyDescent="0.35">
      <c r="A1002" s="277"/>
      <c r="B1002" s="277"/>
      <c r="C1002" s="286"/>
      <c r="D1002" s="287"/>
      <c r="E1002" s="287"/>
      <c r="F1002" s="304"/>
      <c r="G1002" s="270" t="s">
        <v>651</v>
      </c>
      <c r="H1002" s="136" t="s">
        <v>634</v>
      </c>
      <c r="I1002" s="137">
        <v>0</v>
      </c>
      <c r="J1002" s="137">
        <v>0</v>
      </c>
      <c r="K1002" s="137">
        <f>24580/D995</f>
        <v>1.32</v>
      </c>
    </row>
    <row r="1003" spans="1:11" x14ac:dyDescent="0.35">
      <c r="A1003" s="277"/>
      <c r="B1003" s="277"/>
      <c r="C1003" s="286"/>
      <c r="D1003" s="287"/>
      <c r="E1003" s="287"/>
      <c r="F1003" s="304"/>
      <c r="G1003" s="271"/>
      <c r="H1003" s="136" t="s">
        <v>642</v>
      </c>
      <c r="I1003" s="137">
        <v>1697869.53</v>
      </c>
      <c r="J1003" s="137">
        <f>I1003/D995</f>
        <v>91.14</v>
      </c>
      <c r="K1003" s="137">
        <f>1708823/D995</f>
        <v>91.73</v>
      </c>
    </row>
    <row r="1004" spans="1:11" x14ac:dyDescent="0.35">
      <c r="A1004" s="277"/>
      <c r="B1004" s="277"/>
      <c r="C1004" s="286"/>
      <c r="D1004" s="287"/>
      <c r="E1004" s="287"/>
      <c r="F1004" s="304"/>
      <c r="G1004" s="272"/>
      <c r="H1004" s="136" t="s">
        <v>75</v>
      </c>
      <c r="I1004" s="137">
        <v>18284.5</v>
      </c>
      <c r="J1004" s="137">
        <f>I1004/D995</f>
        <v>0.98</v>
      </c>
      <c r="K1004" s="137">
        <f>36569/D995</f>
        <v>1.96</v>
      </c>
    </row>
    <row r="1005" spans="1:11" ht="46.5" x14ac:dyDescent="0.35">
      <c r="A1005" s="277"/>
      <c r="B1005" s="277"/>
      <c r="C1005" s="286"/>
      <c r="D1005" s="287"/>
      <c r="E1005" s="287"/>
      <c r="F1005" s="304"/>
      <c r="G1005" s="270" t="s">
        <v>652</v>
      </c>
      <c r="H1005" s="136" t="s">
        <v>634</v>
      </c>
      <c r="I1005" s="137">
        <v>0</v>
      </c>
      <c r="J1005" s="137">
        <v>0</v>
      </c>
      <c r="K1005" s="137">
        <f>24580/D995</f>
        <v>1.32</v>
      </c>
    </row>
    <row r="1006" spans="1:11" x14ac:dyDescent="0.35">
      <c r="A1006" s="277"/>
      <c r="B1006" s="277"/>
      <c r="C1006" s="286"/>
      <c r="D1006" s="287"/>
      <c r="E1006" s="287"/>
      <c r="F1006" s="304"/>
      <c r="G1006" s="271"/>
      <c r="H1006" s="136" t="s">
        <v>642</v>
      </c>
      <c r="I1006" s="137">
        <v>1697869.54</v>
      </c>
      <c r="J1006" s="137">
        <f>I1006/D995</f>
        <v>91.14</v>
      </c>
      <c r="K1006" s="137">
        <f>1708823/D995</f>
        <v>91.73</v>
      </c>
    </row>
    <row r="1007" spans="1:11" x14ac:dyDescent="0.35">
      <c r="A1007" s="277"/>
      <c r="B1007" s="277"/>
      <c r="C1007" s="286"/>
      <c r="D1007" s="287"/>
      <c r="E1007" s="287"/>
      <c r="F1007" s="304"/>
      <c r="G1007" s="272"/>
      <c r="H1007" s="136" t="s">
        <v>75</v>
      </c>
      <c r="I1007" s="137">
        <v>18284.5</v>
      </c>
      <c r="J1007" s="137">
        <f>I1007/D995</f>
        <v>0.98</v>
      </c>
      <c r="K1007" s="137">
        <f>36569/D995</f>
        <v>1.96</v>
      </c>
    </row>
    <row r="1008" spans="1:11" x14ac:dyDescent="0.35">
      <c r="A1008" s="277">
        <f>A995+1</f>
        <v>148</v>
      </c>
      <c r="B1008" s="277">
        <v>2449</v>
      </c>
      <c r="C1008" s="286" t="s">
        <v>422</v>
      </c>
      <c r="D1008" s="287">
        <v>2723.4</v>
      </c>
      <c r="E1008" s="287" t="s">
        <v>74</v>
      </c>
      <c r="F1008" s="304">
        <v>5</v>
      </c>
      <c r="G1008" s="277" t="s">
        <v>71</v>
      </c>
      <c r="H1008" s="136" t="s">
        <v>72</v>
      </c>
      <c r="I1008" s="137">
        <f>I1009+I1010</f>
        <v>2467782</v>
      </c>
      <c r="J1008" s="137">
        <f>J1009+J1010</f>
        <v>906.14</v>
      </c>
      <c r="K1008" s="137">
        <f>K1009+K1010</f>
        <v>2936</v>
      </c>
    </row>
    <row r="1009" spans="1:11" ht="46.5" x14ac:dyDescent="0.35">
      <c r="A1009" s="277">
        <v>75</v>
      </c>
      <c r="B1009" s="277"/>
      <c r="C1009" s="286"/>
      <c r="D1009" s="287"/>
      <c r="E1009" s="287"/>
      <c r="F1009" s="304"/>
      <c r="G1009" s="277"/>
      <c r="H1009" s="136" t="s">
        <v>673</v>
      </c>
      <c r="I1009" s="137">
        <v>203002.56</v>
      </c>
      <c r="J1009" s="137">
        <f>I1009/D1008</f>
        <v>74.540000000000006</v>
      </c>
      <c r="K1009" s="137">
        <f>151+13</f>
        <v>164</v>
      </c>
    </row>
    <row r="1010" spans="1:11" x14ac:dyDescent="0.35">
      <c r="A1010" s="277">
        <v>77</v>
      </c>
      <c r="B1010" s="277"/>
      <c r="C1010" s="286"/>
      <c r="D1010" s="287"/>
      <c r="E1010" s="287"/>
      <c r="F1010" s="304"/>
      <c r="G1010" s="277"/>
      <c r="H1010" s="136" t="s">
        <v>73</v>
      </c>
      <c r="I1010" s="137">
        <f>K1010*D1008*0.3</f>
        <v>2264779.44</v>
      </c>
      <c r="J1010" s="137">
        <f>I1010/D1008</f>
        <v>831.6</v>
      </c>
      <c r="K1010" s="137">
        <v>2772</v>
      </c>
    </row>
    <row r="1011" spans="1:11" x14ac:dyDescent="0.35">
      <c r="A1011" s="277">
        <f>A1008+1</f>
        <v>149</v>
      </c>
      <c r="B1011" s="277">
        <v>2307</v>
      </c>
      <c r="C1011" s="286" t="s">
        <v>423</v>
      </c>
      <c r="D1011" s="287">
        <v>2904.2</v>
      </c>
      <c r="E1011" s="287" t="s">
        <v>70</v>
      </c>
      <c r="F1011" s="304">
        <v>5</v>
      </c>
      <c r="G1011" s="277" t="s">
        <v>71</v>
      </c>
      <c r="H1011" s="136" t="s">
        <v>72</v>
      </c>
      <c r="I1011" s="137">
        <f>I1012+I1013</f>
        <v>2871601.81</v>
      </c>
      <c r="J1011" s="137">
        <f>J1012+J1013</f>
        <v>988.78</v>
      </c>
      <c r="K1011" s="137">
        <f>K1012+K1013</f>
        <v>2936</v>
      </c>
    </row>
    <row r="1012" spans="1:11" ht="46.5" x14ac:dyDescent="0.35">
      <c r="A1012" s="277">
        <v>75</v>
      </c>
      <c r="B1012" s="277"/>
      <c r="C1012" s="286"/>
      <c r="D1012" s="287"/>
      <c r="E1012" s="287"/>
      <c r="F1012" s="304"/>
      <c r="G1012" s="277"/>
      <c r="H1012" s="136" t="s">
        <v>673</v>
      </c>
      <c r="I1012" s="137">
        <v>456469.09</v>
      </c>
      <c r="J1012" s="137">
        <f>I1012/D1011</f>
        <v>157.18</v>
      </c>
      <c r="K1012" s="137">
        <f>151+13</f>
        <v>164</v>
      </c>
    </row>
    <row r="1013" spans="1:11" x14ac:dyDescent="0.35">
      <c r="A1013" s="277">
        <v>77</v>
      </c>
      <c r="B1013" s="277"/>
      <c r="C1013" s="286"/>
      <c r="D1013" s="287"/>
      <c r="E1013" s="287"/>
      <c r="F1013" s="304"/>
      <c r="G1013" s="277"/>
      <c r="H1013" s="136" t="s">
        <v>73</v>
      </c>
      <c r="I1013" s="137">
        <f>K1013*D1011*0.3</f>
        <v>2415132.7200000002</v>
      </c>
      <c r="J1013" s="137">
        <f>I1013/D1011</f>
        <v>831.6</v>
      </c>
      <c r="K1013" s="137">
        <v>2772</v>
      </c>
    </row>
    <row r="1014" spans="1:11" x14ac:dyDescent="0.35">
      <c r="A1014" s="277">
        <f>A1011+1</f>
        <v>150</v>
      </c>
      <c r="B1014" s="277">
        <v>2387</v>
      </c>
      <c r="C1014" s="286" t="s">
        <v>424</v>
      </c>
      <c r="D1014" s="287">
        <v>7583.4</v>
      </c>
      <c r="E1014" s="287" t="s">
        <v>70</v>
      </c>
      <c r="F1014" s="304">
        <v>10</v>
      </c>
      <c r="G1014" s="146"/>
      <c r="H1014" s="136" t="s">
        <v>72</v>
      </c>
      <c r="I1014" s="137">
        <f>I1015+I1016+I1017+I1018+I1019+I1020+I1021+I1022+I1023</f>
        <v>5175909.93</v>
      </c>
      <c r="J1014" s="137">
        <f>J1015+J1016+J1017+J1018+J1019+J1020+J1021+J1022+J1023</f>
        <v>682.53</v>
      </c>
      <c r="K1014" s="137">
        <f>K1015+K1016+K1017+K1018+K1019+K1020+K1021+K1022+K1023</f>
        <v>700.2</v>
      </c>
    </row>
    <row r="1015" spans="1:11" ht="46.5" x14ac:dyDescent="0.35">
      <c r="A1015" s="277"/>
      <c r="B1015" s="277"/>
      <c r="C1015" s="286"/>
      <c r="D1015" s="287"/>
      <c r="E1015" s="287"/>
      <c r="F1015" s="304"/>
      <c r="G1015" s="270" t="s">
        <v>641</v>
      </c>
      <c r="H1015" s="136" t="s">
        <v>634</v>
      </c>
      <c r="I1015" s="137">
        <v>0</v>
      </c>
      <c r="J1015" s="137">
        <v>0</v>
      </c>
      <c r="K1015" s="137">
        <f>24580/D1014</f>
        <v>3.24</v>
      </c>
    </row>
    <row r="1016" spans="1:11" x14ac:dyDescent="0.35">
      <c r="A1016" s="277">
        <v>756</v>
      </c>
      <c r="B1016" s="277"/>
      <c r="C1016" s="286"/>
      <c r="D1016" s="287"/>
      <c r="E1016" s="287"/>
      <c r="F1016" s="304"/>
      <c r="G1016" s="271"/>
      <c r="H1016" s="136" t="s">
        <v>642</v>
      </c>
      <c r="I1016" s="137">
        <v>1689100</v>
      </c>
      <c r="J1016" s="137">
        <f>I1016/D1014</f>
        <v>222.74</v>
      </c>
      <c r="K1016" s="137">
        <f>1708823/D1014</f>
        <v>225.34</v>
      </c>
    </row>
    <row r="1017" spans="1:11" x14ac:dyDescent="0.35">
      <c r="A1017" s="277">
        <v>757</v>
      </c>
      <c r="B1017" s="277"/>
      <c r="C1017" s="286"/>
      <c r="D1017" s="287"/>
      <c r="E1017" s="287"/>
      <c r="F1017" s="304"/>
      <c r="G1017" s="272"/>
      <c r="H1017" s="136" t="s">
        <v>75</v>
      </c>
      <c r="I1017" s="137">
        <v>36203.31</v>
      </c>
      <c r="J1017" s="137">
        <f>I1017/D1014</f>
        <v>4.7699999999999996</v>
      </c>
      <c r="K1017" s="137">
        <f>36569/D1014</f>
        <v>4.82</v>
      </c>
    </row>
    <row r="1018" spans="1:11" ht="46.5" x14ac:dyDescent="0.35">
      <c r="A1018" s="277"/>
      <c r="B1018" s="277"/>
      <c r="C1018" s="286"/>
      <c r="D1018" s="287"/>
      <c r="E1018" s="287"/>
      <c r="F1018" s="304"/>
      <c r="G1018" s="270" t="s">
        <v>647</v>
      </c>
      <c r="H1018" s="136" t="s">
        <v>634</v>
      </c>
      <c r="I1018" s="137">
        <v>0</v>
      </c>
      <c r="J1018" s="137">
        <v>0</v>
      </c>
      <c r="K1018" s="137">
        <f>24580/D1014</f>
        <v>3.24</v>
      </c>
    </row>
    <row r="1019" spans="1:11" x14ac:dyDescent="0.35">
      <c r="A1019" s="277"/>
      <c r="B1019" s="277"/>
      <c r="C1019" s="286"/>
      <c r="D1019" s="287"/>
      <c r="E1019" s="287"/>
      <c r="F1019" s="304"/>
      <c r="G1019" s="271"/>
      <c r="H1019" s="136" t="s">
        <v>642</v>
      </c>
      <c r="I1019" s="137">
        <v>1689100</v>
      </c>
      <c r="J1019" s="137">
        <f>I1019/D1014</f>
        <v>222.74</v>
      </c>
      <c r="K1019" s="137">
        <f>1708823/D1014</f>
        <v>225.34</v>
      </c>
    </row>
    <row r="1020" spans="1:11" x14ac:dyDescent="0.35">
      <c r="A1020" s="277"/>
      <c r="B1020" s="277"/>
      <c r="C1020" s="286"/>
      <c r="D1020" s="287"/>
      <c r="E1020" s="287"/>
      <c r="F1020" s="304"/>
      <c r="G1020" s="272"/>
      <c r="H1020" s="136" t="s">
        <v>75</v>
      </c>
      <c r="I1020" s="137">
        <v>36203.31</v>
      </c>
      <c r="J1020" s="137">
        <f>I1020/D1014</f>
        <v>4.7699999999999996</v>
      </c>
      <c r="K1020" s="137">
        <f>36569/D1014</f>
        <v>4.82</v>
      </c>
    </row>
    <row r="1021" spans="1:11" ht="60" customHeight="1" x14ac:dyDescent="0.35">
      <c r="A1021" s="277"/>
      <c r="B1021" s="277"/>
      <c r="C1021" s="286"/>
      <c r="D1021" s="287"/>
      <c r="E1021" s="287"/>
      <c r="F1021" s="304"/>
      <c r="G1021" s="270" t="s">
        <v>648</v>
      </c>
      <c r="H1021" s="136" t="s">
        <v>634</v>
      </c>
      <c r="I1021" s="137">
        <v>0</v>
      </c>
      <c r="J1021" s="137">
        <v>0</v>
      </c>
      <c r="K1021" s="137">
        <f>24580/D1014</f>
        <v>3.24</v>
      </c>
    </row>
    <row r="1022" spans="1:11" x14ac:dyDescent="0.35">
      <c r="A1022" s="277"/>
      <c r="B1022" s="277"/>
      <c r="C1022" s="286"/>
      <c r="D1022" s="287"/>
      <c r="E1022" s="287"/>
      <c r="F1022" s="304"/>
      <c r="G1022" s="271"/>
      <c r="H1022" s="136" t="s">
        <v>642</v>
      </c>
      <c r="I1022" s="137">
        <v>1689100</v>
      </c>
      <c r="J1022" s="137">
        <f>I1022/D1014</f>
        <v>222.74</v>
      </c>
      <c r="K1022" s="137">
        <f>1708823/D1014</f>
        <v>225.34</v>
      </c>
    </row>
    <row r="1023" spans="1:11" x14ac:dyDescent="0.35">
      <c r="A1023" s="277"/>
      <c r="B1023" s="277"/>
      <c r="C1023" s="286"/>
      <c r="D1023" s="287"/>
      <c r="E1023" s="287"/>
      <c r="F1023" s="304"/>
      <c r="G1023" s="272"/>
      <c r="H1023" s="136" t="s">
        <v>75</v>
      </c>
      <c r="I1023" s="137">
        <v>36203.31</v>
      </c>
      <c r="J1023" s="137">
        <f>I1023/D1014</f>
        <v>4.7699999999999996</v>
      </c>
      <c r="K1023" s="137">
        <f>36569/D1014</f>
        <v>4.82</v>
      </c>
    </row>
    <row r="1024" spans="1:11" x14ac:dyDescent="0.35">
      <c r="A1024" s="277">
        <f>A1014+1</f>
        <v>151</v>
      </c>
      <c r="B1024" s="277">
        <v>2880</v>
      </c>
      <c r="C1024" s="286" t="s">
        <v>425</v>
      </c>
      <c r="D1024" s="287">
        <v>222.1</v>
      </c>
      <c r="E1024" s="287" t="s">
        <v>633</v>
      </c>
      <c r="F1024" s="304">
        <v>2</v>
      </c>
      <c r="G1024" s="277" t="s">
        <v>71</v>
      </c>
      <c r="H1024" s="136" t="s">
        <v>72</v>
      </c>
      <c r="I1024" s="137">
        <f>I1025+I1026</f>
        <v>500480.14</v>
      </c>
      <c r="J1024" s="137">
        <f>J1025+J1026</f>
        <v>2253.4</v>
      </c>
      <c r="K1024" s="137">
        <f>K1025+K1026</f>
        <v>7096</v>
      </c>
    </row>
    <row r="1025" spans="1:11" ht="59.5" customHeight="1" x14ac:dyDescent="0.35">
      <c r="A1025" s="277"/>
      <c r="B1025" s="277"/>
      <c r="C1025" s="286"/>
      <c r="D1025" s="287"/>
      <c r="E1025" s="287"/>
      <c r="F1025" s="304"/>
      <c r="G1025" s="277"/>
      <c r="H1025" s="136" t="s">
        <v>673</v>
      </c>
      <c r="I1025" s="137">
        <f>36424.4+D1024*14</f>
        <v>39533.800000000003</v>
      </c>
      <c r="J1025" s="137">
        <f>I1025/D1024</f>
        <v>178</v>
      </c>
      <c r="K1025" s="137">
        <f>164+14</f>
        <v>178</v>
      </c>
    </row>
    <row r="1026" spans="1:11" x14ac:dyDescent="0.35">
      <c r="A1026" s="277">
        <v>75</v>
      </c>
      <c r="B1026" s="277"/>
      <c r="C1026" s="286"/>
      <c r="D1026" s="287"/>
      <c r="E1026" s="287"/>
      <c r="F1026" s="304"/>
      <c r="G1026" s="277"/>
      <c r="H1026" s="136" t="s">
        <v>73</v>
      </c>
      <c r="I1026" s="137">
        <f>D1024*K1026*0.3</f>
        <v>460946.34</v>
      </c>
      <c r="J1026" s="137">
        <f>I1026/D1024</f>
        <v>2075.4</v>
      </c>
      <c r="K1026" s="137">
        <v>6918</v>
      </c>
    </row>
    <row r="1027" spans="1:11" x14ac:dyDescent="0.35">
      <c r="A1027" s="277">
        <f>A1024+1</f>
        <v>152</v>
      </c>
      <c r="B1027" s="277">
        <v>2911</v>
      </c>
      <c r="C1027" s="286" t="s">
        <v>426</v>
      </c>
      <c r="D1027" s="287">
        <v>170.5</v>
      </c>
      <c r="E1027" s="287" t="s">
        <v>79</v>
      </c>
      <c r="F1027" s="304">
        <v>2</v>
      </c>
      <c r="G1027" s="277" t="s">
        <v>71</v>
      </c>
      <c r="H1027" s="136" t="s">
        <v>72</v>
      </c>
      <c r="I1027" s="137">
        <f>I1028+I1029</f>
        <v>664950</v>
      </c>
      <c r="J1027" s="137">
        <f>J1028+J1029</f>
        <v>3900</v>
      </c>
      <c r="K1027" s="137">
        <f>K1028+K1029</f>
        <v>3900</v>
      </c>
    </row>
    <row r="1028" spans="1:11" ht="46.5" x14ac:dyDescent="0.35">
      <c r="A1028" s="277"/>
      <c r="B1028" s="277"/>
      <c r="C1028" s="286"/>
      <c r="D1028" s="287"/>
      <c r="E1028" s="287"/>
      <c r="F1028" s="304"/>
      <c r="G1028" s="277"/>
      <c r="H1028" s="136" t="s">
        <v>673</v>
      </c>
      <c r="I1028" s="137">
        <f>D1027*K1028</f>
        <v>470068.5</v>
      </c>
      <c r="J1028" s="137">
        <f>I1028/D1027</f>
        <v>2757</v>
      </c>
      <c r="K1028" s="137">
        <f>2544+213</f>
        <v>2757</v>
      </c>
    </row>
    <row r="1029" spans="1:11" ht="31" x14ac:dyDescent="0.35">
      <c r="A1029" s="277"/>
      <c r="B1029" s="277"/>
      <c r="C1029" s="286"/>
      <c r="D1029" s="287"/>
      <c r="E1029" s="287"/>
      <c r="F1029" s="304"/>
      <c r="G1029" s="277"/>
      <c r="H1029" s="136" t="s">
        <v>666</v>
      </c>
      <c r="I1029" s="137">
        <f>D1027*K1029</f>
        <v>194881.5</v>
      </c>
      <c r="J1029" s="137">
        <f>I1029/D1027</f>
        <v>1143</v>
      </c>
      <c r="K1029" s="137">
        <v>1143</v>
      </c>
    </row>
    <row r="1030" spans="1:11" x14ac:dyDescent="0.35">
      <c r="A1030" s="277">
        <f>A1027+1</f>
        <v>153</v>
      </c>
      <c r="B1030" s="277">
        <v>2330</v>
      </c>
      <c r="C1030" s="286" t="s">
        <v>427</v>
      </c>
      <c r="D1030" s="287">
        <v>6425.5</v>
      </c>
      <c r="E1030" s="287" t="s">
        <v>74</v>
      </c>
      <c r="F1030" s="304">
        <v>10</v>
      </c>
      <c r="G1030" s="146"/>
      <c r="H1030" s="136" t="s">
        <v>72</v>
      </c>
      <c r="I1030" s="137">
        <f>I1031+I1032+I1033+I1034+I1035+I1036+I1037+I1038+I1039</f>
        <v>5193257.8</v>
      </c>
      <c r="J1030" s="137">
        <f>J1031+J1032+J1033+J1034+J1035+J1036+J1037+J1038+J1039</f>
        <v>808.23</v>
      </c>
      <c r="K1030" s="137">
        <f>K1031+K1032+K1033+K1034+K1035+K1036+K1037+K1038+K1039</f>
        <v>826.38</v>
      </c>
    </row>
    <row r="1031" spans="1:11" ht="46.5" x14ac:dyDescent="0.35">
      <c r="A1031" s="277"/>
      <c r="B1031" s="277"/>
      <c r="C1031" s="286"/>
      <c r="D1031" s="287"/>
      <c r="E1031" s="287"/>
      <c r="F1031" s="304"/>
      <c r="G1031" s="270" t="s">
        <v>641</v>
      </c>
      <c r="H1031" s="136" t="s">
        <v>634</v>
      </c>
      <c r="I1031" s="137">
        <v>0</v>
      </c>
      <c r="J1031" s="137">
        <v>0</v>
      </c>
      <c r="K1031" s="137">
        <f>24580/D1030-0.01</f>
        <v>3.82</v>
      </c>
    </row>
    <row r="1032" spans="1:11" x14ac:dyDescent="0.35">
      <c r="A1032" s="277">
        <v>756</v>
      </c>
      <c r="B1032" s="277"/>
      <c r="C1032" s="286"/>
      <c r="D1032" s="287"/>
      <c r="E1032" s="287"/>
      <c r="F1032" s="304"/>
      <c r="G1032" s="271"/>
      <c r="H1032" s="136" t="s">
        <v>642</v>
      </c>
      <c r="I1032" s="137">
        <v>1694882.63</v>
      </c>
      <c r="J1032" s="137">
        <f>I1032/D1030+0.01</f>
        <v>263.77999999999997</v>
      </c>
      <c r="K1032" s="137">
        <f>1708823/D1030+0.01</f>
        <v>265.95</v>
      </c>
    </row>
    <row r="1033" spans="1:11" x14ac:dyDescent="0.35">
      <c r="A1033" s="277">
        <v>757</v>
      </c>
      <c r="B1033" s="277"/>
      <c r="C1033" s="286"/>
      <c r="D1033" s="287"/>
      <c r="E1033" s="287"/>
      <c r="F1033" s="304"/>
      <c r="G1033" s="272"/>
      <c r="H1033" s="136" t="s">
        <v>75</v>
      </c>
      <c r="I1033" s="137">
        <v>36203.31</v>
      </c>
      <c r="J1033" s="137">
        <f>I1033/D1030</f>
        <v>5.63</v>
      </c>
      <c r="K1033" s="137">
        <f>36569/D1030</f>
        <v>5.69</v>
      </c>
    </row>
    <row r="1034" spans="1:11" ht="46.5" x14ac:dyDescent="0.35">
      <c r="A1034" s="277"/>
      <c r="B1034" s="277"/>
      <c r="C1034" s="286"/>
      <c r="D1034" s="287"/>
      <c r="E1034" s="287"/>
      <c r="F1034" s="304"/>
      <c r="G1034" s="270" t="s">
        <v>647</v>
      </c>
      <c r="H1034" s="136" t="s">
        <v>634</v>
      </c>
      <c r="I1034" s="137">
        <v>0</v>
      </c>
      <c r="J1034" s="137">
        <v>0</v>
      </c>
      <c r="K1034" s="137">
        <f>24580/D1030-0.01</f>
        <v>3.82</v>
      </c>
    </row>
    <row r="1035" spans="1:11" x14ac:dyDescent="0.35">
      <c r="A1035" s="277"/>
      <c r="B1035" s="277"/>
      <c r="C1035" s="286"/>
      <c r="D1035" s="287"/>
      <c r="E1035" s="287"/>
      <c r="F1035" s="304"/>
      <c r="G1035" s="271"/>
      <c r="H1035" s="136" t="s">
        <v>642</v>
      </c>
      <c r="I1035" s="137">
        <v>1694882.63</v>
      </c>
      <c r="J1035" s="137">
        <f>I1035/D1030+0.01</f>
        <v>263.77999999999997</v>
      </c>
      <c r="K1035" s="137">
        <f>1708823/D1030+0.01</f>
        <v>265.95</v>
      </c>
    </row>
    <row r="1036" spans="1:11" x14ac:dyDescent="0.35">
      <c r="A1036" s="277"/>
      <c r="B1036" s="277"/>
      <c r="C1036" s="286"/>
      <c r="D1036" s="287"/>
      <c r="E1036" s="287"/>
      <c r="F1036" s="304"/>
      <c r="G1036" s="272"/>
      <c r="H1036" s="136" t="s">
        <v>75</v>
      </c>
      <c r="I1036" s="137">
        <v>36203.31</v>
      </c>
      <c r="J1036" s="137">
        <f>I1036/D1030</f>
        <v>5.63</v>
      </c>
      <c r="K1036" s="137">
        <f>36569/D1030</f>
        <v>5.69</v>
      </c>
    </row>
    <row r="1037" spans="1:11" ht="46.5" x14ac:dyDescent="0.35">
      <c r="A1037" s="277"/>
      <c r="B1037" s="277"/>
      <c r="C1037" s="286"/>
      <c r="D1037" s="287"/>
      <c r="E1037" s="287"/>
      <c r="F1037" s="304"/>
      <c r="G1037" s="270" t="s">
        <v>648</v>
      </c>
      <c r="H1037" s="136" t="s">
        <v>634</v>
      </c>
      <c r="I1037" s="137">
        <v>0</v>
      </c>
      <c r="J1037" s="137">
        <v>0</v>
      </c>
      <c r="K1037" s="137">
        <f>24580/D1030</f>
        <v>3.83</v>
      </c>
    </row>
    <row r="1038" spans="1:11" x14ac:dyDescent="0.35">
      <c r="A1038" s="277"/>
      <c r="B1038" s="277"/>
      <c r="C1038" s="286"/>
      <c r="D1038" s="287"/>
      <c r="E1038" s="287"/>
      <c r="F1038" s="304"/>
      <c r="G1038" s="271"/>
      <c r="H1038" s="136" t="s">
        <v>642</v>
      </c>
      <c r="I1038" s="137">
        <v>1694882.61</v>
      </c>
      <c r="J1038" s="137">
        <f>I1038/D1030+0.01</f>
        <v>263.77999999999997</v>
      </c>
      <c r="K1038" s="137">
        <f>1708823/D1030</f>
        <v>265.94</v>
      </c>
    </row>
    <row r="1039" spans="1:11" x14ac:dyDescent="0.35">
      <c r="A1039" s="277"/>
      <c r="B1039" s="277"/>
      <c r="C1039" s="286"/>
      <c r="D1039" s="287"/>
      <c r="E1039" s="287"/>
      <c r="F1039" s="304"/>
      <c r="G1039" s="272"/>
      <c r="H1039" s="136" t="s">
        <v>75</v>
      </c>
      <c r="I1039" s="137">
        <v>36203.31</v>
      </c>
      <c r="J1039" s="137">
        <f>I1039/D1030</f>
        <v>5.63</v>
      </c>
      <c r="K1039" s="137">
        <f>36569/D1030</f>
        <v>5.69</v>
      </c>
    </row>
    <row r="1040" spans="1:11" x14ac:dyDescent="0.35">
      <c r="A1040" s="277">
        <f>A1030+1</f>
        <v>154</v>
      </c>
      <c r="B1040" s="277">
        <v>2464</v>
      </c>
      <c r="C1040" s="286" t="s">
        <v>428</v>
      </c>
      <c r="D1040" s="287">
        <v>3284.7</v>
      </c>
      <c r="E1040" s="287" t="s">
        <v>70</v>
      </c>
      <c r="F1040" s="304">
        <v>5</v>
      </c>
      <c r="G1040" s="277" t="s">
        <v>83</v>
      </c>
      <c r="H1040" s="136" t="s">
        <v>72</v>
      </c>
      <c r="I1040" s="137">
        <f>I1041+I1042</f>
        <v>525996.73</v>
      </c>
      <c r="J1040" s="137">
        <f>J1041+J1042</f>
        <v>160.13999999999999</v>
      </c>
      <c r="K1040" s="137">
        <f>K1041+K1042</f>
        <v>168</v>
      </c>
    </row>
    <row r="1041" spans="1:11" x14ac:dyDescent="0.35">
      <c r="A1041" s="277"/>
      <c r="B1041" s="277"/>
      <c r="C1041" s="286"/>
      <c r="D1041" s="287"/>
      <c r="E1041" s="287"/>
      <c r="F1041" s="304"/>
      <c r="G1041" s="277"/>
      <c r="H1041" s="136" t="s">
        <v>73</v>
      </c>
      <c r="I1041" s="137">
        <v>519493.02</v>
      </c>
      <c r="J1041" s="137">
        <f>I1041/D1040</f>
        <v>158.16</v>
      </c>
      <c r="K1041" s="137">
        <v>164</v>
      </c>
    </row>
    <row r="1042" spans="1:11" x14ac:dyDescent="0.35">
      <c r="A1042" s="277"/>
      <c r="B1042" s="277"/>
      <c r="C1042" s="286"/>
      <c r="D1042" s="287"/>
      <c r="E1042" s="287"/>
      <c r="F1042" s="304"/>
      <c r="G1042" s="277"/>
      <c r="H1042" s="136" t="s">
        <v>75</v>
      </c>
      <c r="I1042" s="137">
        <v>6503.71</v>
      </c>
      <c r="J1042" s="137">
        <f>I1042/D1040</f>
        <v>1.98</v>
      </c>
      <c r="K1042" s="137">
        <v>4</v>
      </c>
    </row>
    <row r="1043" spans="1:11" x14ac:dyDescent="0.35">
      <c r="A1043" s="277">
        <f>A1040+1</f>
        <v>155</v>
      </c>
      <c r="B1043" s="277">
        <v>2382</v>
      </c>
      <c r="C1043" s="286" t="s">
        <v>429</v>
      </c>
      <c r="D1043" s="287">
        <v>2381.6</v>
      </c>
      <c r="E1043" s="287" t="s">
        <v>70</v>
      </c>
      <c r="F1043" s="304">
        <v>5</v>
      </c>
      <c r="G1043" s="277" t="s">
        <v>83</v>
      </c>
      <c r="H1043" s="136" t="s">
        <v>72</v>
      </c>
      <c r="I1043" s="137">
        <f>I1044+I1045</f>
        <v>649798.23</v>
      </c>
      <c r="J1043" s="137">
        <f>J1044+J1045</f>
        <v>272.83999999999997</v>
      </c>
      <c r="K1043" s="137">
        <f>K1044+K1045</f>
        <v>277</v>
      </c>
    </row>
    <row r="1044" spans="1:11" x14ac:dyDescent="0.35">
      <c r="A1044" s="277"/>
      <c r="B1044" s="277"/>
      <c r="C1044" s="286"/>
      <c r="D1044" s="287"/>
      <c r="E1044" s="287"/>
      <c r="F1044" s="304"/>
      <c r="G1044" s="277"/>
      <c r="H1044" s="136" t="s">
        <v>73</v>
      </c>
      <c r="I1044" s="137">
        <v>645082.66</v>
      </c>
      <c r="J1044" s="137">
        <f>I1044/D1043</f>
        <v>270.86</v>
      </c>
      <c r="K1044" s="137">
        <v>271</v>
      </c>
    </row>
    <row r="1045" spans="1:11" x14ac:dyDescent="0.35">
      <c r="A1045" s="277"/>
      <c r="B1045" s="277"/>
      <c r="C1045" s="286"/>
      <c r="D1045" s="287"/>
      <c r="E1045" s="287"/>
      <c r="F1045" s="304"/>
      <c r="G1045" s="277"/>
      <c r="H1045" s="136" t="s">
        <v>75</v>
      </c>
      <c r="I1045" s="137">
        <v>4715.57</v>
      </c>
      <c r="J1045" s="137">
        <f>I1045/D1043</f>
        <v>1.98</v>
      </c>
      <c r="K1045" s="137">
        <v>6</v>
      </c>
    </row>
    <row r="1046" spans="1:11" x14ac:dyDescent="0.35">
      <c r="A1046" s="277">
        <f>A1043+1</f>
        <v>156</v>
      </c>
      <c r="B1046" s="277">
        <v>2352</v>
      </c>
      <c r="C1046" s="286" t="s">
        <v>430</v>
      </c>
      <c r="D1046" s="287">
        <v>3111.8</v>
      </c>
      <c r="E1046" s="287" t="s">
        <v>74</v>
      </c>
      <c r="F1046" s="304">
        <v>10</v>
      </c>
      <c r="G1046" s="146"/>
      <c r="H1046" s="136" t="s">
        <v>72</v>
      </c>
      <c r="I1046" s="137">
        <f>I1047+I1048+I1049</f>
        <v>1736477.4</v>
      </c>
      <c r="J1046" s="137">
        <f>J1047+J1048+J1049</f>
        <v>558.03</v>
      </c>
      <c r="K1046" s="137">
        <f>K1047+K1048+K1049</f>
        <v>568.79</v>
      </c>
    </row>
    <row r="1047" spans="1:11" ht="46.5" x14ac:dyDescent="0.35">
      <c r="A1047" s="277"/>
      <c r="B1047" s="277"/>
      <c r="C1047" s="286"/>
      <c r="D1047" s="287"/>
      <c r="E1047" s="287"/>
      <c r="F1047" s="304"/>
      <c r="G1047" s="270" t="s">
        <v>641</v>
      </c>
      <c r="H1047" s="136" t="s">
        <v>634</v>
      </c>
      <c r="I1047" s="137">
        <v>0</v>
      </c>
      <c r="J1047" s="137">
        <v>0</v>
      </c>
      <c r="K1047" s="137">
        <f>24580/D1046-0.01</f>
        <v>7.89</v>
      </c>
    </row>
    <row r="1048" spans="1:11" x14ac:dyDescent="0.35">
      <c r="A1048" s="277"/>
      <c r="B1048" s="277"/>
      <c r="C1048" s="286"/>
      <c r="D1048" s="287"/>
      <c r="E1048" s="287"/>
      <c r="F1048" s="304"/>
      <c r="G1048" s="271"/>
      <c r="H1048" s="136" t="s">
        <v>642</v>
      </c>
      <c r="I1048" s="137">
        <v>1700274.09</v>
      </c>
      <c r="J1048" s="137">
        <f>I1048/D1046</f>
        <v>546.4</v>
      </c>
      <c r="K1048" s="137">
        <f>1708823/D1046+0.01</f>
        <v>549.15</v>
      </c>
    </row>
    <row r="1049" spans="1:11" x14ac:dyDescent="0.35">
      <c r="A1049" s="277"/>
      <c r="B1049" s="277"/>
      <c r="C1049" s="286"/>
      <c r="D1049" s="287"/>
      <c r="E1049" s="287"/>
      <c r="F1049" s="304"/>
      <c r="G1049" s="272"/>
      <c r="H1049" s="136" t="s">
        <v>75</v>
      </c>
      <c r="I1049" s="137">
        <v>36203.31</v>
      </c>
      <c r="J1049" s="137">
        <f>I1049/D1046</f>
        <v>11.63</v>
      </c>
      <c r="K1049" s="137">
        <f>36569/D1046</f>
        <v>11.75</v>
      </c>
    </row>
    <row r="1050" spans="1:11" x14ac:dyDescent="0.35">
      <c r="A1050" s="168" t="s">
        <v>36</v>
      </c>
      <c r="B1050" s="168"/>
      <c r="C1050" s="170"/>
      <c r="D1050" s="166">
        <f>D1051</f>
        <v>952.63</v>
      </c>
      <c r="E1050" s="181"/>
      <c r="F1050" s="181"/>
      <c r="G1050" s="181"/>
      <c r="H1050" s="137"/>
      <c r="I1050" s="137">
        <f>I1051</f>
        <v>3056803.18</v>
      </c>
      <c r="J1050" s="137"/>
      <c r="K1050" s="137"/>
    </row>
    <row r="1051" spans="1:11" s="145" customFormat="1" x14ac:dyDescent="0.3">
      <c r="A1051" s="270">
        <v>1</v>
      </c>
      <c r="B1051" s="270">
        <v>4812</v>
      </c>
      <c r="C1051" s="278" t="s">
        <v>670</v>
      </c>
      <c r="D1051" s="273">
        <v>952.63</v>
      </c>
      <c r="E1051" s="273" t="s">
        <v>74</v>
      </c>
      <c r="F1051" s="282">
        <v>2</v>
      </c>
      <c r="G1051" s="270" t="s">
        <v>71</v>
      </c>
      <c r="H1051" s="136" t="s">
        <v>72</v>
      </c>
      <c r="I1051" s="137">
        <f>I1052+I1053</f>
        <v>3056803.18</v>
      </c>
      <c r="J1051" s="137">
        <f>J1052+J1053</f>
        <v>3208.8</v>
      </c>
      <c r="K1051" s="137">
        <f>K1052+K1053</f>
        <v>7066</v>
      </c>
    </row>
    <row r="1052" spans="1:11" s="145" customFormat="1" x14ac:dyDescent="0.3">
      <c r="A1052" s="271">
        <v>15</v>
      </c>
      <c r="B1052" s="271"/>
      <c r="C1052" s="279"/>
      <c r="D1052" s="274"/>
      <c r="E1052" s="274"/>
      <c r="F1052" s="283"/>
      <c r="G1052" s="271"/>
      <c r="H1052" s="136" t="s">
        <v>73</v>
      </c>
      <c r="I1052" s="137">
        <v>2992758.16</v>
      </c>
      <c r="J1052" s="137">
        <f>I1052/D1051</f>
        <v>3141.57</v>
      </c>
      <c r="K1052" s="137">
        <v>6918</v>
      </c>
    </row>
    <row r="1053" spans="1:11" s="145" customFormat="1" x14ac:dyDescent="0.3">
      <c r="A1053" s="272">
        <v>16</v>
      </c>
      <c r="B1053" s="272"/>
      <c r="C1053" s="285"/>
      <c r="D1053" s="275"/>
      <c r="E1053" s="275"/>
      <c r="F1053" s="284"/>
      <c r="G1053" s="272"/>
      <c r="H1053" s="136" t="s">
        <v>75</v>
      </c>
      <c r="I1053" s="137">
        <f>I1052*0.0214</f>
        <v>64045.02</v>
      </c>
      <c r="J1053" s="137">
        <f>I1053/D1051</f>
        <v>67.23</v>
      </c>
      <c r="K1053" s="137">
        <v>148</v>
      </c>
    </row>
    <row r="1054" spans="1:11" x14ac:dyDescent="0.35">
      <c r="A1054" s="168" t="s">
        <v>37</v>
      </c>
      <c r="B1054" s="168"/>
      <c r="C1054" s="170"/>
      <c r="D1054" s="181">
        <f>D1055+D1058+D1061</f>
        <v>1241.1199999999999</v>
      </c>
      <c r="E1054" s="181"/>
      <c r="F1054" s="181"/>
      <c r="G1054" s="166"/>
      <c r="H1054" s="164"/>
      <c r="I1054" s="137">
        <f>I1055+I1058+I1061</f>
        <v>4125978.42</v>
      </c>
      <c r="J1054" s="137"/>
      <c r="K1054" s="137"/>
    </row>
    <row r="1055" spans="1:11" s="145" customFormat="1" ht="15" customHeight="1" x14ac:dyDescent="0.3">
      <c r="A1055" s="270">
        <v>1</v>
      </c>
      <c r="B1055" s="270">
        <v>7286</v>
      </c>
      <c r="C1055" s="278" t="s">
        <v>432</v>
      </c>
      <c r="D1055" s="273">
        <v>334.31</v>
      </c>
      <c r="E1055" s="273" t="s">
        <v>633</v>
      </c>
      <c r="F1055" s="282">
        <v>2</v>
      </c>
      <c r="G1055" s="270" t="s">
        <v>71</v>
      </c>
      <c r="H1055" s="136" t="s">
        <v>72</v>
      </c>
      <c r="I1055" s="137">
        <f>I1056+I1057</f>
        <v>1337821.8799999999</v>
      </c>
      <c r="J1055" s="137">
        <f>J1056+J1057</f>
        <v>4001.74</v>
      </c>
      <c r="K1055" s="137">
        <f>K1056+K1057</f>
        <v>7539</v>
      </c>
    </row>
    <row r="1056" spans="1:11" s="145" customFormat="1" ht="15.5" customHeight="1" x14ac:dyDescent="0.3">
      <c r="A1056" s="271"/>
      <c r="B1056" s="271"/>
      <c r="C1056" s="279"/>
      <c r="D1056" s="274"/>
      <c r="E1056" s="274"/>
      <c r="F1056" s="283"/>
      <c r="G1056" s="271"/>
      <c r="H1056" s="136" t="s">
        <v>73</v>
      </c>
      <c r="I1056" s="137">
        <v>1318244.08</v>
      </c>
      <c r="J1056" s="137">
        <f>I1056/D1055</f>
        <v>3943.18</v>
      </c>
      <c r="K1056" s="137">
        <v>7381</v>
      </c>
    </row>
    <row r="1057" spans="1:11" s="145" customFormat="1" x14ac:dyDescent="0.3">
      <c r="A1057" s="272"/>
      <c r="B1057" s="272"/>
      <c r="C1057" s="285"/>
      <c r="D1057" s="275"/>
      <c r="E1057" s="275"/>
      <c r="F1057" s="284"/>
      <c r="G1057" s="272"/>
      <c r="H1057" s="136" t="s">
        <v>75</v>
      </c>
      <c r="I1057" s="137">
        <v>19577.8</v>
      </c>
      <c r="J1057" s="137">
        <f>I1057/D1055</f>
        <v>58.56</v>
      </c>
      <c r="K1057" s="137">
        <v>158</v>
      </c>
    </row>
    <row r="1058" spans="1:11" s="145" customFormat="1" x14ac:dyDescent="0.3">
      <c r="A1058" s="305">
        <f>A1055+1</f>
        <v>2</v>
      </c>
      <c r="B1058" s="305">
        <v>7310</v>
      </c>
      <c r="C1058" s="333" t="s">
        <v>671</v>
      </c>
      <c r="D1058" s="273">
        <v>319.33</v>
      </c>
      <c r="E1058" s="273" t="s">
        <v>633</v>
      </c>
      <c r="F1058" s="282">
        <v>2</v>
      </c>
      <c r="G1058" s="270" t="s">
        <v>84</v>
      </c>
      <c r="H1058" s="136" t="s">
        <v>72</v>
      </c>
      <c r="I1058" s="137">
        <f>I1059+I1060</f>
        <v>129009.32</v>
      </c>
      <c r="J1058" s="137">
        <f>J1059+J1060</f>
        <v>404</v>
      </c>
      <c r="K1058" s="137">
        <f>K1059+K1060</f>
        <v>404</v>
      </c>
    </row>
    <row r="1059" spans="1:11" s="145" customFormat="1" ht="46.5" x14ac:dyDescent="0.3">
      <c r="A1059" s="306"/>
      <c r="B1059" s="306"/>
      <c r="C1059" s="334"/>
      <c r="D1059" s="274"/>
      <c r="E1059" s="274"/>
      <c r="F1059" s="283"/>
      <c r="G1059" s="271"/>
      <c r="H1059" s="136" t="s">
        <v>673</v>
      </c>
      <c r="I1059" s="137">
        <f>K1059*D1058</f>
        <v>72807.240000000005</v>
      </c>
      <c r="J1059" s="137">
        <f>I1059/D1058</f>
        <v>228</v>
      </c>
      <c r="K1059" s="137">
        <f>210+18</f>
        <v>228</v>
      </c>
    </row>
    <row r="1060" spans="1:11" s="145" customFormat="1" ht="46.5" x14ac:dyDescent="0.3">
      <c r="A1060" s="307"/>
      <c r="B1060" s="307"/>
      <c r="C1060" s="334"/>
      <c r="D1060" s="274"/>
      <c r="E1060" s="274"/>
      <c r="F1060" s="283"/>
      <c r="G1060" s="271"/>
      <c r="H1060" s="136" t="s">
        <v>674</v>
      </c>
      <c r="I1060" s="137">
        <f>K1060*D1058</f>
        <v>56202.080000000002</v>
      </c>
      <c r="J1060" s="137">
        <f>I1060/D1058</f>
        <v>176</v>
      </c>
      <c r="K1060" s="137">
        <f>162+14</f>
        <v>176</v>
      </c>
    </row>
    <row r="1061" spans="1:11" s="145" customFormat="1" ht="14" customHeight="1" x14ac:dyDescent="0.3">
      <c r="A1061" s="337">
        <f>A1058+1</f>
        <v>3</v>
      </c>
      <c r="B1061" s="305">
        <v>7321</v>
      </c>
      <c r="C1061" s="333" t="s">
        <v>675</v>
      </c>
      <c r="D1061" s="273">
        <v>587.48</v>
      </c>
      <c r="E1061" s="273" t="s">
        <v>74</v>
      </c>
      <c r="F1061" s="282">
        <v>2</v>
      </c>
      <c r="G1061" s="270" t="s">
        <v>84</v>
      </c>
      <c r="H1061" s="136" t="s">
        <v>72</v>
      </c>
      <c r="I1061" s="137">
        <f>I1062+I1063+I1064+I1065</f>
        <v>2659147.2200000002</v>
      </c>
      <c r="J1061" s="137">
        <f>J1062+J1063+J1064+J1065</f>
        <v>4526.3599999999997</v>
      </c>
      <c r="K1061" s="137">
        <f>K1062+K1063+K1064+K1065</f>
        <v>6822</v>
      </c>
    </row>
    <row r="1062" spans="1:11" s="145" customFormat="1" x14ac:dyDescent="0.3">
      <c r="A1062" s="337"/>
      <c r="B1062" s="306"/>
      <c r="C1062" s="334"/>
      <c r="D1062" s="274"/>
      <c r="E1062" s="274"/>
      <c r="F1062" s="283"/>
      <c r="G1062" s="271"/>
      <c r="H1062" s="136" t="s">
        <v>73</v>
      </c>
      <c r="I1062" s="137">
        <v>329845.38</v>
      </c>
      <c r="J1062" s="137">
        <f>I1062/D1061</f>
        <v>561.46</v>
      </c>
      <c r="K1062" s="137">
        <v>2634</v>
      </c>
    </row>
    <row r="1063" spans="1:11" s="145" customFormat="1" x14ac:dyDescent="0.3">
      <c r="A1063" s="337"/>
      <c r="B1063" s="306"/>
      <c r="C1063" s="334"/>
      <c r="D1063" s="274"/>
      <c r="E1063" s="274"/>
      <c r="F1063" s="283"/>
      <c r="G1063" s="271"/>
      <c r="H1063" s="136" t="s">
        <v>75</v>
      </c>
      <c r="I1063" s="137">
        <v>7058.69</v>
      </c>
      <c r="J1063" s="137">
        <f>I1063/D1061</f>
        <v>12.02</v>
      </c>
      <c r="K1063" s="137">
        <v>56</v>
      </c>
    </row>
    <row r="1064" spans="1:11" s="145" customFormat="1" x14ac:dyDescent="0.3">
      <c r="A1064" s="337">
        <v>2232.3333333333298</v>
      </c>
      <c r="B1064" s="306"/>
      <c r="C1064" s="334"/>
      <c r="D1064" s="274"/>
      <c r="E1064" s="274"/>
      <c r="F1064" s="283"/>
      <c r="G1064" s="271"/>
      <c r="H1064" s="136" t="s">
        <v>676</v>
      </c>
      <c r="I1064" s="137">
        <v>2273588.36</v>
      </c>
      <c r="J1064" s="137">
        <f>I1064/D1061-0.01</f>
        <v>3870.06</v>
      </c>
      <c r="K1064" s="137">
        <v>4045</v>
      </c>
    </row>
    <row r="1065" spans="1:11" s="145" customFormat="1" x14ac:dyDescent="0.3">
      <c r="A1065" s="337">
        <v>2747.3333333333298</v>
      </c>
      <c r="B1065" s="307"/>
      <c r="C1065" s="338"/>
      <c r="D1065" s="275"/>
      <c r="E1065" s="275"/>
      <c r="F1065" s="284"/>
      <c r="G1065" s="272"/>
      <c r="H1065" s="136" t="s">
        <v>75</v>
      </c>
      <c r="I1065" s="137">
        <v>48654.79</v>
      </c>
      <c r="J1065" s="137">
        <f>I1065/D1061</f>
        <v>82.82</v>
      </c>
      <c r="K1065" s="137">
        <v>87</v>
      </c>
    </row>
    <row r="1066" spans="1:11" x14ac:dyDescent="0.35">
      <c r="A1066" s="168" t="s">
        <v>39</v>
      </c>
      <c r="B1066" s="168"/>
      <c r="C1066" s="170"/>
      <c r="D1066" s="166">
        <f>D1067+D1069</f>
        <v>851.9</v>
      </c>
      <c r="E1066" s="166"/>
      <c r="F1066" s="166"/>
      <c r="G1066" s="166"/>
      <c r="H1066" s="164"/>
      <c r="I1066" s="137">
        <f>I1067+I1069</f>
        <v>2580116.9</v>
      </c>
      <c r="J1066" s="137"/>
      <c r="K1066" s="137"/>
    </row>
    <row r="1067" spans="1:11" s="145" customFormat="1" x14ac:dyDescent="0.3">
      <c r="A1067" s="270">
        <v>1</v>
      </c>
      <c r="B1067" s="270">
        <v>6735</v>
      </c>
      <c r="C1067" s="278" t="s">
        <v>436</v>
      </c>
      <c r="D1067" s="273">
        <v>395.1</v>
      </c>
      <c r="E1067" s="273" t="s">
        <v>633</v>
      </c>
      <c r="F1067" s="282">
        <v>2</v>
      </c>
      <c r="G1067" s="270" t="s">
        <v>71</v>
      </c>
      <c r="H1067" s="136" t="s">
        <v>72</v>
      </c>
      <c r="I1067" s="137">
        <f>I1068</f>
        <v>59972.26</v>
      </c>
      <c r="J1067" s="137">
        <f>J1068</f>
        <v>151.79</v>
      </c>
      <c r="K1067" s="137">
        <f>K1068</f>
        <v>178</v>
      </c>
    </row>
    <row r="1068" spans="1:11" s="145" customFormat="1" ht="46.5" x14ac:dyDescent="0.3">
      <c r="A1068" s="271">
        <v>1036</v>
      </c>
      <c r="B1068" s="272"/>
      <c r="C1068" s="279"/>
      <c r="D1068" s="274"/>
      <c r="E1068" s="275"/>
      <c r="F1068" s="284"/>
      <c r="G1068" s="271"/>
      <c r="H1068" s="136" t="s">
        <v>673</v>
      </c>
      <c r="I1068" s="137">
        <f>57480.26+K1068*14</f>
        <v>59972.26</v>
      </c>
      <c r="J1068" s="137">
        <f>I1068/D1067</f>
        <v>151.79</v>
      </c>
      <c r="K1068" s="137">
        <f>164+14</f>
        <v>178</v>
      </c>
    </row>
    <row r="1069" spans="1:11" s="145" customFormat="1" x14ac:dyDescent="0.3">
      <c r="A1069" s="270">
        <v>2</v>
      </c>
      <c r="B1069" s="270">
        <v>6742</v>
      </c>
      <c r="C1069" s="278" t="s">
        <v>677</v>
      </c>
      <c r="D1069" s="273">
        <v>456.8</v>
      </c>
      <c r="E1069" s="273" t="s">
        <v>74</v>
      </c>
      <c r="F1069" s="282">
        <v>2</v>
      </c>
      <c r="G1069" s="167"/>
      <c r="H1069" s="136" t="s">
        <v>72</v>
      </c>
      <c r="I1069" s="137">
        <f>I1070+I1071</f>
        <v>2520144.64</v>
      </c>
      <c r="J1069" s="137">
        <f>J1070+J1071</f>
        <v>5516.95</v>
      </c>
      <c r="K1069" s="137">
        <f>K1070+K1071</f>
        <v>7066</v>
      </c>
    </row>
    <row r="1070" spans="1:11" s="145" customFormat="1" x14ac:dyDescent="0.3">
      <c r="A1070" s="271">
        <v>1036</v>
      </c>
      <c r="B1070" s="271"/>
      <c r="C1070" s="279"/>
      <c r="D1070" s="274"/>
      <c r="E1070" s="274"/>
      <c r="F1070" s="283"/>
      <c r="G1070" s="277" t="s">
        <v>71</v>
      </c>
      <c r="H1070" s="136" t="s">
        <v>73</v>
      </c>
      <c r="I1070" s="137">
        <v>2488904.2799999998</v>
      </c>
      <c r="J1070" s="137">
        <f>I1070/D1069</f>
        <v>5448.56</v>
      </c>
      <c r="K1070" s="137">
        <v>6918</v>
      </c>
    </row>
    <row r="1071" spans="1:11" s="145" customFormat="1" x14ac:dyDescent="0.3">
      <c r="A1071" s="272">
        <v>1037</v>
      </c>
      <c r="B1071" s="272"/>
      <c r="C1071" s="285"/>
      <c r="D1071" s="275"/>
      <c r="E1071" s="275"/>
      <c r="F1071" s="284"/>
      <c r="G1071" s="277"/>
      <c r="H1071" s="136" t="s">
        <v>75</v>
      </c>
      <c r="I1071" s="137">
        <v>31240.36</v>
      </c>
      <c r="J1071" s="137">
        <f>I1071/D1069</f>
        <v>68.39</v>
      </c>
      <c r="K1071" s="137">
        <v>148</v>
      </c>
    </row>
    <row r="1072" spans="1:11" x14ac:dyDescent="0.35">
      <c r="A1072" s="168" t="s">
        <v>40</v>
      </c>
      <c r="B1072" s="168"/>
      <c r="C1072" s="170"/>
      <c r="D1072" s="181">
        <f>D1073+D1076+D1079+D1082+D1085+D1088+D1091+D1094+D1099+D1104+D1107+D1110+D1113+D1116+D1119+D1122+D1125+D1128</f>
        <v>7445.7</v>
      </c>
      <c r="E1072" s="181"/>
      <c r="F1072" s="181"/>
      <c r="G1072" s="166"/>
      <c r="H1072" s="164"/>
      <c r="I1072" s="137">
        <f>I1073+I1076+I1079+I1082+I1085+I1088+I1091+I1094+I1099+I1104+I1107+I1110+I1113+I1116+I1119+I1122+I1125+I1128</f>
        <v>25775091.789999999</v>
      </c>
      <c r="J1072" s="137"/>
      <c r="K1072" s="137"/>
    </row>
    <row r="1073" spans="1:11" s="145" customFormat="1" x14ac:dyDescent="0.3">
      <c r="A1073" s="270">
        <v>1</v>
      </c>
      <c r="B1073" s="270">
        <v>5400</v>
      </c>
      <c r="C1073" s="278" t="s">
        <v>438</v>
      </c>
      <c r="D1073" s="273">
        <v>427.3</v>
      </c>
      <c r="E1073" s="273" t="s">
        <v>633</v>
      </c>
      <c r="F1073" s="282">
        <v>2</v>
      </c>
      <c r="G1073" s="270" t="s">
        <v>81</v>
      </c>
      <c r="H1073" s="136" t="s">
        <v>72</v>
      </c>
      <c r="I1073" s="137">
        <f>SUM(I1074:I1075)</f>
        <v>778133.1</v>
      </c>
      <c r="J1073" s="137">
        <f>SUM(J1074:J1075)</f>
        <v>1821.05</v>
      </c>
      <c r="K1073" s="137">
        <f>SUM(K1074:K1075)</f>
        <v>5938</v>
      </c>
    </row>
    <row r="1074" spans="1:11" s="145" customFormat="1" ht="46.5" x14ac:dyDescent="0.3">
      <c r="A1074" s="271"/>
      <c r="B1074" s="271"/>
      <c r="C1074" s="279"/>
      <c r="D1074" s="274"/>
      <c r="E1074" s="274"/>
      <c r="F1074" s="283"/>
      <c r="G1074" s="271"/>
      <c r="H1074" s="136" t="s">
        <v>634</v>
      </c>
      <c r="I1074" s="137">
        <f>40485.11+D1073*19</f>
        <v>48603.81</v>
      </c>
      <c r="J1074" s="137">
        <f>I1074/D1073</f>
        <v>113.75</v>
      </c>
      <c r="K1074" s="137">
        <f>228+19</f>
        <v>247</v>
      </c>
    </row>
    <row r="1075" spans="1:11" s="145" customFormat="1" x14ac:dyDescent="0.3">
      <c r="A1075" s="271"/>
      <c r="B1075" s="272"/>
      <c r="C1075" s="279"/>
      <c r="D1075" s="274"/>
      <c r="E1075" s="274"/>
      <c r="F1075" s="283"/>
      <c r="G1075" s="271"/>
      <c r="H1075" s="136" t="s">
        <v>73</v>
      </c>
      <c r="I1075" s="137">
        <f>D1073*K1075*30/100</f>
        <v>729529.29</v>
      </c>
      <c r="J1075" s="137">
        <f>I1075/D1073</f>
        <v>1707.3</v>
      </c>
      <c r="K1075" s="137">
        <v>5691</v>
      </c>
    </row>
    <row r="1076" spans="1:11" s="145" customFormat="1" x14ac:dyDescent="0.3">
      <c r="A1076" s="270">
        <f>A1073+1</f>
        <v>2</v>
      </c>
      <c r="B1076" s="270">
        <v>5404</v>
      </c>
      <c r="C1076" s="278" t="s">
        <v>439</v>
      </c>
      <c r="D1076" s="273">
        <v>418</v>
      </c>
      <c r="E1076" s="273" t="s">
        <v>633</v>
      </c>
      <c r="F1076" s="282">
        <v>2</v>
      </c>
      <c r="G1076" s="167"/>
      <c r="H1076" s="136" t="s">
        <v>72</v>
      </c>
      <c r="I1076" s="137">
        <f>I1077+I1078</f>
        <v>168872</v>
      </c>
      <c r="J1076" s="137">
        <f>J1077+J1078</f>
        <v>404</v>
      </c>
      <c r="K1076" s="137">
        <f>K1077+K1078</f>
        <v>404</v>
      </c>
    </row>
    <row r="1077" spans="1:11" s="145" customFormat="1" ht="46.5" x14ac:dyDescent="0.3">
      <c r="A1077" s="271"/>
      <c r="B1077" s="271"/>
      <c r="C1077" s="279"/>
      <c r="D1077" s="322"/>
      <c r="E1077" s="322"/>
      <c r="F1077" s="323"/>
      <c r="G1077" s="270" t="s">
        <v>84</v>
      </c>
      <c r="H1077" s="171" t="s">
        <v>673</v>
      </c>
      <c r="I1077" s="137">
        <f>D1076*K1077</f>
        <v>95304</v>
      </c>
      <c r="J1077" s="137">
        <f>I1077/D1076</f>
        <v>228</v>
      </c>
      <c r="K1077" s="137">
        <f>210+18</f>
        <v>228</v>
      </c>
    </row>
    <row r="1078" spans="1:11" s="145" customFormat="1" ht="46.5" x14ac:dyDescent="0.3">
      <c r="A1078" s="271"/>
      <c r="B1078" s="272"/>
      <c r="C1078" s="279"/>
      <c r="D1078" s="274"/>
      <c r="E1078" s="274"/>
      <c r="F1078" s="283"/>
      <c r="G1078" s="272"/>
      <c r="H1078" s="136" t="s">
        <v>674</v>
      </c>
      <c r="I1078" s="137">
        <f>D1076*K1078</f>
        <v>73568</v>
      </c>
      <c r="J1078" s="137">
        <f>I1078/D1076</f>
        <v>176</v>
      </c>
      <c r="K1078" s="137">
        <f>162+14</f>
        <v>176</v>
      </c>
    </row>
    <row r="1079" spans="1:11" s="145" customFormat="1" x14ac:dyDescent="0.3">
      <c r="A1079" s="270">
        <f>A1076+1</f>
        <v>3</v>
      </c>
      <c r="B1079" s="270">
        <v>5408</v>
      </c>
      <c r="C1079" s="278" t="s">
        <v>440</v>
      </c>
      <c r="D1079" s="273">
        <v>280.60000000000002</v>
      </c>
      <c r="E1079" s="273" t="s">
        <v>633</v>
      </c>
      <c r="F1079" s="282">
        <v>2</v>
      </c>
      <c r="G1079" s="270" t="s">
        <v>71</v>
      </c>
      <c r="H1079" s="136" t="s">
        <v>72</v>
      </c>
      <c r="I1079" s="137">
        <f>SUM(I1080:I1081)</f>
        <v>668465.56000000006</v>
      </c>
      <c r="J1079" s="137">
        <f>SUM(J1080:J1081)</f>
        <v>2382.27</v>
      </c>
      <c r="K1079" s="137">
        <f>SUM(K1080:K1081)</f>
        <v>7558</v>
      </c>
    </row>
    <row r="1080" spans="1:11" s="145" customFormat="1" ht="46.5" x14ac:dyDescent="0.3">
      <c r="A1080" s="271"/>
      <c r="B1080" s="271"/>
      <c r="C1080" s="279"/>
      <c r="D1080" s="274"/>
      <c r="E1080" s="274"/>
      <c r="F1080" s="283"/>
      <c r="G1080" s="271"/>
      <c r="H1080" s="136" t="s">
        <v>673</v>
      </c>
      <c r="I1080" s="137">
        <f>43204.58+D1079*14</f>
        <v>47132.98</v>
      </c>
      <c r="J1080" s="137">
        <f>I1080/D1079</f>
        <v>167.97</v>
      </c>
      <c r="K1080" s="137">
        <f>163+14</f>
        <v>177</v>
      </c>
    </row>
    <row r="1081" spans="1:11" s="145" customFormat="1" x14ac:dyDescent="0.3">
      <c r="A1081" s="271"/>
      <c r="B1081" s="272"/>
      <c r="C1081" s="279"/>
      <c r="D1081" s="274"/>
      <c r="E1081" s="274"/>
      <c r="F1081" s="283"/>
      <c r="G1081" s="271"/>
      <c r="H1081" s="136" t="s">
        <v>73</v>
      </c>
      <c r="I1081" s="137">
        <f>D1079*K1081*30/100</f>
        <v>621332.57999999996</v>
      </c>
      <c r="J1081" s="137">
        <f>I1081/D1079</f>
        <v>2214.3000000000002</v>
      </c>
      <c r="K1081" s="137">
        <v>7381</v>
      </c>
    </row>
    <row r="1082" spans="1:11" s="145" customFormat="1" x14ac:dyDescent="0.3">
      <c r="A1082" s="270">
        <f>A1079+1</f>
        <v>4</v>
      </c>
      <c r="B1082" s="270">
        <v>5429</v>
      </c>
      <c r="C1082" s="278" t="s">
        <v>441</v>
      </c>
      <c r="D1082" s="273">
        <v>234.8</v>
      </c>
      <c r="E1082" s="273" t="s">
        <v>633</v>
      </c>
      <c r="F1082" s="282">
        <v>2</v>
      </c>
      <c r="G1082" s="270" t="s">
        <v>71</v>
      </c>
      <c r="H1082" s="136" t="s">
        <v>72</v>
      </c>
      <c r="I1082" s="137">
        <f>I1083+I1084</f>
        <v>1746650.18</v>
      </c>
      <c r="J1082" s="137">
        <f>J1083+J1084</f>
        <v>7438.88</v>
      </c>
      <c r="K1082" s="137">
        <f>K1083+K1084</f>
        <v>7539</v>
      </c>
    </row>
    <row r="1083" spans="1:11" s="145" customFormat="1" x14ac:dyDescent="0.3">
      <c r="A1083" s="271"/>
      <c r="B1083" s="271"/>
      <c r="C1083" s="279"/>
      <c r="D1083" s="274"/>
      <c r="E1083" s="274"/>
      <c r="F1083" s="283"/>
      <c r="G1083" s="271"/>
      <c r="H1083" s="136" t="s">
        <v>73</v>
      </c>
      <c r="I1083" s="137">
        <v>1724391.14</v>
      </c>
      <c r="J1083" s="137">
        <f>I1083/D1082</f>
        <v>7344.08</v>
      </c>
      <c r="K1083" s="137">
        <v>7381</v>
      </c>
    </row>
    <row r="1084" spans="1:11" s="145" customFormat="1" x14ac:dyDescent="0.3">
      <c r="A1084" s="271"/>
      <c r="B1084" s="272"/>
      <c r="C1084" s="285"/>
      <c r="D1084" s="275"/>
      <c r="E1084" s="275"/>
      <c r="F1084" s="284"/>
      <c r="G1084" s="272"/>
      <c r="H1084" s="136" t="s">
        <v>75</v>
      </c>
      <c r="I1084" s="137">
        <v>22259.040000000001</v>
      </c>
      <c r="J1084" s="137">
        <f>I1084/D1082</f>
        <v>94.8</v>
      </c>
      <c r="K1084" s="137">
        <v>158</v>
      </c>
    </row>
    <row r="1085" spans="1:11" s="145" customFormat="1" x14ac:dyDescent="0.3">
      <c r="A1085" s="270">
        <f>A1082+1</f>
        <v>5</v>
      </c>
      <c r="B1085" s="270">
        <v>5691</v>
      </c>
      <c r="C1085" s="278" t="s">
        <v>442</v>
      </c>
      <c r="D1085" s="273">
        <v>293.8</v>
      </c>
      <c r="E1085" s="273" t="s">
        <v>633</v>
      </c>
      <c r="F1085" s="282">
        <v>2</v>
      </c>
      <c r="G1085" s="270" t="s">
        <v>71</v>
      </c>
      <c r="H1085" s="136" t="s">
        <v>72</v>
      </c>
      <c r="I1085" s="137">
        <f>I1086+I1087</f>
        <v>1782747.18</v>
      </c>
      <c r="J1085" s="137">
        <f>J1086+J1087</f>
        <v>6067.89</v>
      </c>
      <c r="K1085" s="137">
        <f>K1086+K1087</f>
        <v>7539</v>
      </c>
    </row>
    <row r="1086" spans="1:11" s="145" customFormat="1" x14ac:dyDescent="0.3">
      <c r="A1086" s="271"/>
      <c r="B1086" s="271"/>
      <c r="C1086" s="279"/>
      <c r="D1086" s="274"/>
      <c r="E1086" s="274"/>
      <c r="F1086" s="283"/>
      <c r="G1086" s="271"/>
      <c r="H1086" s="136" t="s">
        <v>73</v>
      </c>
      <c r="I1086" s="137">
        <v>1760034.77</v>
      </c>
      <c r="J1086" s="137">
        <f>I1086/D1085-0.01</f>
        <v>5990.58</v>
      </c>
      <c r="K1086" s="137">
        <v>7381</v>
      </c>
    </row>
    <row r="1087" spans="1:11" s="145" customFormat="1" x14ac:dyDescent="0.3">
      <c r="A1087" s="271"/>
      <c r="B1087" s="272"/>
      <c r="C1087" s="285"/>
      <c r="D1087" s="275"/>
      <c r="E1087" s="275"/>
      <c r="F1087" s="284"/>
      <c r="G1087" s="272"/>
      <c r="H1087" s="136" t="s">
        <v>75</v>
      </c>
      <c r="I1087" s="137">
        <v>22712.41</v>
      </c>
      <c r="J1087" s="137">
        <f>I1087/D1085</f>
        <v>77.31</v>
      </c>
      <c r="K1087" s="137">
        <v>158</v>
      </c>
    </row>
    <row r="1088" spans="1:11" s="145" customFormat="1" x14ac:dyDescent="0.3">
      <c r="A1088" s="270">
        <f>A1085+1</f>
        <v>6</v>
      </c>
      <c r="B1088" s="270">
        <v>5617</v>
      </c>
      <c r="C1088" s="278" t="s">
        <v>443</v>
      </c>
      <c r="D1088" s="273">
        <v>201.7</v>
      </c>
      <c r="E1088" s="273" t="s">
        <v>633</v>
      </c>
      <c r="F1088" s="282">
        <v>1</v>
      </c>
      <c r="G1088" s="270" t="s">
        <v>71</v>
      </c>
      <c r="H1088" s="136" t="s">
        <v>72</v>
      </c>
      <c r="I1088" s="137">
        <f>I1089+I1090</f>
        <v>2206782.48</v>
      </c>
      <c r="J1088" s="137">
        <f>J1089+J1090</f>
        <v>10940.91</v>
      </c>
      <c r="K1088" s="137">
        <f>K1089+K1090</f>
        <v>11088</v>
      </c>
    </row>
    <row r="1089" spans="1:11" s="145" customFormat="1" x14ac:dyDescent="0.3">
      <c r="A1089" s="271"/>
      <c r="B1089" s="271"/>
      <c r="C1089" s="279"/>
      <c r="D1089" s="274"/>
      <c r="E1089" s="274"/>
      <c r="F1089" s="283"/>
      <c r="G1089" s="271"/>
      <c r="H1089" s="136" t="s">
        <v>73</v>
      </c>
      <c r="I1089" s="137">
        <v>2178705.84</v>
      </c>
      <c r="J1089" s="137">
        <f>I1089/D1088</f>
        <v>10801.71</v>
      </c>
      <c r="K1089" s="137">
        <v>10856</v>
      </c>
    </row>
    <row r="1090" spans="1:11" s="145" customFormat="1" x14ac:dyDescent="0.3">
      <c r="A1090" s="271"/>
      <c r="B1090" s="272"/>
      <c r="C1090" s="285"/>
      <c r="D1090" s="275"/>
      <c r="E1090" s="275"/>
      <c r="F1090" s="284"/>
      <c r="G1090" s="272"/>
      <c r="H1090" s="136" t="s">
        <v>75</v>
      </c>
      <c r="I1090" s="137">
        <v>28076.639999999999</v>
      </c>
      <c r="J1090" s="137">
        <f>I1090/D1088</f>
        <v>139.19999999999999</v>
      </c>
      <c r="K1090" s="137">
        <v>232</v>
      </c>
    </row>
    <row r="1091" spans="1:11" s="145" customFormat="1" x14ac:dyDescent="0.3">
      <c r="A1091" s="270">
        <f>A1088+1</f>
        <v>7</v>
      </c>
      <c r="B1091" s="270">
        <v>5440</v>
      </c>
      <c r="C1091" s="278" t="s">
        <v>444</v>
      </c>
      <c r="D1091" s="273">
        <v>331.9</v>
      </c>
      <c r="E1091" s="273" t="s">
        <v>633</v>
      </c>
      <c r="F1091" s="282">
        <v>2</v>
      </c>
      <c r="G1091" s="270" t="s">
        <v>71</v>
      </c>
      <c r="H1091" s="136" t="s">
        <v>72</v>
      </c>
      <c r="I1091" s="137">
        <f>SUM(I1092:I1093)</f>
        <v>780119.81</v>
      </c>
      <c r="J1091" s="137">
        <f>SUM(J1092:J1093)</f>
        <v>2350.4699999999998</v>
      </c>
      <c r="K1091" s="137">
        <f>SUM(K1092:K1093)</f>
        <v>7558</v>
      </c>
    </row>
    <row r="1092" spans="1:11" s="145" customFormat="1" ht="46.5" x14ac:dyDescent="0.3">
      <c r="A1092" s="271"/>
      <c r="B1092" s="271"/>
      <c r="C1092" s="279"/>
      <c r="D1092" s="274"/>
      <c r="E1092" s="274"/>
      <c r="F1092" s="283"/>
      <c r="G1092" s="271"/>
      <c r="H1092" s="136" t="s">
        <v>673</v>
      </c>
      <c r="I1092" s="137">
        <f>40547.04+D1091*14</f>
        <v>45193.64</v>
      </c>
      <c r="J1092" s="137">
        <f>I1092/D1091</f>
        <v>136.16999999999999</v>
      </c>
      <c r="K1092" s="137">
        <f>163+14</f>
        <v>177</v>
      </c>
    </row>
    <row r="1093" spans="1:11" s="145" customFormat="1" x14ac:dyDescent="0.3">
      <c r="A1093" s="271"/>
      <c r="B1093" s="272"/>
      <c r="C1093" s="279"/>
      <c r="D1093" s="274"/>
      <c r="E1093" s="274"/>
      <c r="F1093" s="283"/>
      <c r="G1093" s="271"/>
      <c r="H1093" s="136" t="s">
        <v>73</v>
      </c>
      <c r="I1093" s="137">
        <f>D1091*K1093*30/100</f>
        <v>734926.17</v>
      </c>
      <c r="J1093" s="137">
        <f>I1093/D1091</f>
        <v>2214.3000000000002</v>
      </c>
      <c r="K1093" s="137">
        <v>7381</v>
      </c>
    </row>
    <row r="1094" spans="1:11" s="145" customFormat="1" x14ac:dyDescent="0.3">
      <c r="A1094" s="270">
        <f>A1091+1</f>
        <v>8</v>
      </c>
      <c r="B1094" s="270">
        <v>5436</v>
      </c>
      <c r="C1094" s="278" t="s">
        <v>445</v>
      </c>
      <c r="D1094" s="273">
        <v>320.5</v>
      </c>
      <c r="E1094" s="273" t="s">
        <v>633</v>
      </c>
      <c r="F1094" s="282">
        <v>2</v>
      </c>
      <c r="G1094" s="270" t="s">
        <v>84</v>
      </c>
      <c r="H1094" s="136" t="s">
        <v>72</v>
      </c>
      <c r="I1094" s="137">
        <f>SUM(I1095:I1098)</f>
        <v>1023003.95</v>
      </c>
      <c r="J1094" s="137">
        <f>SUM(J1095:J1098)</f>
        <v>3191.9</v>
      </c>
      <c r="K1094" s="137">
        <f>SUM(K1095:K1098)</f>
        <v>9697</v>
      </c>
    </row>
    <row r="1095" spans="1:11" s="145" customFormat="1" ht="46.5" x14ac:dyDescent="0.3">
      <c r="A1095" s="271"/>
      <c r="B1095" s="271"/>
      <c r="C1095" s="279"/>
      <c r="D1095" s="274"/>
      <c r="E1095" s="274"/>
      <c r="F1095" s="283"/>
      <c r="G1095" s="271"/>
      <c r="H1095" s="136" t="s">
        <v>673</v>
      </c>
      <c r="I1095" s="137">
        <f>D1094*K1095</f>
        <v>73074</v>
      </c>
      <c r="J1095" s="137">
        <f>I1095/D1094</f>
        <v>228</v>
      </c>
      <c r="K1095" s="137">
        <f>210+18</f>
        <v>228</v>
      </c>
    </row>
    <row r="1096" spans="1:11" s="145" customFormat="1" x14ac:dyDescent="0.3">
      <c r="A1096" s="271"/>
      <c r="B1096" s="271"/>
      <c r="C1096" s="279"/>
      <c r="D1096" s="274"/>
      <c r="E1096" s="274"/>
      <c r="F1096" s="283"/>
      <c r="G1096" s="271"/>
      <c r="H1096" s="136" t="s">
        <v>73</v>
      </c>
      <c r="I1096" s="137">
        <f>K1096*D1094*30/100</f>
        <v>504595.20000000001</v>
      </c>
      <c r="J1096" s="137">
        <f>I1096/D1094</f>
        <v>1574.4</v>
      </c>
      <c r="K1096" s="137">
        <v>5248</v>
      </c>
    </row>
    <row r="1097" spans="1:11" s="145" customFormat="1" ht="46.5" x14ac:dyDescent="0.3">
      <c r="A1097" s="271"/>
      <c r="B1097" s="271"/>
      <c r="C1097" s="279"/>
      <c r="D1097" s="274"/>
      <c r="E1097" s="274"/>
      <c r="F1097" s="283"/>
      <c r="G1097" s="271"/>
      <c r="H1097" s="136" t="s">
        <v>674</v>
      </c>
      <c r="I1097" s="137">
        <f>D1094*K1097</f>
        <v>56408</v>
      </c>
      <c r="J1097" s="137">
        <f>I1097/D1094</f>
        <v>176</v>
      </c>
      <c r="K1097" s="137">
        <f>162+14</f>
        <v>176</v>
      </c>
    </row>
    <row r="1098" spans="1:11" s="145" customFormat="1" x14ac:dyDescent="0.3">
      <c r="A1098" s="271"/>
      <c r="B1098" s="272"/>
      <c r="C1098" s="279"/>
      <c r="D1098" s="274"/>
      <c r="E1098" s="274"/>
      <c r="F1098" s="283"/>
      <c r="G1098" s="271"/>
      <c r="H1098" s="136" t="s">
        <v>676</v>
      </c>
      <c r="I1098" s="137">
        <f>K1098*D1094*30/100</f>
        <v>388926.75</v>
      </c>
      <c r="J1098" s="137">
        <f>I1098/D1094</f>
        <v>1213.5</v>
      </c>
      <c r="K1098" s="137">
        <v>4045</v>
      </c>
    </row>
    <row r="1099" spans="1:11" s="145" customFormat="1" x14ac:dyDescent="0.3">
      <c r="A1099" s="270">
        <f>A1094+1</f>
        <v>9</v>
      </c>
      <c r="B1099" s="270">
        <v>5452</v>
      </c>
      <c r="C1099" s="278" t="s">
        <v>446</v>
      </c>
      <c r="D1099" s="273">
        <v>362</v>
      </c>
      <c r="E1099" s="273" t="s">
        <v>633</v>
      </c>
      <c r="F1099" s="282">
        <v>2</v>
      </c>
      <c r="G1099" s="270" t="s">
        <v>84</v>
      </c>
      <c r="H1099" s="136" t="s">
        <v>72</v>
      </c>
      <c r="I1099" s="137">
        <f>SUM(I1100:I1103)</f>
        <v>1155467.8</v>
      </c>
      <c r="J1099" s="137">
        <f>SUM(J1100:J1103)</f>
        <v>3191.9</v>
      </c>
      <c r="K1099" s="137">
        <f>SUM(K1100:K1103)</f>
        <v>9697</v>
      </c>
    </row>
    <row r="1100" spans="1:11" s="145" customFormat="1" ht="46.5" x14ac:dyDescent="0.3">
      <c r="A1100" s="271"/>
      <c r="B1100" s="271"/>
      <c r="C1100" s="279"/>
      <c r="D1100" s="274"/>
      <c r="E1100" s="274"/>
      <c r="F1100" s="283"/>
      <c r="G1100" s="271"/>
      <c r="H1100" s="136" t="s">
        <v>673</v>
      </c>
      <c r="I1100" s="137">
        <f>K1100*D1099</f>
        <v>82536</v>
      </c>
      <c r="J1100" s="137">
        <f>I1100/D1099</f>
        <v>228</v>
      </c>
      <c r="K1100" s="137">
        <f>210+18</f>
        <v>228</v>
      </c>
    </row>
    <row r="1101" spans="1:11" s="145" customFormat="1" x14ac:dyDescent="0.3">
      <c r="A1101" s="271"/>
      <c r="B1101" s="271"/>
      <c r="C1101" s="279"/>
      <c r="D1101" s="274"/>
      <c r="E1101" s="274"/>
      <c r="F1101" s="283"/>
      <c r="G1101" s="271"/>
      <c r="H1101" s="136" t="s">
        <v>73</v>
      </c>
      <c r="I1101" s="137">
        <f>K1101*D1099*30/100</f>
        <v>569932.80000000005</v>
      </c>
      <c r="J1101" s="137">
        <f>I1101/D1099</f>
        <v>1574.4</v>
      </c>
      <c r="K1101" s="137">
        <v>5248</v>
      </c>
    </row>
    <row r="1102" spans="1:11" s="145" customFormat="1" ht="46.5" x14ac:dyDescent="0.3">
      <c r="A1102" s="271"/>
      <c r="B1102" s="271"/>
      <c r="C1102" s="279"/>
      <c r="D1102" s="274"/>
      <c r="E1102" s="274"/>
      <c r="F1102" s="283"/>
      <c r="G1102" s="271"/>
      <c r="H1102" s="136" t="s">
        <v>674</v>
      </c>
      <c r="I1102" s="137">
        <f>D1099*K1102</f>
        <v>63712</v>
      </c>
      <c r="J1102" s="137">
        <f>I1102/D1099</f>
        <v>176</v>
      </c>
      <c r="K1102" s="137">
        <f>162+14</f>
        <v>176</v>
      </c>
    </row>
    <row r="1103" spans="1:11" s="145" customFormat="1" x14ac:dyDescent="0.3">
      <c r="A1103" s="271"/>
      <c r="B1103" s="272"/>
      <c r="C1103" s="285"/>
      <c r="D1103" s="275"/>
      <c r="E1103" s="275"/>
      <c r="F1103" s="284"/>
      <c r="G1103" s="272"/>
      <c r="H1103" s="136" t="s">
        <v>676</v>
      </c>
      <c r="I1103" s="137">
        <f>D1099*K1103*0.3</f>
        <v>439287</v>
      </c>
      <c r="J1103" s="137">
        <f>I1103/D1099</f>
        <v>1213.5</v>
      </c>
      <c r="K1103" s="137">
        <v>4045</v>
      </c>
    </row>
    <row r="1104" spans="1:11" s="145" customFormat="1" x14ac:dyDescent="0.3">
      <c r="A1104" s="270">
        <f>A1099+1</f>
        <v>10</v>
      </c>
      <c r="B1104" s="270">
        <v>5475</v>
      </c>
      <c r="C1104" s="278" t="s">
        <v>447</v>
      </c>
      <c r="D1104" s="273">
        <v>1750.1</v>
      </c>
      <c r="E1104" s="273" t="s">
        <v>74</v>
      </c>
      <c r="F1104" s="282">
        <v>5</v>
      </c>
      <c r="G1104" s="270" t="s">
        <v>71</v>
      </c>
      <c r="H1104" s="136" t="s">
        <v>72</v>
      </c>
      <c r="I1104" s="137">
        <f>SUM(I1105:I1106)</f>
        <v>1910340.3</v>
      </c>
      <c r="J1104" s="137">
        <f>SUM(J1105:J1106)</f>
        <v>1091.56</v>
      </c>
      <c r="K1104" s="137">
        <f>SUM(K1105:K1106)</f>
        <v>3416</v>
      </c>
    </row>
    <row r="1105" spans="1:11" s="145" customFormat="1" ht="62" x14ac:dyDescent="0.3">
      <c r="A1105" s="271"/>
      <c r="B1105" s="271"/>
      <c r="C1105" s="279"/>
      <c r="D1105" s="274"/>
      <c r="E1105" s="274"/>
      <c r="F1105" s="283"/>
      <c r="G1105" s="271"/>
      <c r="H1105" s="136" t="s">
        <v>761</v>
      </c>
      <c r="I1105" s="137">
        <f>172140.98+D1104*11</f>
        <v>191392.08</v>
      </c>
      <c r="J1105" s="137">
        <f>I1105/D1104</f>
        <v>109.36</v>
      </c>
      <c r="K1105" s="137">
        <f>131+11</f>
        <v>142</v>
      </c>
    </row>
    <row r="1106" spans="1:11" s="145" customFormat="1" ht="31" x14ac:dyDescent="0.3">
      <c r="A1106" s="271"/>
      <c r="B1106" s="272"/>
      <c r="C1106" s="279"/>
      <c r="D1106" s="274"/>
      <c r="E1106" s="274"/>
      <c r="F1106" s="283"/>
      <c r="G1106" s="271"/>
      <c r="H1106" s="136" t="s">
        <v>85</v>
      </c>
      <c r="I1106" s="137">
        <f>K1106*D1104*30/100</f>
        <v>1718948.22</v>
      </c>
      <c r="J1106" s="137">
        <f>I1106/D1104</f>
        <v>982.2</v>
      </c>
      <c r="K1106" s="137">
        <v>3274</v>
      </c>
    </row>
    <row r="1107" spans="1:11" s="145" customFormat="1" x14ac:dyDescent="0.3">
      <c r="A1107" s="270">
        <f>A1104+1</f>
        <v>11</v>
      </c>
      <c r="B1107" s="270">
        <v>5537</v>
      </c>
      <c r="C1107" s="278" t="s">
        <v>448</v>
      </c>
      <c r="D1107" s="273">
        <v>324.5</v>
      </c>
      <c r="E1107" s="273" t="s">
        <v>633</v>
      </c>
      <c r="F1107" s="282">
        <v>2</v>
      </c>
      <c r="G1107" s="270" t="s">
        <v>71</v>
      </c>
      <c r="H1107" s="136" t="s">
        <v>72</v>
      </c>
      <c r="I1107" s="137">
        <f>I1108+I1109</f>
        <v>1874159.16</v>
      </c>
      <c r="J1107" s="137">
        <f>J1108+J1109</f>
        <v>5775.53</v>
      </c>
      <c r="K1107" s="137">
        <f>K1108+K1109</f>
        <v>7539</v>
      </c>
    </row>
    <row r="1108" spans="1:11" s="145" customFormat="1" x14ac:dyDescent="0.3">
      <c r="A1108" s="271"/>
      <c r="B1108" s="271"/>
      <c r="C1108" s="279"/>
      <c r="D1108" s="274"/>
      <c r="E1108" s="274"/>
      <c r="F1108" s="283"/>
      <c r="G1108" s="271"/>
      <c r="H1108" s="136" t="s">
        <v>73</v>
      </c>
      <c r="I1108" s="137">
        <v>1850282.15</v>
      </c>
      <c r="J1108" s="137">
        <f>I1108/D1107</f>
        <v>5701.95</v>
      </c>
      <c r="K1108" s="137">
        <v>7381</v>
      </c>
    </row>
    <row r="1109" spans="1:11" s="145" customFormat="1" x14ac:dyDescent="0.3">
      <c r="A1109" s="271"/>
      <c r="B1109" s="272"/>
      <c r="C1109" s="285"/>
      <c r="D1109" s="275"/>
      <c r="E1109" s="275"/>
      <c r="F1109" s="284"/>
      <c r="G1109" s="272"/>
      <c r="H1109" s="136" t="s">
        <v>75</v>
      </c>
      <c r="I1109" s="137">
        <v>23877.01</v>
      </c>
      <c r="J1109" s="137">
        <f>I1109/D1107</f>
        <v>73.58</v>
      </c>
      <c r="K1109" s="137">
        <v>158</v>
      </c>
    </row>
    <row r="1110" spans="1:11" s="145" customFormat="1" x14ac:dyDescent="0.3">
      <c r="A1110" s="270">
        <f>A1107+1</f>
        <v>12</v>
      </c>
      <c r="B1110" s="270">
        <v>5547</v>
      </c>
      <c r="C1110" s="278" t="s">
        <v>449</v>
      </c>
      <c r="D1110" s="273">
        <v>394.4</v>
      </c>
      <c r="E1110" s="273" t="s">
        <v>633</v>
      </c>
      <c r="F1110" s="282">
        <v>2</v>
      </c>
      <c r="G1110" s="270" t="s">
        <v>71</v>
      </c>
      <c r="H1110" s="136" t="s">
        <v>72</v>
      </c>
      <c r="I1110" s="137">
        <f>SUM(I1111:I1112)</f>
        <v>927098.98</v>
      </c>
      <c r="J1110" s="137">
        <f>SUM(J1111:J1112)</f>
        <v>2350.66</v>
      </c>
      <c r="K1110" s="137">
        <f>SUM(K1111:K1112)</f>
        <v>7558</v>
      </c>
    </row>
    <row r="1111" spans="1:11" s="145" customFormat="1" ht="46.5" x14ac:dyDescent="0.3">
      <c r="A1111" s="271"/>
      <c r="B1111" s="271"/>
      <c r="C1111" s="279"/>
      <c r="D1111" s="274"/>
      <c r="E1111" s="274"/>
      <c r="F1111" s="283"/>
      <c r="G1111" s="271"/>
      <c r="H1111" s="136" t="s">
        <v>673</v>
      </c>
      <c r="I1111" s="137">
        <f>48257.46+D1110*14</f>
        <v>53779.06</v>
      </c>
      <c r="J1111" s="137">
        <f>I1111/D1110</f>
        <v>136.36000000000001</v>
      </c>
      <c r="K1111" s="137">
        <f>163+14</f>
        <v>177</v>
      </c>
    </row>
    <row r="1112" spans="1:11" s="145" customFormat="1" x14ac:dyDescent="0.3">
      <c r="A1112" s="271"/>
      <c r="B1112" s="272"/>
      <c r="C1112" s="279"/>
      <c r="D1112" s="274"/>
      <c r="E1112" s="274"/>
      <c r="F1112" s="283"/>
      <c r="G1112" s="271"/>
      <c r="H1112" s="136" t="s">
        <v>73</v>
      </c>
      <c r="I1112" s="137">
        <f>K1112*D1110*30/100</f>
        <v>873319.92</v>
      </c>
      <c r="J1112" s="137">
        <f>I1112/D1110</f>
        <v>2214.3000000000002</v>
      </c>
      <c r="K1112" s="137">
        <v>7381</v>
      </c>
    </row>
    <row r="1113" spans="1:11" s="145" customFormat="1" x14ac:dyDescent="0.3">
      <c r="A1113" s="270">
        <f>A1110+1</f>
        <v>13</v>
      </c>
      <c r="B1113" s="270">
        <v>5696</v>
      </c>
      <c r="C1113" s="278" t="s">
        <v>450</v>
      </c>
      <c r="D1113" s="273">
        <v>339.5</v>
      </c>
      <c r="E1113" s="273" t="s">
        <v>633</v>
      </c>
      <c r="F1113" s="282">
        <v>2</v>
      </c>
      <c r="G1113" s="270" t="s">
        <v>71</v>
      </c>
      <c r="H1113" s="136" t="s">
        <v>72</v>
      </c>
      <c r="I1113" s="137">
        <f>SUM(I1114:I1115)</f>
        <v>798058.47</v>
      </c>
      <c r="J1113" s="137">
        <f>SUM(J1114:J1115)</f>
        <v>2350.69</v>
      </c>
      <c r="K1113" s="137">
        <f>SUM(K1114:K1115)</f>
        <v>7558</v>
      </c>
    </row>
    <row r="1114" spans="1:11" s="145" customFormat="1" ht="46.5" x14ac:dyDescent="0.3">
      <c r="A1114" s="271"/>
      <c r="B1114" s="271"/>
      <c r="C1114" s="279"/>
      <c r="D1114" s="274"/>
      <c r="E1114" s="274"/>
      <c r="F1114" s="283"/>
      <c r="G1114" s="271"/>
      <c r="H1114" s="136" t="s">
        <v>673</v>
      </c>
      <c r="I1114" s="137">
        <f>41550.62+D1113*14</f>
        <v>46303.62</v>
      </c>
      <c r="J1114" s="137">
        <f>I1114/D1113</f>
        <v>136.38999999999999</v>
      </c>
      <c r="K1114" s="137">
        <f>163+14</f>
        <v>177</v>
      </c>
    </row>
    <row r="1115" spans="1:11" s="145" customFormat="1" x14ac:dyDescent="0.3">
      <c r="A1115" s="271"/>
      <c r="B1115" s="272"/>
      <c r="C1115" s="279"/>
      <c r="D1115" s="274"/>
      <c r="E1115" s="274"/>
      <c r="F1115" s="283"/>
      <c r="G1115" s="271"/>
      <c r="H1115" s="136" t="s">
        <v>73</v>
      </c>
      <c r="I1115" s="137">
        <f>D1113*K1115*30/100</f>
        <v>751754.85</v>
      </c>
      <c r="J1115" s="137">
        <f>I1115/D1113</f>
        <v>2214.3000000000002</v>
      </c>
      <c r="K1115" s="137">
        <v>7381</v>
      </c>
    </row>
    <row r="1116" spans="1:11" s="145" customFormat="1" x14ac:dyDescent="0.3">
      <c r="A1116" s="270">
        <f>A1113+1</f>
        <v>14</v>
      </c>
      <c r="B1116" s="270">
        <v>5763</v>
      </c>
      <c r="C1116" s="278" t="s">
        <v>451</v>
      </c>
      <c r="D1116" s="273">
        <v>294.10000000000002</v>
      </c>
      <c r="E1116" s="273" t="s">
        <v>633</v>
      </c>
      <c r="F1116" s="282">
        <v>1</v>
      </c>
      <c r="G1116" s="270" t="s">
        <v>71</v>
      </c>
      <c r="H1116" s="136" t="s">
        <v>72</v>
      </c>
      <c r="I1116" s="137">
        <f>I1117+I1118</f>
        <v>3228860.58</v>
      </c>
      <c r="J1116" s="137">
        <f>J1117+J1118</f>
        <v>10978.78</v>
      </c>
      <c r="K1116" s="137">
        <f>K1117+K1118</f>
        <v>11088</v>
      </c>
    </row>
    <row r="1117" spans="1:11" s="145" customFormat="1" x14ac:dyDescent="0.3">
      <c r="A1117" s="271"/>
      <c r="B1117" s="271"/>
      <c r="C1117" s="279"/>
      <c r="D1117" s="274"/>
      <c r="E1117" s="274"/>
      <c r="F1117" s="283"/>
      <c r="G1117" s="271"/>
      <c r="H1117" s="136" t="s">
        <v>73</v>
      </c>
      <c r="I1117" s="137">
        <v>3176785.64</v>
      </c>
      <c r="J1117" s="137">
        <f>I1117/D1116-0.01</f>
        <v>10801.71</v>
      </c>
      <c r="K1117" s="137">
        <v>10856</v>
      </c>
    </row>
    <row r="1118" spans="1:11" s="145" customFormat="1" x14ac:dyDescent="0.3">
      <c r="A1118" s="271"/>
      <c r="B1118" s="272"/>
      <c r="C1118" s="285"/>
      <c r="D1118" s="275"/>
      <c r="E1118" s="275"/>
      <c r="F1118" s="284"/>
      <c r="G1118" s="272"/>
      <c r="H1118" s="136" t="s">
        <v>75</v>
      </c>
      <c r="I1118" s="137">
        <v>52074.94</v>
      </c>
      <c r="J1118" s="137">
        <f>I1118/D1116</f>
        <v>177.07</v>
      </c>
      <c r="K1118" s="137">
        <v>232</v>
      </c>
    </row>
    <row r="1119" spans="1:11" s="145" customFormat="1" x14ac:dyDescent="0.3">
      <c r="A1119" s="270">
        <f>A1116+1</f>
        <v>15</v>
      </c>
      <c r="B1119" s="270">
        <v>5749</v>
      </c>
      <c r="C1119" s="278" t="s">
        <v>452</v>
      </c>
      <c r="D1119" s="273">
        <v>408.6</v>
      </c>
      <c r="E1119" s="273" t="s">
        <v>633</v>
      </c>
      <c r="F1119" s="282">
        <v>2</v>
      </c>
      <c r="G1119" s="270" t="s">
        <v>71</v>
      </c>
      <c r="H1119" s="136" t="s">
        <v>72</v>
      </c>
      <c r="I1119" s="137">
        <f>I1120+I1121</f>
        <v>2598754.61</v>
      </c>
      <c r="J1119" s="137">
        <f>J1120+J1121</f>
        <v>6360.14</v>
      </c>
      <c r="K1119" s="137">
        <f>K1120+K1121</f>
        <v>7539</v>
      </c>
    </row>
    <row r="1120" spans="1:11" s="145" customFormat="1" x14ac:dyDescent="0.3">
      <c r="A1120" s="271"/>
      <c r="B1120" s="271"/>
      <c r="C1120" s="279"/>
      <c r="D1120" s="274"/>
      <c r="E1120" s="274"/>
      <c r="F1120" s="283"/>
      <c r="G1120" s="271"/>
      <c r="H1120" s="136" t="s">
        <v>73</v>
      </c>
      <c r="I1120" s="137">
        <v>2560720.13</v>
      </c>
      <c r="J1120" s="137">
        <f>I1120/D1119</f>
        <v>6267.06</v>
      </c>
      <c r="K1120" s="137">
        <v>7381</v>
      </c>
    </row>
    <row r="1121" spans="1:213" s="145" customFormat="1" x14ac:dyDescent="0.3">
      <c r="A1121" s="271"/>
      <c r="B1121" s="272"/>
      <c r="C1121" s="285"/>
      <c r="D1121" s="275"/>
      <c r="E1121" s="275"/>
      <c r="F1121" s="284"/>
      <c r="G1121" s="272"/>
      <c r="H1121" s="136" t="s">
        <v>75</v>
      </c>
      <c r="I1121" s="137">
        <v>38034.480000000003</v>
      </c>
      <c r="J1121" s="137">
        <f>I1121/D1119</f>
        <v>93.08</v>
      </c>
      <c r="K1121" s="137">
        <v>158</v>
      </c>
    </row>
    <row r="1122" spans="1:213" s="145" customFormat="1" x14ac:dyDescent="0.3">
      <c r="A1122" s="270">
        <f>A1119+1</f>
        <v>16</v>
      </c>
      <c r="B1122" s="270">
        <v>5796</v>
      </c>
      <c r="C1122" s="278" t="s">
        <v>453</v>
      </c>
      <c r="D1122" s="273">
        <v>354.2</v>
      </c>
      <c r="E1122" s="273" t="s">
        <v>74</v>
      </c>
      <c r="F1122" s="282">
        <v>2</v>
      </c>
      <c r="G1122" s="270" t="s">
        <v>71</v>
      </c>
      <c r="H1122" s="136" t="s">
        <v>72</v>
      </c>
      <c r="I1122" s="137">
        <f>SUM(I1123:I1124)</f>
        <v>831735.43</v>
      </c>
      <c r="J1122" s="137">
        <f>SUM(J1123:J1124)</f>
        <v>2348.21</v>
      </c>
      <c r="K1122" s="137">
        <f>SUM(K1123:K1124)</f>
        <v>7548</v>
      </c>
    </row>
    <row r="1123" spans="1:213" s="145" customFormat="1" ht="46.5" x14ac:dyDescent="0.3">
      <c r="A1123" s="271"/>
      <c r="B1123" s="271"/>
      <c r="C1123" s="279"/>
      <c r="D1123" s="274"/>
      <c r="E1123" s="274"/>
      <c r="F1123" s="283"/>
      <c r="G1123" s="271"/>
      <c r="H1123" s="136" t="s">
        <v>673</v>
      </c>
      <c r="I1123" s="137">
        <f>42825.77+D1122*13</f>
        <v>47430.37</v>
      </c>
      <c r="J1123" s="137">
        <f>I1123/D1122</f>
        <v>133.91</v>
      </c>
      <c r="K1123" s="137">
        <f>154+13</f>
        <v>167</v>
      </c>
    </row>
    <row r="1124" spans="1:213" s="145" customFormat="1" x14ac:dyDescent="0.3">
      <c r="A1124" s="271"/>
      <c r="B1124" s="272"/>
      <c r="C1124" s="279"/>
      <c r="D1124" s="274"/>
      <c r="E1124" s="274"/>
      <c r="F1124" s="283"/>
      <c r="G1124" s="271"/>
      <c r="H1124" s="136" t="s">
        <v>73</v>
      </c>
      <c r="I1124" s="137">
        <f>D1122*K1124*30/100</f>
        <v>784305.06</v>
      </c>
      <c r="J1124" s="137">
        <f>I1124/D1122</f>
        <v>2214.3000000000002</v>
      </c>
      <c r="K1124" s="137">
        <v>7381</v>
      </c>
    </row>
    <row r="1125" spans="1:213" s="145" customFormat="1" x14ac:dyDescent="0.3">
      <c r="A1125" s="270">
        <f>A1122+1</f>
        <v>17</v>
      </c>
      <c r="B1125" s="270">
        <v>5798</v>
      </c>
      <c r="C1125" s="278" t="s">
        <v>454</v>
      </c>
      <c r="D1125" s="273">
        <v>361.8</v>
      </c>
      <c r="E1125" s="273" t="s">
        <v>74</v>
      </c>
      <c r="F1125" s="282">
        <v>2</v>
      </c>
      <c r="G1125" s="270" t="s">
        <v>71</v>
      </c>
      <c r="H1125" s="136" t="s">
        <v>72</v>
      </c>
      <c r="I1125" s="137">
        <f>I1126+I1127</f>
        <v>2478900.4700000002</v>
      </c>
      <c r="J1125" s="137">
        <f>J1126+J1127</f>
        <v>6851.58</v>
      </c>
      <c r="K1125" s="137">
        <f>K1126+K1127</f>
        <v>7539</v>
      </c>
    </row>
    <row r="1126" spans="1:213" s="145" customFormat="1" x14ac:dyDescent="0.3">
      <c r="A1126" s="271"/>
      <c r="B1126" s="271"/>
      <c r="C1126" s="279"/>
      <c r="D1126" s="274"/>
      <c r="E1126" s="274"/>
      <c r="F1126" s="283"/>
      <c r="G1126" s="271"/>
      <c r="H1126" s="136" t="s">
        <v>73</v>
      </c>
      <c r="I1126" s="137">
        <v>2441855.33</v>
      </c>
      <c r="J1126" s="137">
        <f>I1126/D1125</f>
        <v>6749.19</v>
      </c>
      <c r="K1126" s="137">
        <v>7381</v>
      </c>
    </row>
    <row r="1127" spans="1:213" s="145" customFormat="1" x14ac:dyDescent="0.3">
      <c r="A1127" s="271"/>
      <c r="B1127" s="272"/>
      <c r="C1127" s="285"/>
      <c r="D1127" s="275"/>
      <c r="E1127" s="275"/>
      <c r="F1127" s="284"/>
      <c r="G1127" s="272"/>
      <c r="H1127" s="136" t="s">
        <v>75</v>
      </c>
      <c r="I1127" s="137">
        <v>37045.14</v>
      </c>
      <c r="J1127" s="137">
        <f>I1127/D1125</f>
        <v>102.39</v>
      </c>
      <c r="K1127" s="137">
        <v>158</v>
      </c>
    </row>
    <row r="1128" spans="1:213" s="145" customFormat="1" x14ac:dyDescent="0.3">
      <c r="A1128" s="270">
        <f>A1125+1</f>
        <v>18</v>
      </c>
      <c r="B1128" s="270">
        <v>5800</v>
      </c>
      <c r="C1128" s="278" t="s">
        <v>455</v>
      </c>
      <c r="D1128" s="273">
        <v>347.9</v>
      </c>
      <c r="E1128" s="273" t="s">
        <v>74</v>
      </c>
      <c r="F1128" s="282">
        <v>2</v>
      </c>
      <c r="G1128" s="270" t="s">
        <v>71</v>
      </c>
      <c r="H1128" s="136" t="s">
        <v>72</v>
      </c>
      <c r="I1128" s="137">
        <f>SUM(I1129:I1130)</f>
        <v>816941.73</v>
      </c>
      <c r="J1128" s="137">
        <f>SUM(J1129:J1130)</f>
        <v>2348.21</v>
      </c>
      <c r="K1128" s="137">
        <f>SUM(K1129:K1130)</f>
        <v>7548</v>
      </c>
    </row>
    <row r="1129" spans="1:213" s="145" customFormat="1" ht="58" customHeight="1" x14ac:dyDescent="0.3">
      <c r="A1129" s="271"/>
      <c r="B1129" s="271"/>
      <c r="C1129" s="279"/>
      <c r="D1129" s="274"/>
      <c r="E1129" s="274"/>
      <c r="F1129" s="283"/>
      <c r="G1129" s="271"/>
      <c r="H1129" s="136" t="s">
        <v>673</v>
      </c>
      <c r="I1129" s="137">
        <f>42064.06+D1128*13</f>
        <v>46586.76</v>
      </c>
      <c r="J1129" s="137">
        <f>I1129/D1128</f>
        <v>133.91</v>
      </c>
      <c r="K1129" s="137">
        <f>154+13</f>
        <v>167</v>
      </c>
    </row>
    <row r="1130" spans="1:213" s="145" customFormat="1" x14ac:dyDescent="0.3">
      <c r="A1130" s="271"/>
      <c r="B1130" s="272"/>
      <c r="C1130" s="279"/>
      <c r="D1130" s="274"/>
      <c r="E1130" s="274"/>
      <c r="F1130" s="283"/>
      <c r="G1130" s="271"/>
      <c r="H1130" s="136" t="s">
        <v>73</v>
      </c>
      <c r="I1130" s="137">
        <f>D1128*K1130*30/100</f>
        <v>770354.97</v>
      </c>
      <c r="J1130" s="137">
        <f>I1130/D1128</f>
        <v>2214.3000000000002</v>
      </c>
      <c r="K1130" s="137">
        <v>7381</v>
      </c>
    </row>
    <row r="1131" spans="1:213" s="145" customFormat="1" x14ac:dyDescent="0.35">
      <c r="A1131" s="168" t="s">
        <v>41</v>
      </c>
      <c r="B1131" s="168"/>
      <c r="C1131" s="170"/>
      <c r="D1131" s="181">
        <f>D1132+D1134</f>
        <v>788.3</v>
      </c>
      <c r="E1131" s="181"/>
      <c r="F1131" s="181"/>
      <c r="G1131" s="166"/>
      <c r="H1131" s="164"/>
      <c r="I1131" s="137">
        <f>I1132+I1134</f>
        <v>800506.45</v>
      </c>
      <c r="J1131" s="137"/>
      <c r="K1131" s="137"/>
      <c r="L1131" s="123"/>
      <c r="M1131" s="123"/>
      <c r="N1131" s="123"/>
      <c r="O1131" s="123"/>
      <c r="P1131" s="123"/>
      <c r="Q1131" s="123"/>
      <c r="R1131" s="123"/>
      <c r="S1131" s="123"/>
      <c r="T1131" s="123"/>
      <c r="U1131" s="123"/>
      <c r="V1131" s="123"/>
      <c r="W1131" s="123"/>
      <c r="X1131" s="123"/>
      <c r="Y1131" s="123"/>
      <c r="Z1131" s="123"/>
      <c r="AA1131" s="123"/>
      <c r="AB1131" s="123"/>
      <c r="AC1131" s="123"/>
      <c r="AD1131" s="123"/>
      <c r="AE1131" s="123"/>
      <c r="AF1131" s="123"/>
      <c r="AG1131" s="123"/>
      <c r="AH1131" s="123"/>
      <c r="AI1131" s="123"/>
      <c r="AJ1131" s="123"/>
      <c r="AK1131" s="123"/>
      <c r="AL1131" s="123"/>
      <c r="AM1131" s="123"/>
      <c r="AN1131" s="123"/>
      <c r="AO1131" s="123"/>
      <c r="AP1131" s="123"/>
      <c r="AQ1131" s="123"/>
      <c r="AR1131" s="123"/>
      <c r="AS1131" s="123"/>
      <c r="AT1131" s="123"/>
      <c r="AU1131" s="123"/>
      <c r="AV1131" s="123"/>
      <c r="AW1131" s="123"/>
      <c r="AX1131" s="123"/>
      <c r="AY1131" s="123"/>
      <c r="AZ1131" s="123"/>
      <c r="BA1131" s="123"/>
      <c r="BB1131" s="123"/>
      <c r="BC1131" s="123"/>
      <c r="BD1131" s="123"/>
      <c r="BE1131" s="123"/>
      <c r="BF1131" s="123"/>
      <c r="BG1131" s="123"/>
      <c r="BH1131" s="123"/>
      <c r="BI1131" s="123"/>
      <c r="BJ1131" s="123"/>
      <c r="BK1131" s="123"/>
      <c r="BL1131" s="123"/>
      <c r="BM1131" s="123"/>
      <c r="BN1131" s="123"/>
      <c r="BO1131" s="123"/>
      <c r="BP1131" s="123"/>
      <c r="BQ1131" s="123"/>
      <c r="BR1131" s="123"/>
      <c r="BS1131" s="123"/>
      <c r="BT1131" s="123"/>
      <c r="BU1131" s="123"/>
      <c r="BV1131" s="123"/>
      <c r="BW1131" s="123"/>
      <c r="BX1131" s="123"/>
      <c r="BY1131" s="123"/>
      <c r="BZ1131" s="123"/>
      <c r="CA1131" s="123"/>
      <c r="CB1131" s="123"/>
      <c r="CC1131" s="123"/>
      <c r="CD1131" s="123"/>
      <c r="CE1131" s="123"/>
      <c r="CF1131" s="123"/>
      <c r="CG1131" s="123"/>
      <c r="CH1131" s="123"/>
      <c r="CI1131" s="123"/>
      <c r="CJ1131" s="123"/>
      <c r="CK1131" s="123"/>
      <c r="CL1131" s="123"/>
      <c r="CM1131" s="123"/>
      <c r="CN1131" s="123"/>
      <c r="CO1131" s="123"/>
      <c r="CP1131" s="123"/>
      <c r="CQ1131" s="123"/>
      <c r="CR1131" s="123"/>
      <c r="CS1131" s="123"/>
      <c r="CT1131" s="123"/>
      <c r="CU1131" s="123"/>
      <c r="CV1131" s="123"/>
      <c r="CW1131" s="123"/>
      <c r="CX1131" s="123"/>
      <c r="CY1131" s="123"/>
      <c r="CZ1131" s="123"/>
      <c r="DA1131" s="123"/>
      <c r="DB1131" s="123"/>
      <c r="DC1131" s="123"/>
      <c r="DD1131" s="123"/>
      <c r="DE1131" s="123"/>
      <c r="DF1131" s="123"/>
      <c r="DG1131" s="123"/>
      <c r="DH1131" s="123"/>
      <c r="DI1131" s="123"/>
      <c r="DJ1131" s="123"/>
      <c r="DK1131" s="123"/>
      <c r="DL1131" s="123"/>
      <c r="DM1131" s="123"/>
      <c r="DN1131" s="123"/>
      <c r="DO1131" s="123"/>
      <c r="DP1131" s="123"/>
      <c r="DQ1131" s="123"/>
      <c r="DR1131" s="123"/>
      <c r="DS1131" s="123"/>
      <c r="DT1131" s="123"/>
      <c r="DU1131" s="123"/>
      <c r="DV1131" s="123"/>
      <c r="DW1131" s="123"/>
      <c r="DX1131" s="123"/>
      <c r="DY1131" s="123"/>
      <c r="DZ1131" s="123"/>
      <c r="EA1131" s="123"/>
      <c r="EB1131" s="123"/>
      <c r="EC1131" s="123"/>
      <c r="ED1131" s="123"/>
      <c r="EE1131" s="123"/>
      <c r="EF1131" s="123"/>
      <c r="EG1131" s="123"/>
      <c r="EH1131" s="123"/>
      <c r="EI1131" s="123"/>
      <c r="EJ1131" s="123"/>
      <c r="EK1131" s="123"/>
      <c r="EL1131" s="123"/>
      <c r="EM1131" s="123"/>
      <c r="EN1131" s="123"/>
      <c r="EO1131" s="123"/>
      <c r="EP1131" s="123"/>
      <c r="EQ1131" s="123"/>
      <c r="ER1131" s="123"/>
      <c r="ES1131" s="123"/>
      <c r="ET1131" s="123"/>
      <c r="EU1131" s="123"/>
      <c r="EV1131" s="123"/>
      <c r="EW1131" s="123"/>
      <c r="EX1131" s="123"/>
      <c r="EY1131" s="123"/>
      <c r="EZ1131" s="123"/>
      <c r="FA1131" s="123"/>
      <c r="FB1131" s="123"/>
      <c r="FC1131" s="123"/>
      <c r="FD1131" s="123"/>
      <c r="FE1131" s="123"/>
      <c r="FF1131" s="123"/>
      <c r="FG1131" s="123"/>
      <c r="FH1131" s="123"/>
      <c r="FI1131" s="123"/>
      <c r="FJ1131" s="123"/>
      <c r="FK1131" s="123"/>
      <c r="FL1131" s="123"/>
      <c r="FM1131" s="123"/>
      <c r="FN1131" s="123"/>
      <c r="FO1131" s="123"/>
      <c r="FP1131" s="123"/>
      <c r="FQ1131" s="123"/>
      <c r="FR1131" s="123"/>
      <c r="FS1131" s="123"/>
      <c r="FT1131" s="123"/>
      <c r="FU1131" s="123"/>
      <c r="FV1131" s="123"/>
      <c r="FW1131" s="123"/>
      <c r="FX1131" s="123"/>
      <c r="FY1131" s="123"/>
      <c r="FZ1131" s="123"/>
      <c r="GA1131" s="123"/>
      <c r="GB1131" s="123"/>
      <c r="GC1131" s="123"/>
      <c r="GD1131" s="123"/>
      <c r="GE1131" s="123"/>
      <c r="GF1131" s="123"/>
      <c r="GG1131" s="123"/>
      <c r="GH1131" s="123"/>
      <c r="GI1131" s="123"/>
      <c r="GJ1131" s="123"/>
      <c r="GK1131" s="123"/>
      <c r="GL1131" s="123"/>
      <c r="GM1131" s="123"/>
      <c r="GN1131" s="123"/>
      <c r="GO1131" s="123"/>
      <c r="GP1131" s="123"/>
      <c r="GQ1131" s="123"/>
      <c r="GR1131" s="123"/>
      <c r="GS1131" s="123"/>
      <c r="GT1131" s="123"/>
      <c r="GU1131" s="123"/>
      <c r="GV1131" s="123"/>
      <c r="GW1131" s="123"/>
      <c r="GX1131" s="123"/>
      <c r="GY1131" s="123"/>
      <c r="GZ1131" s="123"/>
      <c r="HA1131" s="123"/>
      <c r="HB1131" s="123"/>
      <c r="HC1131" s="123"/>
      <c r="HD1131" s="123"/>
      <c r="HE1131" s="123"/>
    </row>
    <row r="1132" spans="1:213" s="145" customFormat="1" ht="18" customHeight="1" x14ac:dyDescent="0.3">
      <c r="A1132" s="270">
        <v>1</v>
      </c>
      <c r="B1132" s="270">
        <v>4886</v>
      </c>
      <c r="C1132" s="278" t="s">
        <v>456</v>
      </c>
      <c r="D1132" s="273">
        <v>482.1</v>
      </c>
      <c r="E1132" s="282" t="s">
        <v>74</v>
      </c>
      <c r="F1132" s="282">
        <v>2</v>
      </c>
      <c r="G1132" s="270" t="s">
        <v>71</v>
      </c>
      <c r="H1132" s="136" t="s">
        <v>72</v>
      </c>
      <c r="I1132" s="137">
        <f>I1133</f>
        <v>79929.89</v>
      </c>
      <c r="J1132" s="137">
        <f>J1133</f>
        <v>165.8</v>
      </c>
      <c r="K1132" s="137">
        <f>K1133</f>
        <v>167</v>
      </c>
    </row>
    <row r="1133" spans="1:213" s="145" customFormat="1" ht="54.5" customHeight="1" x14ac:dyDescent="0.3">
      <c r="A1133" s="271">
        <v>2457.6666666666702</v>
      </c>
      <c r="B1133" s="272"/>
      <c r="C1133" s="279"/>
      <c r="D1133" s="274"/>
      <c r="E1133" s="283"/>
      <c r="F1133" s="283"/>
      <c r="G1133" s="271"/>
      <c r="H1133" s="136" t="s">
        <v>673</v>
      </c>
      <c r="I1133" s="137">
        <f>73662.59+D1132*13</f>
        <v>79929.89</v>
      </c>
      <c r="J1133" s="137">
        <f>I1133/D1132</f>
        <v>165.8</v>
      </c>
      <c r="K1133" s="137">
        <f>154+13</f>
        <v>167</v>
      </c>
    </row>
    <row r="1134" spans="1:213" s="145" customFormat="1" x14ac:dyDescent="0.3">
      <c r="A1134" s="270">
        <v>2</v>
      </c>
      <c r="B1134" s="270">
        <v>4932</v>
      </c>
      <c r="C1134" s="278" t="s">
        <v>678</v>
      </c>
      <c r="D1134" s="273">
        <v>306.2</v>
      </c>
      <c r="E1134" s="282" t="s">
        <v>633</v>
      </c>
      <c r="F1134" s="282">
        <v>2</v>
      </c>
      <c r="G1134" s="270" t="s">
        <v>71</v>
      </c>
      <c r="H1134" s="136" t="s">
        <v>72</v>
      </c>
      <c r="I1134" s="137">
        <f>I1135+I1136</f>
        <v>720576.56</v>
      </c>
      <c r="J1134" s="137">
        <f>J1135+J1136</f>
        <v>2353.29</v>
      </c>
      <c r="K1134" s="137">
        <f>K1135+K1136</f>
        <v>7539</v>
      </c>
    </row>
    <row r="1135" spans="1:213" s="145" customFormat="1" x14ac:dyDescent="0.3">
      <c r="A1135" s="271">
        <v>1134</v>
      </c>
      <c r="B1135" s="271"/>
      <c r="C1135" s="279"/>
      <c r="D1135" s="274"/>
      <c r="E1135" s="283"/>
      <c r="F1135" s="283"/>
      <c r="G1135" s="271"/>
      <c r="H1135" s="136" t="s">
        <v>73</v>
      </c>
      <c r="I1135" s="137">
        <v>705479.3</v>
      </c>
      <c r="J1135" s="137">
        <f>I1135/D1134</f>
        <v>2303.98</v>
      </c>
      <c r="K1135" s="137">
        <v>7381</v>
      </c>
    </row>
    <row r="1136" spans="1:213" s="145" customFormat="1" x14ac:dyDescent="0.3">
      <c r="A1136" s="272">
        <v>1135</v>
      </c>
      <c r="B1136" s="272"/>
      <c r="C1136" s="285"/>
      <c r="D1136" s="275"/>
      <c r="E1136" s="284"/>
      <c r="F1136" s="284"/>
      <c r="G1136" s="272"/>
      <c r="H1136" s="136" t="s">
        <v>75</v>
      </c>
      <c r="I1136" s="137">
        <v>15097.26</v>
      </c>
      <c r="J1136" s="137">
        <f>I1136/D1134</f>
        <v>49.31</v>
      </c>
      <c r="K1136" s="137">
        <v>158</v>
      </c>
    </row>
    <row r="1137" spans="1:213" s="152" customFormat="1" x14ac:dyDescent="0.35">
      <c r="A1137" s="168" t="s">
        <v>42</v>
      </c>
      <c r="B1137" s="168"/>
      <c r="C1137" s="170"/>
      <c r="D1137" s="181">
        <f>D1138+D1140</f>
        <v>800</v>
      </c>
      <c r="E1137" s="181"/>
      <c r="F1137" s="181"/>
      <c r="G1137" s="166"/>
      <c r="H1137" s="164"/>
      <c r="I1137" s="137">
        <f>I1138+I1140</f>
        <v>1195935.53</v>
      </c>
      <c r="J1137" s="137"/>
      <c r="K1137" s="137"/>
      <c r="L1137" s="123"/>
      <c r="M1137" s="123"/>
      <c r="N1137" s="123"/>
      <c r="O1137" s="123"/>
      <c r="P1137" s="123"/>
      <c r="Q1137" s="123"/>
      <c r="R1137" s="123"/>
      <c r="S1137" s="123"/>
      <c r="T1137" s="123"/>
      <c r="U1137" s="123"/>
      <c r="V1137" s="123"/>
      <c r="W1137" s="123"/>
      <c r="X1137" s="123"/>
      <c r="Y1137" s="123"/>
      <c r="Z1137" s="123"/>
      <c r="AA1137" s="123"/>
      <c r="AB1137" s="123"/>
      <c r="AC1137" s="123"/>
      <c r="AD1137" s="123"/>
      <c r="AE1137" s="123"/>
      <c r="AF1137" s="123"/>
      <c r="AG1137" s="123"/>
      <c r="AH1137" s="123"/>
      <c r="AI1137" s="123"/>
      <c r="AJ1137" s="123"/>
      <c r="AK1137" s="123"/>
      <c r="AL1137" s="123"/>
      <c r="AM1137" s="123"/>
      <c r="AN1137" s="123"/>
      <c r="AO1137" s="123"/>
      <c r="AP1137" s="123"/>
      <c r="AQ1137" s="123"/>
      <c r="AR1137" s="123"/>
      <c r="AS1137" s="123"/>
      <c r="AT1137" s="123"/>
      <c r="AU1137" s="123"/>
      <c r="AV1137" s="123"/>
      <c r="AW1137" s="123"/>
      <c r="AX1137" s="123"/>
      <c r="AY1137" s="123"/>
      <c r="AZ1137" s="123"/>
      <c r="BA1137" s="123"/>
      <c r="BB1137" s="123"/>
      <c r="BC1137" s="123"/>
      <c r="BD1137" s="123"/>
      <c r="BE1137" s="123"/>
      <c r="BF1137" s="123"/>
      <c r="BG1137" s="123"/>
      <c r="BH1137" s="123"/>
      <c r="BI1137" s="123"/>
      <c r="BJ1137" s="123"/>
      <c r="BK1137" s="123"/>
      <c r="BL1137" s="123"/>
      <c r="BM1137" s="123"/>
      <c r="BN1137" s="123"/>
      <c r="BO1137" s="123"/>
      <c r="BP1137" s="123"/>
      <c r="BQ1137" s="123"/>
      <c r="BR1137" s="123"/>
      <c r="BS1137" s="123"/>
      <c r="BT1137" s="123"/>
      <c r="BU1137" s="123"/>
      <c r="BV1137" s="123"/>
      <c r="BW1137" s="123"/>
      <c r="BX1137" s="123"/>
      <c r="BY1137" s="123"/>
      <c r="BZ1137" s="123"/>
      <c r="CA1137" s="123"/>
      <c r="CB1137" s="123"/>
      <c r="CC1137" s="123"/>
      <c r="CD1137" s="123"/>
      <c r="CE1137" s="123"/>
      <c r="CF1137" s="123"/>
      <c r="CG1137" s="123"/>
      <c r="CH1137" s="123"/>
      <c r="CI1137" s="123"/>
      <c r="CJ1137" s="123"/>
      <c r="CK1137" s="123"/>
      <c r="CL1137" s="123"/>
      <c r="CM1137" s="123"/>
      <c r="CN1137" s="123"/>
      <c r="CO1137" s="123"/>
      <c r="CP1137" s="123"/>
      <c r="CQ1137" s="123"/>
      <c r="CR1137" s="123"/>
      <c r="CS1137" s="123"/>
      <c r="CT1137" s="123"/>
      <c r="CU1137" s="123"/>
      <c r="CV1137" s="123"/>
      <c r="CW1137" s="123"/>
      <c r="CX1137" s="123"/>
      <c r="CY1137" s="123"/>
      <c r="CZ1137" s="123"/>
      <c r="DA1137" s="123"/>
      <c r="DB1137" s="123"/>
      <c r="DC1137" s="123"/>
      <c r="DD1137" s="123"/>
      <c r="DE1137" s="123"/>
      <c r="DF1137" s="123"/>
      <c r="DG1137" s="123"/>
      <c r="DH1137" s="123"/>
      <c r="DI1137" s="123"/>
      <c r="DJ1137" s="123"/>
      <c r="DK1137" s="123"/>
      <c r="DL1137" s="123"/>
      <c r="DM1137" s="123"/>
      <c r="DN1137" s="123"/>
      <c r="DO1137" s="123"/>
      <c r="DP1137" s="123"/>
      <c r="DQ1137" s="123"/>
      <c r="DR1137" s="123"/>
      <c r="DS1137" s="123"/>
      <c r="DT1137" s="123"/>
      <c r="DU1137" s="123"/>
      <c r="DV1137" s="123"/>
      <c r="DW1137" s="123"/>
      <c r="DX1137" s="123"/>
      <c r="DY1137" s="123"/>
      <c r="DZ1137" s="123"/>
      <c r="EA1137" s="123"/>
      <c r="EB1137" s="123"/>
      <c r="EC1137" s="123"/>
      <c r="ED1137" s="123"/>
      <c r="EE1137" s="123"/>
      <c r="EF1137" s="123"/>
      <c r="EG1137" s="123"/>
      <c r="EH1137" s="123"/>
      <c r="EI1137" s="123"/>
      <c r="EJ1137" s="123"/>
      <c r="EK1137" s="123"/>
      <c r="EL1137" s="123"/>
      <c r="EM1137" s="123"/>
      <c r="EN1137" s="123"/>
      <c r="EO1137" s="123"/>
      <c r="EP1137" s="123"/>
      <c r="EQ1137" s="123"/>
      <c r="ER1137" s="123"/>
      <c r="ES1137" s="123"/>
      <c r="ET1137" s="123"/>
      <c r="EU1137" s="123"/>
      <c r="EV1137" s="123"/>
      <c r="EW1137" s="123"/>
      <c r="EX1137" s="123"/>
      <c r="EY1137" s="123"/>
      <c r="EZ1137" s="123"/>
      <c r="FA1137" s="123"/>
      <c r="FB1137" s="123"/>
      <c r="FC1137" s="123"/>
      <c r="FD1137" s="123"/>
      <c r="FE1137" s="123"/>
      <c r="FF1137" s="123"/>
      <c r="FG1137" s="123"/>
      <c r="FH1137" s="123"/>
      <c r="FI1137" s="123"/>
      <c r="FJ1137" s="123"/>
      <c r="FK1137" s="123"/>
      <c r="FL1137" s="123"/>
      <c r="FM1137" s="123"/>
      <c r="FN1137" s="123"/>
      <c r="FO1137" s="123"/>
      <c r="FP1137" s="123"/>
      <c r="FQ1137" s="123"/>
      <c r="FR1137" s="123"/>
      <c r="FS1137" s="123"/>
      <c r="FT1137" s="123"/>
      <c r="FU1137" s="123"/>
      <c r="FV1137" s="123"/>
      <c r="FW1137" s="123"/>
      <c r="FX1137" s="123"/>
      <c r="FY1137" s="123"/>
      <c r="FZ1137" s="123"/>
      <c r="GA1137" s="123"/>
      <c r="GB1137" s="123"/>
      <c r="GC1137" s="123"/>
      <c r="GD1137" s="123"/>
      <c r="GE1137" s="123"/>
      <c r="GF1137" s="123"/>
      <c r="GG1137" s="123"/>
      <c r="GH1137" s="123"/>
      <c r="GI1137" s="123"/>
      <c r="GJ1137" s="123"/>
      <c r="GK1137" s="123"/>
      <c r="GL1137" s="123"/>
      <c r="GM1137" s="123"/>
      <c r="GN1137" s="123"/>
      <c r="GO1137" s="123"/>
      <c r="GP1137" s="123"/>
      <c r="GQ1137" s="123"/>
      <c r="GR1137" s="123"/>
      <c r="GS1137" s="123"/>
      <c r="GT1137" s="123"/>
      <c r="GU1137" s="123"/>
      <c r="GV1137" s="123"/>
      <c r="GW1137" s="123"/>
      <c r="GX1137" s="123"/>
      <c r="GY1137" s="123"/>
      <c r="GZ1137" s="123"/>
      <c r="HA1137" s="123"/>
      <c r="HB1137" s="123"/>
      <c r="HC1137" s="123"/>
      <c r="HD1137" s="123"/>
      <c r="HE1137" s="123"/>
    </row>
    <row r="1138" spans="1:213" s="145" customFormat="1" x14ac:dyDescent="0.3">
      <c r="A1138" s="270">
        <v>1</v>
      </c>
      <c r="B1138" s="278">
        <v>6813</v>
      </c>
      <c r="C1138" s="278" t="s">
        <v>679</v>
      </c>
      <c r="D1138" s="273">
        <v>400</v>
      </c>
      <c r="E1138" s="282" t="s">
        <v>633</v>
      </c>
      <c r="F1138" s="282">
        <v>2</v>
      </c>
      <c r="G1138" s="270" t="s">
        <v>71</v>
      </c>
      <c r="H1138" s="136" t="s">
        <v>72</v>
      </c>
      <c r="I1138" s="137">
        <f>I1139</f>
        <v>70355.789999999994</v>
      </c>
      <c r="J1138" s="137">
        <f>J1139</f>
        <v>175.89</v>
      </c>
      <c r="K1138" s="137">
        <f>K1139</f>
        <v>177</v>
      </c>
    </row>
    <row r="1139" spans="1:213" s="145" customFormat="1" ht="46.5" x14ac:dyDescent="0.3">
      <c r="A1139" s="271">
        <v>1134</v>
      </c>
      <c r="B1139" s="279"/>
      <c r="C1139" s="279"/>
      <c r="D1139" s="274"/>
      <c r="E1139" s="283"/>
      <c r="F1139" s="283"/>
      <c r="G1139" s="271"/>
      <c r="H1139" s="136" t="s">
        <v>673</v>
      </c>
      <c r="I1139" s="137">
        <f>64755.79+D1138*14</f>
        <v>70355.789999999994</v>
      </c>
      <c r="J1139" s="137">
        <f>I1139/D1138</f>
        <v>175.89</v>
      </c>
      <c r="K1139" s="137">
        <f>163+14</f>
        <v>177</v>
      </c>
    </row>
    <row r="1140" spans="1:213" s="145" customFormat="1" x14ac:dyDescent="0.3">
      <c r="A1140" s="270">
        <f>A1138+1</f>
        <v>2</v>
      </c>
      <c r="B1140" s="278">
        <v>6814</v>
      </c>
      <c r="C1140" s="278" t="s">
        <v>680</v>
      </c>
      <c r="D1140" s="273">
        <v>400</v>
      </c>
      <c r="E1140" s="282" t="s">
        <v>633</v>
      </c>
      <c r="F1140" s="282">
        <v>2</v>
      </c>
      <c r="G1140" s="270" t="s">
        <v>71</v>
      </c>
      <c r="H1140" s="136" t="s">
        <v>72</v>
      </c>
      <c r="I1140" s="137">
        <f>I1141+I1142</f>
        <v>1125579.74</v>
      </c>
      <c r="J1140" s="137">
        <f>J1141+J1142</f>
        <v>2813.95</v>
      </c>
      <c r="K1140" s="137">
        <f>K1141+K1142</f>
        <v>7539</v>
      </c>
    </row>
    <row r="1141" spans="1:213" s="145" customFormat="1" x14ac:dyDescent="0.3">
      <c r="A1141" s="271">
        <v>1134</v>
      </c>
      <c r="B1141" s="279"/>
      <c r="C1141" s="279"/>
      <c r="D1141" s="274"/>
      <c r="E1141" s="283"/>
      <c r="F1141" s="283"/>
      <c r="G1141" s="271"/>
      <c r="H1141" s="136" t="s">
        <v>73</v>
      </c>
      <c r="I1141" s="137">
        <v>1101997</v>
      </c>
      <c r="J1141" s="137">
        <f>I1141/D1140</f>
        <v>2754.99</v>
      </c>
      <c r="K1141" s="137">
        <v>7381</v>
      </c>
    </row>
    <row r="1142" spans="1:213" s="145" customFormat="1" x14ac:dyDescent="0.3">
      <c r="A1142" s="272">
        <v>1135</v>
      </c>
      <c r="B1142" s="285"/>
      <c r="C1142" s="285"/>
      <c r="D1142" s="275"/>
      <c r="E1142" s="284"/>
      <c r="F1142" s="284"/>
      <c r="G1142" s="272"/>
      <c r="H1142" s="136" t="s">
        <v>75</v>
      </c>
      <c r="I1142" s="137">
        <v>23582.74</v>
      </c>
      <c r="J1142" s="137">
        <f>I1142/D1140</f>
        <v>58.96</v>
      </c>
      <c r="K1142" s="137">
        <v>158</v>
      </c>
    </row>
    <row r="1143" spans="1:213" s="152" customFormat="1" x14ac:dyDescent="0.35">
      <c r="A1143" s="168" t="s">
        <v>43</v>
      </c>
      <c r="B1143" s="168"/>
      <c r="C1143" s="170"/>
      <c r="D1143" s="181">
        <f>D1144+D1146</f>
        <v>1876.54</v>
      </c>
      <c r="E1143" s="181"/>
      <c r="F1143" s="181"/>
      <c r="G1143" s="166"/>
      <c r="H1143" s="164"/>
      <c r="I1143" s="137">
        <f>I1144+I1146</f>
        <v>4729249.04</v>
      </c>
      <c r="J1143" s="137"/>
      <c r="K1143" s="137"/>
      <c r="L1143" s="123"/>
      <c r="M1143" s="123"/>
      <c r="N1143" s="123"/>
      <c r="O1143" s="123"/>
      <c r="P1143" s="123"/>
      <c r="Q1143" s="123"/>
      <c r="R1143" s="123"/>
      <c r="S1143" s="123"/>
      <c r="T1143" s="123"/>
      <c r="U1143" s="123"/>
      <c r="V1143" s="123"/>
      <c r="W1143" s="123"/>
      <c r="X1143" s="123"/>
      <c r="Y1143" s="123"/>
      <c r="Z1143" s="123"/>
      <c r="AA1143" s="123"/>
      <c r="AB1143" s="123"/>
      <c r="AC1143" s="123"/>
      <c r="AD1143" s="123"/>
      <c r="AE1143" s="123"/>
      <c r="AF1143" s="123"/>
      <c r="AG1143" s="123"/>
      <c r="AH1143" s="123"/>
      <c r="AI1143" s="123"/>
      <c r="AJ1143" s="123"/>
      <c r="AK1143" s="123"/>
      <c r="AL1143" s="123"/>
      <c r="AM1143" s="123"/>
      <c r="AN1143" s="123"/>
      <c r="AO1143" s="123"/>
      <c r="AP1143" s="123"/>
      <c r="AQ1143" s="123"/>
      <c r="AR1143" s="123"/>
      <c r="AS1143" s="123"/>
      <c r="AT1143" s="123"/>
      <c r="AU1143" s="123"/>
      <c r="AV1143" s="123"/>
      <c r="AW1143" s="123"/>
      <c r="AX1143" s="123"/>
      <c r="AY1143" s="123"/>
      <c r="AZ1143" s="123"/>
      <c r="BA1143" s="123"/>
      <c r="BB1143" s="123"/>
      <c r="BC1143" s="123"/>
      <c r="BD1143" s="123"/>
      <c r="BE1143" s="123"/>
      <c r="BF1143" s="123"/>
      <c r="BG1143" s="123"/>
      <c r="BH1143" s="123"/>
      <c r="BI1143" s="123"/>
      <c r="BJ1143" s="123"/>
      <c r="BK1143" s="123"/>
      <c r="BL1143" s="123"/>
      <c r="BM1143" s="123"/>
      <c r="BN1143" s="123"/>
      <c r="BO1143" s="123"/>
      <c r="BP1143" s="123"/>
      <c r="BQ1143" s="123"/>
      <c r="BR1143" s="123"/>
      <c r="BS1143" s="123"/>
      <c r="BT1143" s="123"/>
      <c r="BU1143" s="123"/>
      <c r="BV1143" s="123"/>
      <c r="BW1143" s="123"/>
      <c r="BX1143" s="123"/>
      <c r="BY1143" s="123"/>
      <c r="BZ1143" s="123"/>
      <c r="CA1143" s="123"/>
      <c r="CB1143" s="123"/>
      <c r="CC1143" s="123"/>
      <c r="CD1143" s="123"/>
      <c r="CE1143" s="123"/>
      <c r="CF1143" s="123"/>
      <c r="CG1143" s="123"/>
      <c r="CH1143" s="123"/>
      <c r="CI1143" s="123"/>
      <c r="CJ1143" s="123"/>
      <c r="CK1143" s="123"/>
      <c r="CL1143" s="123"/>
      <c r="CM1143" s="123"/>
      <c r="CN1143" s="123"/>
      <c r="CO1143" s="123"/>
      <c r="CP1143" s="123"/>
      <c r="CQ1143" s="123"/>
      <c r="CR1143" s="123"/>
      <c r="CS1143" s="123"/>
      <c r="CT1143" s="123"/>
      <c r="CU1143" s="123"/>
      <c r="CV1143" s="123"/>
      <c r="CW1143" s="123"/>
      <c r="CX1143" s="123"/>
      <c r="CY1143" s="123"/>
      <c r="CZ1143" s="123"/>
      <c r="DA1143" s="123"/>
      <c r="DB1143" s="123"/>
      <c r="DC1143" s="123"/>
      <c r="DD1143" s="123"/>
      <c r="DE1143" s="123"/>
      <c r="DF1143" s="123"/>
      <c r="DG1143" s="123"/>
      <c r="DH1143" s="123"/>
      <c r="DI1143" s="123"/>
      <c r="DJ1143" s="123"/>
      <c r="DK1143" s="123"/>
      <c r="DL1143" s="123"/>
      <c r="DM1143" s="123"/>
      <c r="DN1143" s="123"/>
      <c r="DO1143" s="123"/>
      <c r="DP1143" s="123"/>
      <c r="DQ1143" s="123"/>
      <c r="DR1143" s="123"/>
      <c r="DS1143" s="123"/>
      <c r="DT1143" s="123"/>
      <c r="DU1143" s="123"/>
      <c r="DV1143" s="123"/>
      <c r="DW1143" s="123"/>
      <c r="DX1143" s="123"/>
      <c r="DY1143" s="123"/>
      <c r="DZ1143" s="123"/>
      <c r="EA1143" s="123"/>
      <c r="EB1143" s="123"/>
      <c r="EC1143" s="123"/>
      <c r="ED1143" s="123"/>
      <c r="EE1143" s="123"/>
      <c r="EF1143" s="123"/>
      <c r="EG1143" s="123"/>
      <c r="EH1143" s="123"/>
      <c r="EI1143" s="123"/>
      <c r="EJ1143" s="123"/>
      <c r="EK1143" s="123"/>
      <c r="EL1143" s="123"/>
      <c r="EM1143" s="123"/>
      <c r="EN1143" s="123"/>
      <c r="EO1143" s="123"/>
      <c r="EP1143" s="123"/>
      <c r="EQ1143" s="123"/>
      <c r="ER1143" s="123"/>
      <c r="ES1143" s="123"/>
      <c r="ET1143" s="123"/>
      <c r="EU1143" s="123"/>
      <c r="EV1143" s="123"/>
      <c r="EW1143" s="123"/>
      <c r="EX1143" s="123"/>
      <c r="EY1143" s="123"/>
      <c r="EZ1143" s="123"/>
      <c r="FA1143" s="123"/>
      <c r="FB1143" s="123"/>
      <c r="FC1143" s="123"/>
      <c r="FD1143" s="123"/>
      <c r="FE1143" s="123"/>
      <c r="FF1143" s="123"/>
      <c r="FG1143" s="123"/>
      <c r="FH1143" s="123"/>
      <c r="FI1143" s="123"/>
      <c r="FJ1143" s="123"/>
      <c r="FK1143" s="123"/>
      <c r="FL1143" s="123"/>
      <c r="FM1143" s="123"/>
      <c r="FN1143" s="123"/>
      <c r="FO1143" s="123"/>
      <c r="FP1143" s="123"/>
      <c r="FQ1143" s="123"/>
      <c r="FR1143" s="123"/>
      <c r="FS1143" s="123"/>
      <c r="FT1143" s="123"/>
      <c r="FU1143" s="123"/>
      <c r="FV1143" s="123"/>
      <c r="FW1143" s="123"/>
      <c r="FX1143" s="123"/>
      <c r="FY1143" s="123"/>
      <c r="FZ1143" s="123"/>
      <c r="GA1143" s="123"/>
      <c r="GB1143" s="123"/>
      <c r="GC1143" s="123"/>
      <c r="GD1143" s="123"/>
      <c r="GE1143" s="123"/>
      <c r="GF1143" s="123"/>
      <c r="GG1143" s="123"/>
      <c r="GH1143" s="123"/>
      <c r="GI1143" s="123"/>
      <c r="GJ1143" s="123"/>
      <c r="GK1143" s="123"/>
      <c r="GL1143" s="123"/>
      <c r="GM1143" s="123"/>
      <c r="GN1143" s="123"/>
      <c r="GO1143" s="123"/>
      <c r="GP1143" s="123"/>
      <c r="GQ1143" s="123"/>
      <c r="GR1143" s="123"/>
      <c r="GS1143" s="123"/>
      <c r="GT1143" s="123"/>
      <c r="GU1143" s="123"/>
      <c r="GV1143" s="123"/>
      <c r="GW1143" s="123"/>
      <c r="GX1143" s="123"/>
      <c r="GY1143" s="123"/>
      <c r="GZ1143" s="123"/>
      <c r="HA1143" s="123"/>
      <c r="HB1143" s="123"/>
      <c r="HC1143" s="123"/>
      <c r="HD1143" s="123"/>
      <c r="HE1143" s="123"/>
    </row>
    <row r="1144" spans="1:213" s="145" customFormat="1" x14ac:dyDescent="0.3">
      <c r="A1144" s="270">
        <v>1</v>
      </c>
      <c r="B1144" s="270">
        <v>4967</v>
      </c>
      <c r="C1144" s="278" t="s">
        <v>460</v>
      </c>
      <c r="D1144" s="273">
        <v>351.8</v>
      </c>
      <c r="E1144" s="282" t="s">
        <v>74</v>
      </c>
      <c r="F1144" s="282">
        <v>2</v>
      </c>
      <c r="G1144" s="270" t="s">
        <v>71</v>
      </c>
      <c r="H1144" s="136" t="s">
        <v>72</v>
      </c>
      <c r="I1144" s="137">
        <f>I1145</f>
        <v>58356.6</v>
      </c>
      <c r="J1144" s="137">
        <f>J1145</f>
        <v>165.88</v>
      </c>
      <c r="K1144" s="137">
        <f>K1145</f>
        <v>167</v>
      </c>
    </row>
    <row r="1145" spans="1:213" s="145" customFormat="1" ht="46.5" x14ac:dyDescent="0.3">
      <c r="A1145" s="271">
        <v>1142</v>
      </c>
      <c r="B1145" s="271"/>
      <c r="C1145" s="279"/>
      <c r="D1145" s="274"/>
      <c r="E1145" s="283"/>
      <c r="F1145" s="283"/>
      <c r="G1145" s="271"/>
      <c r="H1145" s="136" t="s">
        <v>673</v>
      </c>
      <c r="I1145" s="137">
        <f>53783.2+D1144*13</f>
        <v>58356.6</v>
      </c>
      <c r="J1145" s="137">
        <f>I1145/D1144</f>
        <v>165.88</v>
      </c>
      <c r="K1145" s="137">
        <f>154+13</f>
        <v>167</v>
      </c>
    </row>
    <row r="1146" spans="1:213" s="145" customFormat="1" x14ac:dyDescent="0.3">
      <c r="A1146" s="270">
        <f>A1144+1</f>
        <v>2</v>
      </c>
      <c r="B1146" s="270">
        <v>4968</v>
      </c>
      <c r="C1146" s="278" t="s">
        <v>461</v>
      </c>
      <c r="D1146" s="273">
        <v>1524.74</v>
      </c>
      <c r="E1146" s="282" t="s">
        <v>74</v>
      </c>
      <c r="F1146" s="282">
        <v>3</v>
      </c>
      <c r="G1146" s="270" t="s">
        <v>71</v>
      </c>
      <c r="H1146" s="136" t="s">
        <v>72</v>
      </c>
      <c r="I1146" s="137">
        <f>I1147+I1148</f>
        <v>4670892.4400000004</v>
      </c>
      <c r="J1146" s="137">
        <f>J1147+J1148</f>
        <v>3063.4</v>
      </c>
      <c r="K1146" s="137">
        <f>K1147+K1148</f>
        <v>5354</v>
      </c>
    </row>
    <row r="1147" spans="1:213" s="145" customFormat="1" x14ac:dyDescent="0.3">
      <c r="A1147" s="271">
        <v>1142</v>
      </c>
      <c r="B1147" s="271"/>
      <c r="C1147" s="279"/>
      <c r="D1147" s="274"/>
      <c r="E1147" s="283"/>
      <c r="F1147" s="283"/>
      <c r="G1147" s="271"/>
      <c r="H1147" s="136" t="s">
        <v>73</v>
      </c>
      <c r="I1147" s="137">
        <v>4614930.09</v>
      </c>
      <c r="J1147" s="137">
        <f>I1147/D1146</f>
        <v>3026.7</v>
      </c>
      <c r="K1147" s="137">
        <v>5242</v>
      </c>
    </row>
    <row r="1148" spans="1:213" s="145" customFormat="1" x14ac:dyDescent="0.3">
      <c r="A1148" s="272">
        <v>1143</v>
      </c>
      <c r="B1148" s="272"/>
      <c r="C1148" s="285"/>
      <c r="D1148" s="275"/>
      <c r="E1148" s="284"/>
      <c r="F1148" s="284"/>
      <c r="G1148" s="272"/>
      <c r="H1148" s="136" t="s">
        <v>75</v>
      </c>
      <c r="I1148" s="137">
        <v>55962.35</v>
      </c>
      <c r="J1148" s="137">
        <f>I1148/D1146</f>
        <v>36.700000000000003</v>
      </c>
      <c r="K1148" s="137">
        <v>112</v>
      </c>
    </row>
    <row r="1149" spans="1:213" s="152" customFormat="1" x14ac:dyDescent="0.35">
      <c r="A1149" s="161" t="s">
        <v>44</v>
      </c>
      <c r="B1149" s="162"/>
      <c r="C1149" s="163"/>
      <c r="D1149" s="166">
        <f>D1150+D1153</f>
        <v>1912.15</v>
      </c>
      <c r="E1149" s="172"/>
      <c r="F1149" s="172"/>
      <c r="G1149" s="166"/>
      <c r="H1149" s="164"/>
      <c r="I1149" s="137">
        <f>I1150+I1153</f>
        <v>2206538</v>
      </c>
      <c r="J1149" s="137"/>
      <c r="K1149" s="137"/>
      <c r="L1149" s="123"/>
      <c r="M1149" s="123"/>
      <c r="N1149" s="123"/>
      <c r="O1149" s="123"/>
      <c r="P1149" s="123"/>
      <c r="Q1149" s="123"/>
      <c r="R1149" s="123"/>
      <c r="S1149" s="123"/>
      <c r="T1149" s="123"/>
      <c r="U1149" s="123"/>
      <c r="V1149" s="123"/>
      <c r="W1149" s="123"/>
      <c r="X1149" s="123"/>
      <c r="Y1149" s="123"/>
      <c r="Z1149" s="123"/>
      <c r="AA1149" s="123"/>
      <c r="AB1149" s="123"/>
      <c r="AC1149" s="123"/>
      <c r="AD1149" s="123"/>
      <c r="AE1149" s="123"/>
      <c r="AF1149" s="123"/>
      <c r="AG1149" s="123"/>
      <c r="AH1149" s="123"/>
      <c r="AI1149" s="123"/>
      <c r="AJ1149" s="123"/>
      <c r="AK1149" s="123"/>
      <c r="AL1149" s="123"/>
      <c r="AM1149" s="123"/>
      <c r="AN1149" s="123"/>
      <c r="AO1149" s="123"/>
      <c r="AP1149" s="123"/>
      <c r="AQ1149" s="123"/>
      <c r="AR1149" s="123"/>
      <c r="AS1149" s="123"/>
      <c r="AT1149" s="123"/>
      <c r="AU1149" s="123"/>
      <c r="AV1149" s="123"/>
      <c r="AW1149" s="123"/>
      <c r="AX1149" s="123"/>
      <c r="AY1149" s="123"/>
      <c r="AZ1149" s="123"/>
      <c r="BA1149" s="123"/>
      <c r="BB1149" s="123"/>
      <c r="BC1149" s="123"/>
      <c r="BD1149" s="123"/>
      <c r="BE1149" s="123"/>
      <c r="BF1149" s="123"/>
      <c r="BG1149" s="123"/>
      <c r="BH1149" s="123"/>
      <c r="BI1149" s="123"/>
      <c r="BJ1149" s="123"/>
      <c r="BK1149" s="123"/>
      <c r="BL1149" s="123"/>
      <c r="BM1149" s="123"/>
      <c r="BN1149" s="123"/>
      <c r="BO1149" s="123"/>
      <c r="BP1149" s="123"/>
      <c r="BQ1149" s="123"/>
      <c r="BR1149" s="123"/>
      <c r="BS1149" s="123"/>
      <c r="BT1149" s="123"/>
      <c r="BU1149" s="123"/>
      <c r="BV1149" s="123"/>
      <c r="BW1149" s="123"/>
      <c r="BX1149" s="123"/>
      <c r="BY1149" s="123"/>
      <c r="BZ1149" s="123"/>
      <c r="CA1149" s="123"/>
      <c r="CB1149" s="123"/>
      <c r="CC1149" s="123"/>
      <c r="CD1149" s="123"/>
      <c r="CE1149" s="123"/>
      <c r="CF1149" s="123"/>
      <c r="CG1149" s="123"/>
      <c r="CH1149" s="123"/>
      <c r="CI1149" s="123"/>
      <c r="CJ1149" s="123"/>
      <c r="CK1149" s="123"/>
      <c r="CL1149" s="123"/>
      <c r="CM1149" s="123"/>
      <c r="CN1149" s="123"/>
      <c r="CO1149" s="123"/>
      <c r="CP1149" s="123"/>
      <c r="CQ1149" s="123"/>
      <c r="CR1149" s="123"/>
      <c r="CS1149" s="123"/>
      <c r="CT1149" s="123"/>
      <c r="CU1149" s="123"/>
      <c r="CV1149" s="123"/>
      <c r="CW1149" s="123"/>
      <c r="CX1149" s="123"/>
      <c r="CY1149" s="123"/>
      <c r="CZ1149" s="123"/>
      <c r="DA1149" s="123"/>
      <c r="DB1149" s="123"/>
      <c r="DC1149" s="123"/>
      <c r="DD1149" s="123"/>
      <c r="DE1149" s="123"/>
      <c r="DF1149" s="123"/>
      <c r="DG1149" s="123"/>
      <c r="DH1149" s="123"/>
      <c r="DI1149" s="123"/>
      <c r="DJ1149" s="123"/>
      <c r="DK1149" s="123"/>
      <c r="DL1149" s="123"/>
      <c r="DM1149" s="123"/>
      <c r="DN1149" s="123"/>
      <c r="DO1149" s="123"/>
      <c r="DP1149" s="123"/>
      <c r="DQ1149" s="123"/>
      <c r="DR1149" s="123"/>
      <c r="DS1149" s="123"/>
      <c r="DT1149" s="123"/>
      <c r="DU1149" s="123"/>
      <c r="DV1149" s="123"/>
      <c r="DW1149" s="123"/>
      <c r="DX1149" s="123"/>
      <c r="DY1149" s="123"/>
      <c r="DZ1149" s="123"/>
      <c r="EA1149" s="123"/>
      <c r="EB1149" s="123"/>
      <c r="EC1149" s="123"/>
      <c r="ED1149" s="123"/>
      <c r="EE1149" s="123"/>
      <c r="EF1149" s="123"/>
      <c r="EG1149" s="123"/>
      <c r="EH1149" s="123"/>
      <c r="EI1149" s="123"/>
      <c r="EJ1149" s="123"/>
      <c r="EK1149" s="123"/>
      <c r="EL1149" s="123"/>
      <c r="EM1149" s="123"/>
      <c r="EN1149" s="123"/>
      <c r="EO1149" s="123"/>
      <c r="EP1149" s="123"/>
      <c r="EQ1149" s="123"/>
      <c r="ER1149" s="123"/>
      <c r="ES1149" s="123"/>
      <c r="ET1149" s="123"/>
      <c r="EU1149" s="123"/>
      <c r="EV1149" s="123"/>
      <c r="EW1149" s="123"/>
      <c r="EX1149" s="123"/>
      <c r="EY1149" s="123"/>
      <c r="EZ1149" s="123"/>
      <c r="FA1149" s="123"/>
      <c r="FB1149" s="123"/>
      <c r="FC1149" s="123"/>
      <c r="FD1149" s="123"/>
      <c r="FE1149" s="123"/>
      <c r="FF1149" s="123"/>
      <c r="FG1149" s="123"/>
      <c r="FH1149" s="123"/>
      <c r="FI1149" s="123"/>
      <c r="FJ1149" s="123"/>
      <c r="FK1149" s="123"/>
      <c r="FL1149" s="123"/>
      <c r="FM1149" s="123"/>
      <c r="FN1149" s="123"/>
      <c r="FO1149" s="123"/>
      <c r="FP1149" s="123"/>
      <c r="FQ1149" s="123"/>
      <c r="FR1149" s="123"/>
      <c r="FS1149" s="123"/>
      <c r="FT1149" s="123"/>
      <c r="FU1149" s="123"/>
      <c r="FV1149" s="123"/>
      <c r="FW1149" s="123"/>
      <c r="FX1149" s="123"/>
      <c r="FY1149" s="123"/>
      <c r="FZ1149" s="123"/>
      <c r="GA1149" s="123"/>
      <c r="GB1149" s="123"/>
      <c r="GC1149" s="123"/>
      <c r="GD1149" s="123"/>
      <c r="GE1149" s="123"/>
      <c r="GF1149" s="123"/>
      <c r="GG1149" s="123"/>
      <c r="GH1149" s="123"/>
      <c r="GI1149" s="123"/>
      <c r="GJ1149" s="123"/>
      <c r="GK1149" s="123"/>
      <c r="GL1149" s="123"/>
      <c r="GM1149" s="123"/>
      <c r="GN1149" s="123"/>
      <c r="GO1149" s="123"/>
      <c r="GP1149" s="123"/>
      <c r="GQ1149" s="123"/>
      <c r="GR1149" s="123"/>
      <c r="GS1149" s="123"/>
      <c r="GT1149" s="123"/>
      <c r="GU1149" s="123"/>
      <c r="GV1149" s="123"/>
      <c r="GW1149" s="123"/>
      <c r="GX1149" s="123"/>
      <c r="GY1149" s="123"/>
      <c r="GZ1149" s="123"/>
      <c r="HA1149" s="123"/>
      <c r="HB1149" s="123"/>
      <c r="HC1149" s="123"/>
      <c r="HD1149" s="123"/>
      <c r="HE1149" s="123"/>
    </row>
    <row r="1150" spans="1:213" s="145" customFormat="1" x14ac:dyDescent="0.3">
      <c r="A1150" s="277">
        <v>1</v>
      </c>
      <c r="B1150" s="270">
        <v>7435</v>
      </c>
      <c r="C1150" s="286" t="s">
        <v>681</v>
      </c>
      <c r="D1150" s="287">
        <v>370.6</v>
      </c>
      <c r="E1150" s="304" t="s">
        <v>633</v>
      </c>
      <c r="F1150" s="304">
        <v>2</v>
      </c>
      <c r="G1150" s="277" t="s">
        <v>71</v>
      </c>
      <c r="H1150" s="136" t="s">
        <v>72</v>
      </c>
      <c r="I1150" s="137">
        <f>I1151+I1152</f>
        <v>2072417.11</v>
      </c>
      <c r="J1150" s="137">
        <f>J1151+J1152</f>
        <v>5592.06</v>
      </c>
      <c r="K1150" s="137">
        <f>K1151+K1152</f>
        <v>7066</v>
      </c>
    </row>
    <row r="1151" spans="1:213" s="145" customFormat="1" x14ac:dyDescent="0.3">
      <c r="A1151" s="277">
        <v>1146</v>
      </c>
      <c r="B1151" s="271"/>
      <c r="C1151" s="286"/>
      <c r="D1151" s="287"/>
      <c r="E1151" s="304"/>
      <c r="F1151" s="304"/>
      <c r="G1151" s="277"/>
      <c r="H1151" s="136" t="s">
        <v>73</v>
      </c>
      <c r="I1151" s="137">
        <v>2044928.75</v>
      </c>
      <c r="J1151" s="137">
        <f>I1151/D1150</f>
        <v>5517.89</v>
      </c>
      <c r="K1151" s="137">
        <v>6918</v>
      </c>
    </row>
    <row r="1152" spans="1:213" s="145" customFormat="1" x14ac:dyDescent="0.3">
      <c r="A1152" s="277">
        <v>1147</v>
      </c>
      <c r="B1152" s="272"/>
      <c r="C1152" s="286"/>
      <c r="D1152" s="287"/>
      <c r="E1152" s="304"/>
      <c r="F1152" s="304"/>
      <c r="G1152" s="277"/>
      <c r="H1152" s="136" t="s">
        <v>75</v>
      </c>
      <c r="I1152" s="137">
        <v>27488.36</v>
      </c>
      <c r="J1152" s="137">
        <f>I1152/D1150</f>
        <v>74.17</v>
      </c>
      <c r="K1152" s="137">
        <v>148</v>
      </c>
    </row>
    <row r="1153" spans="1:213" s="145" customFormat="1" x14ac:dyDescent="0.3">
      <c r="A1153" s="277">
        <v>2</v>
      </c>
      <c r="B1153" s="270">
        <v>7383</v>
      </c>
      <c r="C1153" s="286" t="s">
        <v>463</v>
      </c>
      <c r="D1153" s="287">
        <v>1541.55</v>
      </c>
      <c r="E1153" s="304" t="s">
        <v>74</v>
      </c>
      <c r="F1153" s="304">
        <v>3</v>
      </c>
      <c r="G1153" s="277" t="s">
        <v>71</v>
      </c>
      <c r="H1153" s="136" t="s">
        <v>72</v>
      </c>
      <c r="I1153" s="137">
        <f>I1154</f>
        <v>134120.89000000001</v>
      </c>
      <c r="J1153" s="137">
        <f>J1154</f>
        <v>87</v>
      </c>
      <c r="K1153" s="137">
        <f>K1154</f>
        <v>164</v>
      </c>
    </row>
    <row r="1154" spans="1:213" s="145" customFormat="1" ht="46.5" x14ac:dyDescent="0.3">
      <c r="A1154" s="277">
        <v>1144</v>
      </c>
      <c r="B1154" s="272"/>
      <c r="C1154" s="286"/>
      <c r="D1154" s="287"/>
      <c r="E1154" s="304"/>
      <c r="F1154" s="304"/>
      <c r="G1154" s="277"/>
      <c r="H1154" s="136" t="s">
        <v>673</v>
      </c>
      <c r="I1154" s="137">
        <f>114080.74+D1153*13</f>
        <v>134120.89000000001</v>
      </c>
      <c r="J1154" s="137">
        <f>I1154/D1153</f>
        <v>87</v>
      </c>
      <c r="K1154" s="137">
        <f>151+13</f>
        <v>164</v>
      </c>
    </row>
    <row r="1155" spans="1:213" s="152" customFormat="1" x14ac:dyDescent="0.35">
      <c r="A1155" s="168" t="s">
        <v>48</v>
      </c>
      <c r="B1155" s="173"/>
      <c r="C1155" s="170"/>
      <c r="D1155" s="181">
        <f>D1156+D1159+D1162+D1165+D1168+D1171+D1174+D1177+D1180+D1185</f>
        <v>22282.240000000002</v>
      </c>
      <c r="E1155" s="181"/>
      <c r="F1155" s="174"/>
      <c r="G1155" s="166"/>
      <c r="H1155" s="164"/>
      <c r="I1155" s="137">
        <f>I1156+I1159+I1162+I1165+I1168+I1171+I1174+I1177+I1180+I1185</f>
        <v>31131819.309999999</v>
      </c>
      <c r="J1155" s="137"/>
      <c r="K1155" s="137"/>
      <c r="L1155" s="123"/>
      <c r="M1155" s="123"/>
      <c r="N1155" s="123"/>
      <c r="O1155" s="123"/>
      <c r="P1155" s="123"/>
      <c r="Q1155" s="123"/>
      <c r="R1155" s="123"/>
      <c r="S1155" s="123"/>
      <c r="T1155" s="123"/>
      <c r="U1155" s="123"/>
      <c r="V1155" s="123"/>
      <c r="W1155" s="123"/>
      <c r="X1155" s="123"/>
      <c r="Y1155" s="123"/>
      <c r="Z1155" s="123"/>
      <c r="AA1155" s="123"/>
      <c r="AB1155" s="123"/>
      <c r="AC1155" s="123"/>
      <c r="AD1155" s="123"/>
      <c r="AE1155" s="123"/>
      <c r="AF1155" s="123"/>
      <c r="AG1155" s="123"/>
      <c r="AH1155" s="123"/>
      <c r="AI1155" s="123"/>
      <c r="AJ1155" s="123"/>
      <c r="AK1155" s="123"/>
      <c r="AL1155" s="123"/>
      <c r="AM1155" s="123"/>
      <c r="AN1155" s="123"/>
      <c r="AO1155" s="123"/>
      <c r="AP1155" s="123"/>
      <c r="AQ1155" s="123"/>
      <c r="AR1155" s="123"/>
      <c r="AS1155" s="123"/>
      <c r="AT1155" s="123"/>
      <c r="AU1155" s="123"/>
      <c r="AV1155" s="123"/>
      <c r="AW1155" s="123"/>
      <c r="AX1155" s="123"/>
      <c r="AY1155" s="123"/>
      <c r="AZ1155" s="123"/>
      <c r="BA1155" s="123"/>
      <c r="BB1155" s="123"/>
      <c r="BC1155" s="123"/>
      <c r="BD1155" s="123"/>
      <c r="BE1155" s="123"/>
      <c r="BF1155" s="123"/>
      <c r="BG1155" s="123"/>
      <c r="BH1155" s="123"/>
      <c r="BI1155" s="123"/>
      <c r="BJ1155" s="123"/>
      <c r="BK1155" s="123"/>
      <c r="BL1155" s="123"/>
      <c r="BM1155" s="123"/>
      <c r="BN1155" s="123"/>
      <c r="BO1155" s="123"/>
      <c r="BP1155" s="123"/>
      <c r="BQ1155" s="123"/>
      <c r="BR1155" s="123"/>
      <c r="BS1155" s="123"/>
      <c r="BT1155" s="123"/>
      <c r="BU1155" s="123"/>
      <c r="BV1155" s="123"/>
      <c r="BW1155" s="123"/>
      <c r="BX1155" s="123"/>
      <c r="BY1155" s="123"/>
      <c r="BZ1155" s="123"/>
      <c r="CA1155" s="123"/>
      <c r="CB1155" s="123"/>
      <c r="CC1155" s="123"/>
      <c r="CD1155" s="123"/>
      <c r="CE1155" s="123"/>
      <c r="CF1155" s="123"/>
      <c r="CG1155" s="123"/>
      <c r="CH1155" s="123"/>
      <c r="CI1155" s="123"/>
      <c r="CJ1155" s="123"/>
      <c r="CK1155" s="123"/>
      <c r="CL1155" s="123"/>
      <c r="CM1155" s="123"/>
      <c r="CN1155" s="123"/>
      <c r="CO1155" s="123"/>
      <c r="CP1155" s="123"/>
      <c r="CQ1155" s="123"/>
      <c r="CR1155" s="123"/>
      <c r="CS1155" s="123"/>
      <c r="CT1155" s="123"/>
      <c r="CU1155" s="123"/>
      <c r="CV1155" s="123"/>
      <c r="CW1155" s="123"/>
      <c r="CX1155" s="123"/>
      <c r="CY1155" s="123"/>
      <c r="CZ1155" s="123"/>
      <c r="DA1155" s="123"/>
      <c r="DB1155" s="123"/>
      <c r="DC1155" s="123"/>
      <c r="DD1155" s="123"/>
      <c r="DE1155" s="123"/>
      <c r="DF1155" s="123"/>
      <c r="DG1155" s="123"/>
      <c r="DH1155" s="123"/>
      <c r="DI1155" s="123"/>
      <c r="DJ1155" s="123"/>
      <c r="DK1155" s="123"/>
      <c r="DL1155" s="123"/>
      <c r="DM1155" s="123"/>
      <c r="DN1155" s="123"/>
      <c r="DO1155" s="123"/>
      <c r="DP1155" s="123"/>
      <c r="DQ1155" s="123"/>
      <c r="DR1155" s="123"/>
      <c r="DS1155" s="123"/>
      <c r="DT1155" s="123"/>
      <c r="DU1155" s="123"/>
      <c r="DV1155" s="123"/>
      <c r="DW1155" s="123"/>
      <c r="DX1155" s="123"/>
      <c r="DY1155" s="123"/>
      <c r="DZ1155" s="123"/>
      <c r="EA1155" s="123"/>
      <c r="EB1155" s="123"/>
      <c r="EC1155" s="123"/>
      <c r="ED1155" s="123"/>
      <c r="EE1155" s="123"/>
      <c r="EF1155" s="123"/>
      <c r="EG1155" s="123"/>
      <c r="EH1155" s="123"/>
      <c r="EI1155" s="123"/>
      <c r="EJ1155" s="123"/>
      <c r="EK1155" s="123"/>
      <c r="EL1155" s="123"/>
      <c r="EM1155" s="123"/>
      <c r="EN1155" s="123"/>
      <c r="EO1155" s="123"/>
      <c r="EP1155" s="123"/>
      <c r="EQ1155" s="123"/>
      <c r="ER1155" s="123"/>
      <c r="ES1155" s="123"/>
      <c r="ET1155" s="123"/>
      <c r="EU1155" s="123"/>
      <c r="EV1155" s="123"/>
      <c r="EW1155" s="123"/>
      <c r="EX1155" s="123"/>
      <c r="EY1155" s="123"/>
      <c r="EZ1155" s="123"/>
      <c r="FA1155" s="123"/>
      <c r="FB1155" s="123"/>
      <c r="FC1155" s="123"/>
      <c r="FD1155" s="123"/>
      <c r="FE1155" s="123"/>
      <c r="FF1155" s="123"/>
      <c r="FG1155" s="123"/>
      <c r="FH1155" s="123"/>
      <c r="FI1155" s="123"/>
      <c r="FJ1155" s="123"/>
      <c r="FK1155" s="123"/>
      <c r="FL1155" s="123"/>
      <c r="FM1155" s="123"/>
      <c r="FN1155" s="123"/>
      <c r="FO1155" s="123"/>
      <c r="FP1155" s="123"/>
      <c r="FQ1155" s="123"/>
      <c r="FR1155" s="123"/>
      <c r="FS1155" s="123"/>
      <c r="FT1155" s="123"/>
      <c r="FU1155" s="123"/>
      <c r="FV1155" s="123"/>
      <c r="FW1155" s="123"/>
      <c r="FX1155" s="123"/>
      <c r="FY1155" s="123"/>
      <c r="FZ1155" s="123"/>
      <c r="GA1155" s="123"/>
      <c r="GB1155" s="123"/>
      <c r="GC1155" s="123"/>
      <c r="GD1155" s="123"/>
      <c r="GE1155" s="123"/>
      <c r="GF1155" s="123"/>
      <c r="GG1155" s="123"/>
      <c r="GH1155" s="123"/>
      <c r="GI1155" s="123"/>
      <c r="GJ1155" s="123"/>
      <c r="GK1155" s="123"/>
      <c r="GL1155" s="123"/>
      <c r="GM1155" s="123"/>
      <c r="GN1155" s="123"/>
      <c r="GO1155" s="123"/>
      <c r="GP1155" s="123"/>
      <c r="GQ1155" s="123"/>
      <c r="GR1155" s="123"/>
      <c r="GS1155" s="123"/>
      <c r="GT1155" s="123"/>
      <c r="GU1155" s="123"/>
      <c r="GV1155" s="123"/>
      <c r="GW1155" s="123"/>
      <c r="GX1155" s="123"/>
      <c r="GY1155" s="123"/>
      <c r="GZ1155" s="123"/>
      <c r="HA1155" s="123"/>
      <c r="HB1155" s="123"/>
      <c r="HC1155" s="123"/>
      <c r="HD1155" s="123"/>
      <c r="HE1155" s="123"/>
    </row>
    <row r="1156" spans="1:213" s="145" customFormat="1" x14ac:dyDescent="0.3">
      <c r="A1156" s="314">
        <v>1</v>
      </c>
      <c r="B1156" s="314">
        <v>6977</v>
      </c>
      <c r="C1156" s="315" t="s">
        <v>464</v>
      </c>
      <c r="D1156" s="273">
        <v>966.8</v>
      </c>
      <c r="E1156" s="273" t="s">
        <v>74</v>
      </c>
      <c r="F1156" s="282">
        <v>3</v>
      </c>
      <c r="G1156" s="270" t="s">
        <v>71</v>
      </c>
      <c r="H1156" s="175" t="s">
        <v>72</v>
      </c>
      <c r="I1156" s="176">
        <f>I1157+I1158</f>
        <v>2654687.9900000002</v>
      </c>
      <c r="J1156" s="176">
        <f>J1157+J1158</f>
        <v>2745.85</v>
      </c>
      <c r="K1156" s="137">
        <f>K1157+K1158</f>
        <v>4728</v>
      </c>
    </row>
    <row r="1157" spans="1:213" s="145" customFormat="1" x14ac:dyDescent="0.3">
      <c r="A1157" s="313"/>
      <c r="B1157" s="313"/>
      <c r="C1157" s="316"/>
      <c r="D1157" s="274"/>
      <c r="E1157" s="274"/>
      <c r="F1157" s="283"/>
      <c r="G1157" s="271"/>
      <c r="H1157" s="136" t="s">
        <v>73</v>
      </c>
      <c r="I1157" s="176">
        <v>2585201.86</v>
      </c>
      <c r="J1157" s="176">
        <f>I1157/D1156</f>
        <v>2673.98</v>
      </c>
      <c r="K1157" s="137">
        <v>4629</v>
      </c>
    </row>
    <row r="1158" spans="1:213" s="145" customFormat="1" x14ac:dyDescent="0.3">
      <c r="A1158" s="324"/>
      <c r="B1158" s="324"/>
      <c r="C1158" s="326"/>
      <c r="D1158" s="275"/>
      <c r="E1158" s="275"/>
      <c r="F1158" s="284"/>
      <c r="G1158" s="272"/>
      <c r="H1158" s="136" t="s">
        <v>75</v>
      </c>
      <c r="I1158" s="176">
        <v>69486.13</v>
      </c>
      <c r="J1158" s="176">
        <f>I1158/D1156</f>
        <v>71.87</v>
      </c>
      <c r="K1158" s="137">
        <v>99</v>
      </c>
    </row>
    <row r="1159" spans="1:213" s="145" customFormat="1" x14ac:dyDescent="0.3">
      <c r="A1159" s="314">
        <f>A1156+1</f>
        <v>2</v>
      </c>
      <c r="B1159" s="314">
        <v>6958</v>
      </c>
      <c r="C1159" s="315" t="s">
        <v>465</v>
      </c>
      <c r="D1159" s="273">
        <v>1377.29</v>
      </c>
      <c r="E1159" s="273" t="s">
        <v>74</v>
      </c>
      <c r="F1159" s="282">
        <v>3</v>
      </c>
      <c r="G1159" s="270" t="s">
        <v>71</v>
      </c>
      <c r="H1159" s="175" t="s">
        <v>72</v>
      </c>
      <c r="I1159" s="176">
        <f>I1160+I1161</f>
        <v>3825540.56</v>
      </c>
      <c r="J1159" s="176">
        <f>J1160+J1161</f>
        <v>2777.59</v>
      </c>
      <c r="K1159" s="137">
        <f>K1160+K1161</f>
        <v>4728</v>
      </c>
    </row>
    <row r="1160" spans="1:213" s="145" customFormat="1" x14ac:dyDescent="0.3">
      <c r="A1160" s="313"/>
      <c r="B1160" s="313"/>
      <c r="C1160" s="316"/>
      <c r="D1160" s="274"/>
      <c r="E1160" s="274"/>
      <c r="F1160" s="283"/>
      <c r="G1160" s="271"/>
      <c r="H1160" s="175" t="s">
        <v>73</v>
      </c>
      <c r="I1160" s="176">
        <v>3745389.23</v>
      </c>
      <c r="J1160" s="176">
        <f>I1160/D1159+0.01</f>
        <v>2719.4</v>
      </c>
      <c r="K1160" s="137">
        <v>4629</v>
      </c>
    </row>
    <row r="1161" spans="1:213" s="145" customFormat="1" x14ac:dyDescent="0.3">
      <c r="A1161" s="324"/>
      <c r="B1161" s="324"/>
      <c r="C1161" s="326"/>
      <c r="D1161" s="275"/>
      <c r="E1161" s="275"/>
      <c r="F1161" s="284"/>
      <c r="G1161" s="272"/>
      <c r="H1161" s="175" t="s">
        <v>75</v>
      </c>
      <c r="I1161" s="176">
        <v>80151.33</v>
      </c>
      <c r="J1161" s="176">
        <f>I1161/D1159</f>
        <v>58.19</v>
      </c>
      <c r="K1161" s="137">
        <v>99</v>
      </c>
    </row>
    <row r="1162" spans="1:213" s="145" customFormat="1" x14ac:dyDescent="0.3">
      <c r="A1162" s="314">
        <f>A1159+1</f>
        <v>3</v>
      </c>
      <c r="B1162" s="314">
        <v>7002</v>
      </c>
      <c r="C1162" s="315" t="s">
        <v>466</v>
      </c>
      <c r="D1162" s="273">
        <v>2657.4</v>
      </c>
      <c r="E1162" s="273" t="s">
        <v>70</v>
      </c>
      <c r="F1162" s="282">
        <v>5</v>
      </c>
      <c r="G1162" s="270" t="s">
        <v>71</v>
      </c>
      <c r="H1162" s="175" t="s">
        <v>72</v>
      </c>
      <c r="I1162" s="176">
        <f>SUM(I1163:I1164)</f>
        <v>2643222.7599999998</v>
      </c>
      <c r="J1162" s="176">
        <f>SUM(J1163:J1164)</f>
        <v>994.66</v>
      </c>
      <c r="K1162" s="137">
        <f>SUM(K1163:K1164)</f>
        <v>2936</v>
      </c>
    </row>
    <row r="1163" spans="1:213" s="145" customFormat="1" ht="46.5" x14ac:dyDescent="0.3">
      <c r="A1163" s="313"/>
      <c r="B1163" s="313"/>
      <c r="C1163" s="316"/>
      <c r="D1163" s="274"/>
      <c r="E1163" s="274"/>
      <c r="F1163" s="283"/>
      <c r="G1163" s="271"/>
      <c r="H1163" s="136" t="s">
        <v>673</v>
      </c>
      <c r="I1163" s="176">
        <f>398782.72+D1162*13</f>
        <v>433328.92</v>
      </c>
      <c r="J1163" s="176">
        <f>I1163/D1162</f>
        <v>163.06</v>
      </c>
      <c r="K1163" s="137">
        <f>151+13</f>
        <v>164</v>
      </c>
    </row>
    <row r="1164" spans="1:213" s="145" customFormat="1" x14ac:dyDescent="0.3">
      <c r="A1164" s="313"/>
      <c r="B1164" s="313"/>
      <c r="C1164" s="316"/>
      <c r="D1164" s="274"/>
      <c r="E1164" s="274"/>
      <c r="F1164" s="283"/>
      <c r="G1164" s="271"/>
      <c r="H1164" s="175" t="s">
        <v>73</v>
      </c>
      <c r="I1164" s="176">
        <f>D1162*K1164*30/100</f>
        <v>2209893.84</v>
      </c>
      <c r="J1164" s="176">
        <f>I1164/D1162</f>
        <v>831.6</v>
      </c>
      <c r="K1164" s="137">
        <v>2772</v>
      </c>
    </row>
    <row r="1165" spans="1:213" s="145" customFormat="1" x14ac:dyDescent="0.3">
      <c r="A1165" s="314">
        <f>A1162+1</f>
        <v>4</v>
      </c>
      <c r="B1165" s="314">
        <v>7003</v>
      </c>
      <c r="C1165" s="315" t="s">
        <v>467</v>
      </c>
      <c r="D1165" s="273">
        <v>2665.8</v>
      </c>
      <c r="E1165" s="273" t="s">
        <v>70</v>
      </c>
      <c r="F1165" s="282">
        <v>5</v>
      </c>
      <c r="G1165" s="270" t="s">
        <v>71</v>
      </c>
      <c r="H1165" s="175" t="s">
        <v>72</v>
      </c>
      <c r="I1165" s="176">
        <f>SUM(I1166:I1167)</f>
        <v>2652802.0699999998</v>
      </c>
      <c r="J1165" s="176">
        <f>SUM(J1166:J1167)</f>
        <v>995.12</v>
      </c>
      <c r="K1165" s="137">
        <f>SUM(K1166:K1167)</f>
        <v>2936</v>
      </c>
    </row>
    <row r="1166" spans="1:213" s="145" customFormat="1" ht="62" customHeight="1" x14ac:dyDescent="0.3">
      <c r="A1166" s="313"/>
      <c r="B1166" s="313"/>
      <c r="C1166" s="316"/>
      <c r="D1166" s="274"/>
      <c r="E1166" s="274"/>
      <c r="F1166" s="283"/>
      <c r="G1166" s="271"/>
      <c r="H1166" s="136" t="s">
        <v>673</v>
      </c>
      <c r="I1166" s="176">
        <f>401267.39+D1165*13</f>
        <v>435922.79</v>
      </c>
      <c r="J1166" s="176">
        <f>I1166/D1165</f>
        <v>163.52000000000001</v>
      </c>
      <c r="K1166" s="137">
        <f>151+13</f>
        <v>164</v>
      </c>
    </row>
    <row r="1167" spans="1:213" s="145" customFormat="1" x14ac:dyDescent="0.3">
      <c r="A1167" s="324"/>
      <c r="B1167" s="324"/>
      <c r="C1167" s="316"/>
      <c r="D1167" s="274"/>
      <c r="E1167" s="274"/>
      <c r="F1167" s="283"/>
      <c r="G1167" s="271"/>
      <c r="H1167" s="175" t="s">
        <v>73</v>
      </c>
      <c r="I1167" s="176">
        <f>D1165*K1167*30/100</f>
        <v>2216879.2799999998</v>
      </c>
      <c r="J1167" s="176">
        <f>I1167/D1165</f>
        <v>831.6</v>
      </c>
      <c r="K1167" s="137">
        <v>2772</v>
      </c>
    </row>
    <row r="1168" spans="1:213" s="145" customFormat="1" x14ac:dyDescent="0.3">
      <c r="A1168" s="314">
        <f>A1165+1</f>
        <v>5</v>
      </c>
      <c r="B1168" s="314">
        <v>6933</v>
      </c>
      <c r="C1168" s="315" t="s">
        <v>468</v>
      </c>
      <c r="D1168" s="273">
        <v>3603</v>
      </c>
      <c r="E1168" s="273" t="s">
        <v>70</v>
      </c>
      <c r="F1168" s="282">
        <v>5</v>
      </c>
      <c r="G1168" s="270" t="s">
        <v>71</v>
      </c>
      <c r="H1168" s="136" t="s">
        <v>72</v>
      </c>
      <c r="I1168" s="137">
        <f>SUM(I1169:I1170)</f>
        <v>3577652.4</v>
      </c>
      <c r="J1168" s="137">
        <f>SUM(J1169:J1170)</f>
        <v>992.96</v>
      </c>
      <c r="K1168" s="137">
        <f>SUM(K1169:K1170)</f>
        <v>2936</v>
      </c>
    </row>
    <row r="1169" spans="1:11" s="145" customFormat="1" ht="60" customHeight="1" x14ac:dyDescent="0.3">
      <c r="A1169" s="313"/>
      <c r="B1169" s="313"/>
      <c r="C1169" s="316"/>
      <c r="D1169" s="274"/>
      <c r="E1169" s="274"/>
      <c r="F1169" s="283"/>
      <c r="G1169" s="271"/>
      <c r="H1169" s="136" t="s">
        <v>673</v>
      </c>
      <c r="I1169" s="176">
        <f>539747.78+D1168*13</f>
        <v>586586.78</v>
      </c>
      <c r="J1169" s="176">
        <f>I1169/D1168</f>
        <v>162.81</v>
      </c>
      <c r="K1169" s="137">
        <f>151+13</f>
        <v>164</v>
      </c>
    </row>
    <row r="1170" spans="1:11" s="145" customFormat="1" x14ac:dyDescent="0.3">
      <c r="A1170" s="313"/>
      <c r="B1170" s="313"/>
      <c r="C1170" s="316"/>
      <c r="D1170" s="275"/>
      <c r="E1170" s="275"/>
      <c r="F1170" s="284"/>
      <c r="G1170" s="271"/>
      <c r="H1170" s="175" t="s">
        <v>73</v>
      </c>
      <c r="I1170" s="176">
        <v>2991065.62</v>
      </c>
      <c r="J1170" s="176">
        <f>I1170/D1168-0.01</f>
        <v>830.15</v>
      </c>
      <c r="K1170" s="137">
        <v>2772</v>
      </c>
    </row>
    <row r="1171" spans="1:11" s="145" customFormat="1" x14ac:dyDescent="0.3">
      <c r="A1171" s="314">
        <f>A1168+1</f>
        <v>6</v>
      </c>
      <c r="B1171" s="314">
        <v>6942</v>
      </c>
      <c r="C1171" s="315" t="s">
        <v>469</v>
      </c>
      <c r="D1171" s="273">
        <v>751.3</v>
      </c>
      <c r="E1171" s="273" t="s">
        <v>74</v>
      </c>
      <c r="F1171" s="282">
        <v>4</v>
      </c>
      <c r="G1171" s="270" t="s">
        <v>71</v>
      </c>
      <c r="H1171" s="136" t="s">
        <v>72</v>
      </c>
      <c r="I1171" s="137">
        <f>SUM(I1172:I1173)</f>
        <v>1165824.2</v>
      </c>
      <c r="J1171" s="137">
        <f>SUM(J1172:J1173)</f>
        <v>1551.74</v>
      </c>
      <c r="K1171" s="137">
        <f>SUM(K1172:K1173)</f>
        <v>4793</v>
      </c>
    </row>
    <row r="1172" spans="1:11" s="145" customFormat="1" ht="56" customHeight="1" x14ac:dyDescent="0.3">
      <c r="A1172" s="313"/>
      <c r="B1172" s="313"/>
      <c r="C1172" s="316"/>
      <c r="D1172" s="274"/>
      <c r="E1172" s="274"/>
      <c r="F1172" s="283"/>
      <c r="G1172" s="271"/>
      <c r="H1172" s="136" t="s">
        <v>673</v>
      </c>
      <c r="I1172" s="176">
        <f>112726.99+D1171*13</f>
        <v>122493.89</v>
      </c>
      <c r="J1172" s="176">
        <f>I1172/D1171</f>
        <v>163.04</v>
      </c>
      <c r="K1172" s="137">
        <f>151+13</f>
        <v>164</v>
      </c>
    </row>
    <row r="1173" spans="1:11" s="145" customFormat="1" x14ac:dyDescent="0.3">
      <c r="A1173" s="313"/>
      <c r="B1173" s="313"/>
      <c r="C1173" s="316"/>
      <c r="D1173" s="274"/>
      <c r="E1173" s="274"/>
      <c r="F1173" s="283"/>
      <c r="G1173" s="271"/>
      <c r="H1173" s="175" t="s">
        <v>73</v>
      </c>
      <c r="I1173" s="176">
        <f>D1171*K1173*30/100</f>
        <v>1043330.31</v>
      </c>
      <c r="J1173" s="176">
        <f>I1173/D1171</f>
        <v>1388.7</v>
      </c>
      <c r="K1173" s="137">
        <v>4629</v>
      </c>
    </row>
    <row r="1174" spans="1:11" s="145" customFormat="1" x14ac:dyDescent="0.3">
      <c r="A1174" s="314">
        <f>A1171+1</f>
        <v>7</v>
      </c>
      <c r="B1174" s="314">
        <v>6831</v>
      </c>
      <c r="C1174" s="315" t="s">
        <v>470</v>
      </c>
      <c r="D1174" s="273">
        <v>3997.52</v>
      </c>
      <c r="E1174" s="273" t="s">
        <v>70</v>
      </c>
      <c r="F1174" s="282">
        <v>5</v>
      </c>
      <c r="G1174" s="270" t="s">
        <v>71</v>
      </c>
      <c r="H1174" s="175" t="s">
        <v>72</v>
      </c>
      <c r="I1174" s="176">
        <f>SUM(I1175:I1176)</f>
        <v>3976193.22</v>
      </c>
      <c r="J1174" s="176">
        <f>SUM(J1175:J1176)</f>
        <v>994.66</v>
      </c>
      <c r="K1174" s="137">
        <f>SUM(K1175:K1176)</f>
        <v>2936</v>
      </c>
    </row>
    <row r="1175" spans="1:11" s="145" customFormat="1" ht="46.5" x14ac:dyDescent="0.3">
      <c r="A1175" s="313"/>
      <c r="B1175" s="313"/>
      <c r="C1175" s="316"/>
      <c r="D1175" s="274"/>
      <c r="E1175" s="274"/>
      <c r="F1175" s="283"/>
      <c r="G1175" s="271"/>
      <c r="H1175" s="136" t="s">
        <v>673</v>
      </c>
      <c r="I1175" s="176">
        <f>599887.83+D1174*13</f>
        <v>651855.59</v>
      </c>
      <c r="J1175" s="176">
        <f>I1175/D1174</f>
        <v>163.06</v>
      </c>
      <c r="K1175" s="137">
        <f>151+13</f>
        <v>164</v>
      </c>
    </row>
    <row r="1176" spans="1:11" s="145" customFormat="1" x14ac:dyDescent="0.3">
      <c r="A1176" s="313"/>
      <c r="B1176" s="313"/>
      <c r="C1176" s="326"/>
      <c r="D1176" s="274"/>
      <c r="E1176" s="274"/>
      <c r="F1176" s="283"/>
      <c r="G1176" s="271"/>
      <c r="H1176" s="175" t="s">
        <v>73</v>
      </c>
      <c r="I1176" s="176">
        <f>D1174*K1176*30/100</f>
        <v>3324337.63</v>
      </c>
      <c r="J1176" s="176">
        <f>I1176/D1174</f>
        <v>831.6</v>
      </c>
      <c r="K1176" s="137">
        <v>2772</v>
      </c>
    </row>
    <row r="1177" spans="1:11" s="145" customFormat="1" x14ac:dyDescent="0.3">
      <c r="A1177" s="314">
        <f>A1174+1</f>
        <v>8</v>
      </c>
      <c r="B1177" s="314">
        <v>6832</v>
      </c>
      <c r="C1177" s="315" t="s">
        <v>471</v>
      </c>
      <c r="D1177" s="273">
        <v>2867.33</v>
      </c>
      <c r="E1177" s="273" t="s">
        <v>74</v>
      </c>
      <c r="F1177" s="282">
        <v>5</v>
      </c>
      <c r="G1177" s="270" t="s">
        <v>71</v>
      </c>
      <c r="H1177" s="175" t="s">
        <v>72</v>
      </c>
      <c r="I1177" s="176">
        <f>SUM(I1178:I1179)</f>
        <v>2854713.75</v>
      </c>
      <c r="J1177" s="176">
        <f>SUM(J1178:J1179)</f>
        <v>995.6</v>
      </c>
      <c r="K1177" s="137">
        <f>SUM(K1178:K1179)</f>
        <v>2936</v>
      </c>
    </row>
    <row r="1178" spans="1:11" s="145" customFormat="1" ht="46.5" x14ac:dyDescent="0.3">
      <c r="A1178" s="313"/>
      <c r="B1178" s="313"/>
      <c r="C1178" s="316"/>
      <c r="D1178" s="274"/>
      <c r="E1178" s="274"/>
      <c r="F1178" s="283"/>
      <c r="G1178" s="271"/>
      <c r="H1178" s="136" t="s">
        <v>673</v>
      </c>
      <c r="I1178" s="176">
        <f>432966.83+D1177*13</f>
        <v>470242.12</v>
      </c>
      <c r="J1178" s="176">
        <f>I1178/D1177</f>
        <v>164</v>
      </c>
      <c r="K1178" s="137">
        <f>151+13</f>
        <v>164</v>
      </c>
    </row>
    <row r="1179" spans="1:11" s="145" customFormat="1" x14ac:dyDescent="0.3">
      <c r="A1179" s="324"/>
      <c r="B1179" s="324"/>
      <c r="C1179" s="326"/>
      <c r="D1179" s="275"/>
      <c r="E1179" s="275"/>
      <c r="F1179" s="284"/>
      <c r="G1179" s="177"/>
      <c r="H1179" s="175" t="s">
        <v>73</v>
      </c>
      <c r="I1179" s="137">
        <f>D1177*K1179*30/100</f>
        <v>2384471.63</v>
      </c>
      <c r="J1179" s="137">
        <f>I1179/D1177</f>
        <v>831.6</v>
      </c>
      <c r="K1179" s="137">
        <v>2772</v>
      </c>
    </row>
    <row r="1180" spans="1:11" s="145" customFormat="1" x14ac:dyDescent="0.3">
      <c r="A1180" s="314">
        <f>A1177+1</f>
        <v>9</v>
      </c>
      <c r="B1180" s="314">
        <v>7021</v>
      </c>
      <c r="C1180" s="315" t="s">
        <v>472</v>
      </c>
      <c r="D1180" s="273">
        <v>871.7</v>
      </c>
      <c r="E1180" s="273" t="s">
        <v>70</v>
      </c>
      <c r="F1180" s="282">
        <v>2</v>
      </c>
      <c r="G1180" s="146"/>
      <c r="H1180" s="136" t="s">
        <v>72</v>
      </c>
      <c r="I1180" s="137">
        <f>SUM(I1181:I1184)</f>
        <v>226642</v>
      </c>
      <c r="J1180" s="137">
        <f>SUM(J1181:J1184)</f>
        <v>260</v>
      </c>
      <c r="K1180" s="137">
        <f>SUM(K1181:K1184)</f>
        <v>260</v>
      </c>
    </row>
    <row r="1181" spans="1:11" s="145" customFormat="1" ht="46.5" x14ac:dyDescent="0.3">
      <c r="A1181" s="313"/>
      <c r="B1181" s="313"/>
      <c r="C1181" s="316"/>
      <c r="D1181" s="274"/>
      <c r="E1181" s="274"/>
      <c r="F1181" s="283"/>
      <c r="G1181" s="141" t="s">
        <v>76</v>
      </c>
      <c r="H1181" s="136" t="s">
        <v>634</v>
      </c>
      <c r="I1181" s="137">
        <f>D1180*K1181</f>
        <v>101988.9</v>
      </c>
      <c r="J1181" s="137">
        <f>I1181/D1180</f>
        <v>117</v>
      </c>
      <c r="K1181" s="137">
        <f>108+9</f>
        <v>117</v>
      </c>
    </row>
    <row r="1182" spans="1:11" s="145" customFormat="1" ht="46.5" x14ac:dyDescent="0.3">
      <c r="A1182" s="313"/>
      <c r="B1182" s="313"/>
      <c r="C1182" s="316"/>
      <c r="D1182" s="274"/>
      <c r="E1182" s="274"/>
      <c r="F1182" s="283"/>
      <c r="G1182" s="141" t="s">
        <v>77</v>
      </c>
      <c r="H1182" s="136" t="s">
        <v>634</v>
      </c>
      <c r="I1182" s="137">
        <f>D1180*K1182</f>
        <v>18305.7</v>
      </c>
      <c r="J1182" s="137">
        <f>I1182/D1180</f>
        <v>21</v>
      </c>
      <c r="K1182" s="137">
        <f>19+2</f>
        <v>21</v>
      </c>
    </row>
    <row r="1183" spans="1:11" s="145" customFormat="1" ht="155" x14ac:dyDescent="0.3">
      <c r="A1183" s="313"/>
      <c r="B1183" s="313"/>
      <c r="C1183" s="316"/>
      <c r="D1183" s="274"/>
      <c r="E1183" s="274"/>
      <c r="F1183" s="283"/>
      <c r="G1183" s="141" t="s">
        <v>682</v>
      </c>
      <c r="H1183" s="136" t="s">
        <v>634</v>
      </c>
      <c r="I1183" s="137">
        <f>D1180*K1183</f>
        <v>88913.4</v>
      </c>
      <c r="J1183" s="137">
        <f>I1183/D1180</f>
        <v>102</v>
      </c>
      <c r="K1183" s="137">
        <f>(47+4)*2</f>
        <v>102</v>
      </c>
    </row>
    <row r="1184" spans="1:11" s="145" customFormat="1" ht="46.5" x14ac:dyDescent="0.3">
      <c r="A1184" s="313"/>
      <c r="B1184" s="313"/>
      <c r="C1184" s="316"/>
      <c r="D1184" s="274"/>
      <c r="E1184" s="274"/>
      <c r="F1184" s="283"/>
      <c r="G1184" s="141" t="s">
        <v>89</v>
      </c>
      <c r="H1184" s="178" t="s">
        <v>634</v>
      </c>
      <c r="I1184" s="179">
        <f>D1180*K1184</f>
        <v>17434</v>
      </c>
      <c r="J1184" s="179">
        <f>I1184/D1180</f>
        <v>20</v>
      </c>
      <c r="K1184" s="179">
        <f>18+2</f>
        <v>20</v>
      </c>
    </row>
    <row r="1185" spans="1:213" s="180" customFormat="1" x14ac:dyDescent="0.3">
      <c r="A1185" s="254">
        <f>A1180+1</f>
        <v>10</v>
      </c>
      <c r="B1185" s="254">
        <v>6925</v>
      </c>
      <c r="C1185" s="328" t="s">
        <v>473</v>
      </c>
      <c r="D1185" s="287">
        <v>2524.1</v>
      </c>
      <c r="E1185" s="287" t="s">
        <v>74</v>
      </c>
      <c r="F1185" s="304">
        <v>4</v>
      </c>
      <c r="G1185" s="277" t="s">
        <v>71</v>
      </c>
      <c r="H1185" s="136" t="s">
        <v>72</v>
      </c>
      <c r="I1185" s="137">
        <f>I1186+I1187</f>
        <v>7554540.3600000003</v>
      </c>
      <c r="J1185" s="137">
        <f>J1186+J1187</f>
        <v>2992.96</v>
      </c>
      <c r="K1185" s="137">
        <f>K1186+K1187</f>
        <v>4728</v>
      </c>
    </row>
    <row r="1186" spans="1:213" s="180" customFormat="1" x14ac:dyDescent="0.3">
      <c r="A1186" s="327"/>
      <c r="B1186" s="327"/>
      <c r="C1186" s="328"/>
      <c r="D1186" s="287"/>
      <c r="E1186" s="287"/>
      <c r="F1186" s="304"/>
      <c r="G1186" s="277"/>
      <c r="H1186" s="136" t="s">
        <v>73</v>
      </c>
      <c r="I1186" s="137">
        <v>7387156.0999999996</v>
      </c>
      <c r="J1186" s="137">
        <f>I1186/D1185</f>
        <v>2926.65</v>
      </c>
      <c r="K1186" s="137">
        <v>4629</v>
      </c>
    </row>
    <row r="1187" spans="1:213" s="180" customFormat="1" x14ac:dyDescent="0.3">
      <c r="A1187" s="327"/>
      <c r="B1187" s="327"/>
      <c r="C1187" s="328"/>
      <c r="D1187" s="287"/>
      <c r="E1187" s="287"/>
      <c r="F1187" s="304"/>
      <c r="G1187" s="277"/>
      <c r="H1187" s="136" t="s">
        <v>75</v>
      </c>
      <c r="I1187" s="137">
        <v>167384.26</v>
      </c>
      <c r="J1187" s="137">
        <f>I1187/D1185</f>
        <v>66.31</v>
      </c>
      <c r="K1187" s="137">
        <v>99</v>
      </c>
    </row>
    <row r="1188" spans="1:213" s="152" customFormat="1" x14ac:dyDescent="0.35">
      <c r="A1188" s="168" t="s">
        <v>49</v>
      </c>
      <c r="B1188" s="168"/>
      <c r="C1188" s="170"/>
      <c r="D1188" s="181">
        <f>D1189</f>
        <v>885.8</v>
      </c>
      <c r="E1188" s="174"/>
      <c r="F1188" s="174"/>
      <c r="G1188" s="166"/>
      <c r="H1188" s="164"/>
      <c r="I1188" s="137">
        <f>I1189</f>
        <v>3770301.99</v>
      </c>
      <c r="J1188" s="137"/>
      <c r="K1188" s="137"/>
      <c r="L1188" s="123"/>
      <c r="M1188" s="123"/>
      <c r="N1188" s="123"/>
      <c r="O1188" s="123"/>
      <c r="P1188" s="123"/>
      <c r="Q1188" s="123"/>
      <c r="R1188" s="123"/>
      <c r="S1188" s="123"/>
      <c r="T1188" s="123"/>
      <c r="U1188" s="123"/>
      <c r="V1188" s="123"/>
      <c r="W1188" s="123"/>
      <c r="X1188" s="123"/>
      <c r="Y1188" s="123"/>
      <c r="Z1188" s="123"/>
      <c r="AA1188" s="123"/>
      <c r="AB1188" s="123"/>
      <c r="AC1188" s="123"/>
      <c r="AD1188" s="123"/>
      <c r="AE1188" s="123"/>
      <c r="AF1188" s="123"/>
      <c r="AG1188" s="123"/>
      <c r="AH1188" s="123"/>
      <c r="AI1188" s="123"/>
      <c r="AJ1188" s="123"/>
      <c r="AK1188" s="123"/>
      <c r="AL1188" s="123"/>
      <c r="AM1188" s="123"/>
      <c r="AN1188" s="123"/>
      <c r="AO1188" s="123"/>
      <c r="AP1188" s="123"/>
      <c r="AQ1188" s="123"/>
      <c r="AR1188" s="123"/>
      <c r="AS1188" s="123"/>
      <c r="AT1188" s="123"/>
      <c r="AU1188" s="123"/>
      <c r="AV1188" s="123"/>
      <c r="AW1188" s="123"/>
      <c r="AX1188" s="123"/>
      <c r="AY1188" s="123"/>
      <c r="AZ1188" s="123"/>
      <c r="BA1188" s="123"/>
      <c r="BB1188" s="123"/>
      <c r="BC1188" s="123"/>
      <c r="BD1188" s="123"/>
      <c r="BE1188" s="123"/>
      <c r="BF1188" s="123"/>
      <c r="BG1188" s="123"/>
      <c r="BH1188" s="123"/>
      <c r="BI1188" s="123"/>
      <c r="BJ1188" s="123"/>
      <c r="BK1188" s="123"/>
      <c r="BL1188" s="123"/>
      <c r="BM1188" s="123"/>
      <c r="BN1188" s="123"/>
      <c r="BO1188" s="123"/>
      <c r="BP1188" s="123"/>
      <c r="BQ1188" s="123"/>
      <c r="BR1188" s="123"/>
      <c r="BS1188" s="123"/>
      <c r="BT1188" s="123"/>
      <c r="BU1188" s="123"/>
      <c r="BV1188" s="123"/>
      <c r="BW1188" s="123"/>
      <c r="BX1188" s="123"/>
      <c r="BY1188" s="123"/>
      <c r="BZ1188" s="123"/>
      <c r="CA1188" s="123"/>
      <c r="CB1188" s="123"/>
      <c r="CC1188" s="123"/>
      <c r="CD1188" s="123"/>
      <c r="CE1188" s="123"/>
      <c r="CF1188" s="123"/>
      <c r="CG1188" s="123"/>
      <c r="CH1188" s="123"/>
      <c r="CI1188" s="123"/>
      <c r="CJ1188" s="123"/>
      <c r="CK1188" s="123"/>
      <c r="CL1188" s="123"/>
      <c r="CM1188" s="123"/>
      <c r="CN1188" s="123"/>
      <c r="CO1188" s="123"/>
      <c r="CP1188" s="123"/>
      <c r="CQ1188" s="123"/>
      <c r="CR1188" s="123"/>
      <c r="CS1188" s="123"/>
      <c r="CT1188" s="123"/>
      <c r="CU1188" s="123"/>
      <c r="CV1188" s="123"/>
      <c r="CW1188" s="123"/>
      <c r="CX1188" s="123"/>
      <c r="CY1188" s="123"/>
      <c r="CZ1188" s="123"/>
      <c r="DA1188" s="123"/>
      <c r="DB1188" s="123"/>
      <c r="DC1188" s="123"/>
      <c r="DD1188" s="123"/>
      <c r="DE1188" s="123"/>
      <c r="DF1188" s="123"/>
      <c r="DG1188" s="123"/>
      <c r="DH1188" s="123"/>
      <c r="DI1188" s="123"/>
      <c r="DJ1188" s="123"/>
      <c r="DK1188" s="123"/>
      <c r="DL1188" s="123"/>
      <c r="DM1188" s="123"/>
      <c r="DN1188" s="123"/>
      <c r="DO1188" s="123"/>
      <c r="DP1188" s="123"/>
      <c r="DQ1188" s="123"/>
      <c r="DR1188" s="123"/>
      <c r="DS1188" s="123"/>
      <c r="DT1188" s="123"/>
      <c r="DU1188" s="123"/>
      <c r="DV1188" s="123"/>
      <c r="DW1188" s="123"/>
      <c r="DX1188" s="123"/>
      <c r="DY1188" s="123"/>
      <c r="DZ1188" s="123"/>
      <c r="EA1188" s="123"/>
      <c r="EB1188" s="123"/>
      <c r="EC1188" s="123"/>
      <c r="ED1188" s="123"/>
      <c r="EE1188" s="123"/>
      <c r="EF1188" s="123"/>
      <c r="EG1188" s="123"/>
      <c r="EH1188" s="123"/>
      <c r="EI1188" s="123"/>
      <c r="EJ1188" s="123"/>
      <c r="EK1188" s="123"/>
      <c r="EL1188" s="123"/>
      <c r="EM1188" s="123"/>
      <c r="EN1188" s="123"/>
      <c r="EO1188" s="123"/>
      <c r="EP1188" s="123"/>
      <c r="EQ1188" s="123"/>
      <c r="ER1188" s="123"/>
      <c r="ES1188" s="123"/>
      <c r="ET1188" s="123"/>
      <c r="EU1188" s="123"/>
      <c r="EV1188" s="123"/>
      <c r="EW1188" s="123"/>
      <c r="EX1188" s="123"/>
      <c r="EY1188" s="123"/>
      <c r="EZ1188" s="123"/>
      <c r="FA1188" s="123"/>
      <c r="FB1188" s="123"/>
      <c r="FC1188" s="123"/>
      <c r="FD1188" s="123"/>
      <c r="FE1188" s="123"/>
      <c r="FF1188" s="123"/>
      <c r="FG1188" s="123"/>
      <c r="FH1188" s="123"/>
      <c r="FI1188" s="123"/>
      <c r="FJ1188" s="123"/>
      <c r="FK1188" s="123"/>
      <c r="FL1188" s="123"/>
      <c r="FM1188" s="123"/>
      <c r="FN1188" s="123"/>
      <c r="FO1188" s="123"/>
      <c r="FP1188" s="123"/>
      <c r="FQ1188" s="123"/>
      <c r="FR1188" s="123"/>
      <c r="FS1188" s="123"/>
      <c r="FT1188" s="123"/>
      <c r="FU1188" s="123"/>
      <c r="FV1188" s="123"/>
      <c r="FW1188" s="123"/>
      <c r="FX1188" s="123"/>
      <c r="FY1188" s="123"/>
      <c r="FZ1188" s="123"/>
      <c r="GA1188" s="123"/>
      <c r="GB1188" s="123"/>
      <c r="GC1188" s="123"/>
      <c r="GD1188" s="123"/>
      <c r="GE1188" s="123"/>
      <c r="GF1188" s="123"/>
      <c r="GG1188" s="123"/>
      <c r="GH1188" s="123"/>
      <c r="GI1188" s="123"/>
      <c r="GJ1188" s="123"/>
      <c r="GK1188" s="123"/>
      <c r="GL1188" s="123"/>
      <c r="GM1188" s="123"/>
      <c r="GN1188" s="123"/>
      <c r="GO1188" s="123"/>
      <c r="GP1188" s="123"/>
      <c r="GQ1188" s="123"/>
      <c r="GR1188" s="123"/>
      <c r="GS1188" s="123"/>
      <c r="GT1188" s="123"/>
      <c r="GU1188" s="123"/>
      <c r="GV1188" s="123"/>
      <c r="GW1188" s="123"/>
      <c r="GX1188" s="123"/>
      <c r="GY1188" s="123"/>
      <c r="GZ1188" s="123"/>
      <c r="HA1188" s="123"/>
      <c r="HB1188" s="123"/>
      <c r="HC1188" s="123"/>
      <c r="HD1188" s="123"/>
      <c r="HE1188" s="123"/>
    </row>
    <row r="1189" spans="1:213" s="145" customFormat="1" x14ac:dyDescent="0.3">
      <c r="A1189" s="270">
        <v>1</v>
      </c>
      <c r="B1189" s="270">
        <v>4997</v>
      </c>
      <c r="C1189" s="278" t="s">
        <v>683</v>
      </c>
      <c r="D1189" s="273">
        <v>885.8</v>
      </c>
      <c r="E1189" s="282" t="s">
        <v>74</v>
      </c>
      <c r="F1189" s="282">
        <v>2</v>
      </c>
      <c r="G1189" s="270" t="s">
        <v>71</v>
      </c>
      <c r="H1189" s="136" t="s">
        <v>72</v>
      </c>
      <c r="I1189" s="137">
        <f>I1190+I1191</f>
        <v>3770301.99</v>
      </c>
      <c r="J1189" s="137">
        <f>J1190+J1191</f>
        <v>4256.38</v>
      </c>
      <c r="K1189" s="137">
        <f>K1190+K1191</f>
        <v>7539</v>
      </c>
    </row>
    <row r="1190" spans="1:213" s="145" customFormat="1" x14ac:dyDescent="0.3">
      <c r="A1190" s="271">
        <v>1174</v>
      </c>
      <c r="B1190" s="271"/>
      <c r="C1190" s="279"/>
      <c r="D1190" s="274"/>
      <c r="E1190" s="283"/>
      <c r="F1190" s="283"/>
      <c r="G1190" s="271"/>
      <c r="H1190" s="136" t="s">
        <v>73</v>
      </c>
      <c r="I1190" s="137">
        <v>3730070.33</v>
      </c>
      <c r="J1190" s="137">
        <f>I1190/D1189</f>
        <v>4210.96</v>
      </c>
      <c r="K1190" s="137">
        <v>7381</v>
      </c>
    </row>
    <row r="1191" spans="1:213" s="145" customFormat="1" x14ac:dyDescent="0.3">
      <c r="A1191" s="272">
        <v>1175</v>
      </c>
      <c r="B1191" s="272"/>
      <c r="C1191" s="285"/>
      <c r="D1191" s="275"/>
      <c r="E1191" s="284"/>
      <c r="F1191" s="284"/>
      <c r="G1191" s="272"/>
      <c r="H1191" s="136" t="s">
        <v>75</v>
      </c>
      <c r="I1191" s="137">
        <v>40231.660000000003</v>
      </c>
      <c r="J1191" s="137">
        <f>I1191/D1189</f>
        <v>45.42</v>
      </c>
      <c r="K1191" s="137">
        <v>158</v>
      </c>
    </row>
    <row r="1192" spans="1:213" s="152" customFormat="1" x14ac:dyDescent="0.35">
      <c r="A1192" s="161" t="s">
        <v>50</v>
      </c>
      <c r="B1192" s="162"/>
      <c r="C1192" s="163"/>
      <c r="D1192" s="166">
        <f>D1193</f>
        <v>988.9</v>
      </c>
      <c r="E1192" s="172"/>
      <c r="F1192" s="172"/>
      <c r="G1192" s="166"/>
      <c r="H1192" s="164"/>
      <c r="I1192" s="137">
        <f>I1193</f>
        <v>5360773.6500000004</v>
      </c>
      <c r="J1192" s="137"/>
      <c r="K1192" s="137"/>
      <c r="L1192" s="123"/>
      <c r="M1192" s="123"/>
      <c r="N1192" s="123"/>
      <c r="O1192" s="123"/>
      <c r="P1192" s="123"/>
      <c r="Q1192" s="123"/>
      <c r="R1192" s="123"/>
      <c r="S1192" s="123"/>
      <c r="T1192" s="123"/>
      <c r="U1192" s="123"/>
      <c r="V1192" s="123"/>
      <c r="W1192" s="123"/>
      <c r="X1192" s="123"/>
      <c r="Y1192" s="123"/>
      <c r="Z1192" s="123"/>
      <c r="AA1192" s="123"/>
      <c r="AB1192" s="123"/>
      <c r="AC1192" s="123"/>
      <c r="AD1192" s="123"/>
      <c r="AE1192" s="123"/>
      <c r="AF1192" s="123"/>
      <c r="AG1192" s="123"/>
      <c r="AH1192" s="123"/>
      <c r="AI1192" s="123"/>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23"/>
      <c r="BC1192" s="123"/>
      <c r="BD1192" s="123"/>
      <c r="BE1192" s="123"/>
      <c r="BF1192" s="123"/>
      <c r="BG1192" s="123"/>
      <c r="BH1192" s="123"/>
      <c r="BI1192" s="123"/>
      <c r="BJ1192" s="123"/>
      <c r="BK1192" s="123"/>
      <c r="BL1192" s="123"/>
      <c r="BM1192" s="123"/>
      <c r="BN1192" s="123"/>
      <c r="BO1192" s="123"/>
      <c r="BP1192" s="123"/>
      <c r="BQ1192" s="123"/>
      <c r="BR1192" s="123"/>
      <c r="BS1192" s="123"/>
      <c r="BT1192" s="123"/>
      <c r="BU1192" s="123"/>
      <c r="BV1192" s="123"/>
      <c r="BW1192" s="123"/>
      <c r="BX1192" s="123"/>
      <c r="BY1192" s="123"/>
      <c r="BZ1192" s="123"/>
      <c r="CA1192" s="123"/>
      <c r="CB1192" s="123"/>
      <c r="CC1192" s="123"/>
      <c r="CD1192" s="123"/>
      <c r="CE1192" s="123"/>
      <c r="CF1192" s="123"/>
      <c r="CG1192" s="123"/>
      <c r="CH1192" s="123"/>
      <c r="CI1192" s="123"/>
      <c r="CJ1192" s="123"/>
      <c r="CK1192" s="123"/>
      <c r="CL1192" s="123"/>
      <c r="CM1192" s="123"/>
      <c r="CN1192" s="123"/>
      <c r="CO1192" s="123"/>
      <c r="CP1192" s="123"/>
      <c r="CQ1192" s="123"/>
      <c r="CR1192" s="123"/>
      <c r="CS1192" s="123"/>
      <c r="CT1192" s="123"/>
      <c r="CU1192" s="123"/>
      <c r="CV1192" s="123"/>
      <c r="CW1192" s="123"/>
      <c r="CX1192" s="123"/>
      <c r="CY1192" s="123"/>
      <c r="CZ1192" s="123"/>
      <c r="DA1192" s="123"/>
      <c r="DB1192" s="123"/>
      <c r="DC1192" s="123"/>
      <c r="DD1192" s="123"/>
      <c r="DE1192" s="123"/>
      <c r="DF1192" s="123"/>
      <c r="DG1192" s="123"/>
      <c r="DH1192" s="123"/>
      <c r="DI1192" s="123"/>
      <c r="DJ1192" s="123"/>
      <c r="DK1192" s="123"/>
      <c r="DL1192" s="123"/>
      <c r="DM1192" s="123"/>
      <c r="DN1192" s="123"/>
      <c r="DO1192" s="123"/>
      <c r="DP1192" s="123"/>
      <c r="DQ1192" s="123"/>
      <c r="DR1192" s="123"/>
      <c r="DS1192" s="123"/>
      <c r="DT1192" s="123"/>
      <c r="DU1192" s="123"/>
      <c r="DV1192" s="123"/>
      <c r="DW1192" s="123"/>
      <c r="DX1192" s="123"/>
      <c r="DY1192" s="123"/>
      <c r="DZ1192" s="123"/>
      <c r="EA1192" s="123"/>
      <c r="EB1192" s="123"/>
      <c r="EC1192" s="123"/>
      <c r="ED1192" s="123"/>
      <c r="EE1192" s="123"/>
      <c r="EF1192" s="123"/>
      <c r="EG1192" s="123"/>
      <c r="EH1192" s="123"/>
      <c r="EI1192" s="123"/>
      <c r="EJ1192" s="123"/>
      <c r="EK1192" s="123"/>
      <c r="EL1192" s="123"/>
      <c r="EM1192" s="123"/>
      <c r="EN1192" s="123"/>
      <c r="EO1192" s="123"/>
      <c r="EP1192" s="123"/>
      <c r="EQ1192" s="123"/>
      <c r="ER1192" s="123"/>
      <c r="ES1192" s="123"/>
      <c r="ET1192" s="123"/>
      <c r="EU1192" s="123"/>
      <c r="EV1192" s="123"/>
      <c r="EW1192" s="123"/>
      <c r="EX1192" s="123"/>
      <c r="EY1192" s="123"/>
      <c r="EZ1192" s="123"/>
      <c r="FA1192" s="123"/>
      <c r="FB1192" s="123"/>
      <c r="FC1192" s="123"/>
      <c r="FD1192" s="123"/>
      <c r="FE1192" s="123"/>
      <c r="FF1192" s="123"/>
      <c r="FG1192" s="123"/>
      <c r="FH1192" s="123"/>
      <c r="FI1192" s="123"/>
      <c r="FJ1192" s="123"/>
      <c r="FK1192" s="123"/>
      <c r="FL1192" s="123"/>
      <c r="FM1192" s="123"/>
      <c r="FN1192" s="123"/>
      <c r="FO1192" s="123"/>
      <c r="FP1192" s="123"/>
      <c r="FQ1192" s="123"/>
      <c r="FR1192" s="123"/>
      <c r="FS1192" s="123"/>
      <c r="FT1192" s="123"/>
      <c r="FU1192" s="123"/>
      <c r="FV1192" s="123"/>
      <c r="FW1192" s="123"/>
      <c r="FX1192" s="123"/>
      <c r="FY1192" s="123"/>
      <c r="FZ1192" s="123"/>
      <c r="GA1192" s="123"/>
      <c r="GB1192" s="123"/>
      <c r="GC1192" s="123"/>
      <c r="GD1192" s="123"/>
      <c r="GE1192" s="123"/>
      <c r="GF1192" s="123"/>
      <c r="GG1192" s="123"/>
      <c r="GH1192" s="123"/>
      <c r="GI1192" s="123"/>
      <c r="GJ1192" s="123"/>
      <c r="GK1192" s="123"/>
      <c r="GL1192" s="123"/>
      <c r="GM1192" s="123"/>
      <c r="GN1192" s="123"/>
      <c r="GO1192" s="123"/>
      <c r="GP1192" s="123"/>
      <c r="GQ1192" s="123"/>
      <c r="GR1192" s="123"/>
      <c r="GS1192" s="123"/>
      <c r="GT1192" s="123"/>
      <c r="GU1192" s="123"/>
      <c r="GV1192" s="123"/>
      <c r="GW1192" s="123"/>
      <c r="GX1192" s="123"/>
      <c r="GY1192" s="123"/>
      <c r="GZ1192" s="123"/>
      <c r="HA1192" s="123"/>
      <c r="HB1192" s="123"/>
      <c r="HC1192" s="123"/>
      <c r="HD1192" s="123"/>
      <c r="HE1192" s="123"/>
    </row>
    <row r="1193" spans="1:213" s="145" customFormat="1" x14ac:dyDescent="0.3">
      <c r="A1193" s="327">
        <f>1</f>
        <v>1</v>
      </c>
      <c r="B1193" s="327">
        <v>7164</v>
      </c>
      <c r="C1193" s="286" t="s">
        <v>475</v>
      </c>
      <c r="D1193" s="287">
        <v>988.9</v>
      </c>
      <c r="E1193" s="304" t="s">
        <v>74</v>
      </c>
      <c r="F1193" s="304">
        <v>2</v>
      </c>
      <c r="G1193" s="270" t="s">
        <v>71</v>
      </c>
      <c r="H1193" s="136" t="s">
        <v>72</v>
      </c>
      <c r="I1193" s="137">
        <f>I1194+I1195</f>
        <v>5360773.6500000004</v>
      </c>
      <c r="J1193" s="137">
        <f>J1194+J1195</f>
        <v>5420.95</v>
      </c>
      <c r="K1193" s="137">
        <f>K1194+K1195</f>
        <v>7066</v>
      </c>
    </row>
    <row r="1194" spans="1:213" s="145" customFormat="1" x14ac:dyDescent="0.3">
      <c r="A1194" s="327"/>
      <c r="B1194" s="327"/>
      <c r="C1194" s="286"/>
      <c r="D1194" s="287"/>
      <c r="E1194" s="304"/>
      <c r="F1194" s="304"/>
      <c r="G1194" s="271"/>
      <c r="H1194" s="136" t="s">
        <v>73</v>
      </c>
      <c r="I1194" s="137">
        <v>5248456.68</v>
      </c>
      <c r="J1194" s="137">
        <f>I1194/D1193</f>
        <v>5307.37</v>
      </c>
      <c r="K1194" s="137">
        <v>6918</v>
      </c>
    </row>
    <row r="1195" spans="1:213" s="145" customFormat="1" x14ac:dyDescent="0.3">
      <c r="A1195" s="327"/>
      <c r="B1195" s="327"/>
      <c r="C1195" s="286"/>
      <c r="D1195" s="287"/>
      <c r="E1195" s="304"/>
      <c r="F1195" s="304"/>
      <c r="G1195" s="272"/>
      <c r="H1195" s="136" t="s">
        <v>75</v>
      </c>
      <c r="I1195" s="137">
        <f>I1194*0.0214</f>
        <v>112316.97</v>
      </c>
      <c r="J1195" s="137">
        <f>I1195/D1193</f>
        <v>113.58</v>
      </c>
      <c r="K1195" s="137">
        <v>148</v>
      </c>
    </row>
    <row r="1196" spans="1:213" s="152" customFormat="1" x14ac:dyDescent="0.35">
      <c r="A1196" s="138" t="s">
        <v>29</v>
      </c>
      <c r="B1196" s="139"/>
      <c r="C1196" s="140"/>
      <c r="D1196" s="166">
        <f>D1197+D1202+D1243+D1247+D1253+D1577+D1670+D2503+D2506+D2518+D2528+D2591+D2595+D2603+D2610+D2655+D2658</f>
        <v>1328563.0900000001</v>
      </c>
      <c r="E1196" s="192"/>
      <c r="F1196" s="192"/>
      <c r="G1196" s="146"/>
      <c r="H1196" s="131"/>
      <c r="I1196" s="137">
        <f>I1197+I1202+I1243+I1247+I1253+I1577+'Форма 2'!I1670+I2503+I2506+I2518+I2528+I2591+I2595+I2603+I2610+I2655+I2658</f>
        <v>1098109842.45</v>
      </c>
      <c r="J1196" s="131"/>
      <c r="K1196" s="131"/>
      <c r="L1196" s="123"/>
      <c r="M1196" s="123"/>
      <c r="N1196" s="123"/>
      <c r="O1196" s="123"/>
      <c r="P1196" s="123"/>
      <c r="Q1196" s="123"/>
      <c r="R1196" s="123"/>
      <c r="S1196" s="123"/>
      <c r="T1196" s="123"/>
      <c r="U1196" s="123"/>
      <c r="V1196" s="123"/>
      <c r="W1196" s="123"/>
      <c r="X1196" s="123"/>
      <c r="Y1196" s="123"/>
      <c r="Z1196" s="123"/>
      <c r="AA1196" s="123"/>
      <c r="AB1196" s="123"/>
      <c r="AC1196" s="123"/>
      <c r="AD1196" s="123"/>
      <c r="AE1196" s="123"/>
      <c r="AF1196" s="123"/>
      <c r="AG1196" s="123"/>
      <c r="AH1196" s="123"/>
      <c r="AI1196" s="123"/>
      <c r="AJ1196" s="123"/>
      <c r="AK1196" s="123"/>
      <c r="AL1196" s="123"/>
      <c r="AM1196" s="123"/>
      <c r="AN1196" s="123"/>
      <c r="AO1196" s="123"/>
      <c r="AP1196" s="123"/>
      <c r="AQ1196" s="123"/>
      <c r="AR1196" s="123"/>
      <c r="AS1196" s="123"/>
      <c r="AT1196" s="123"/>
      <c r="AU1196" s="123"/>
      <c r="AV1196" s="123"/>
      <c r="AW1196" s="123"/>
      <c r="AX1196" s="123"/>
      <c r="AY1196" s="123"/>
      <c r="AZ1196" s="123"/>
      <c r="BA1196" s="123"/>
      <c r="BB1196" s="123"/>
      <c r="BC1196" s="123"/>
      <c r="BD1196" s="123"/>
      <c r="BE1196" s="123"/>
      <c r="BF1196" s="123"/>
      <c r="BG1196" s="123"/>
      <c r="BH1196" s="123"/>
      <c r="BI1196" s="123"/>
      <c r="BJ1196" s="123"/>
      <c r="BK1196" s="123"/>
      <c r="BL1196" s="123"/>
      <c r="BM1196" s="123"/>
      <c r="BN1196" s="123"/>
      <c r="BO1196" s="123"/>
      <c r="BP1196" s="123"/>
      <c r="BQ1196" s="123"/>
      <c r="BR1196" s="123"/>
      <c r="BS1196" s="123"/>
      <c r="BT1196" s="123"/>
      <c r="BU1196" s="123"/>
      <c r="BV1196" s="123"/>
      <c r="BW1196" s="123"/>
      <c r="BX1196" s="123"/>
      <c r="BY1196" s="123"/>
      <c r="BZ1196" s="123"/>
      <c r="CA1196" s="123"/>
      <c r="CB1196" s="123"/>
      <c r="CC1196" s="123"/>
      <c r="CD1196" s="123"/>
      <c r="CE1196" s="123"/>
      <c r="CF1196" s="123"/>
      <c r="CG1196" s="123"/>
      <c r="CH1196" s="123"/>
      <c r="CI1196" s="123"/>
      <c r="CJ1196" s="123"/>
      <c r="CK1196" s="123"/>
      <c r="CL1196" s="123"/>
      <c r="CM1196" s="123"/>
      <c r="CN1196" s="123"/>
      <c r="CO1196" s="123"/>
      <c r="CP1196" s="123"/>
      <c r="CQ1196" s="123"/>
      <c r="CR1196" s="123"/>
      <c r="CS1196" s="123"/>
      <c r="CT1196" s="123"/>
      <c r="CU1196" s="123"/>
      <c r="CV1196" s="123"/>
      <c r="CW1196" s="123"/>
      <c r="CX1196" s="123"/>
      <c r="CY1196" s="123"/>
      <c r="CZ1196" s="123"/>
      <c r="DA1196" s="123"/>
      <c r="DB1196" s="123"/>
      <c r="DC1196" s="123"/>
      <c r="DD1196" s="123"/>
      <c r="DE1196" s="123"/>
      <c r="DF1196" s="123"/>
      <c r="DG1196" s="123"/>
      <c r="DH1196" s="123"/>
      <c r="DI1196" s="123"/>
      <c r="DJ1196" s="123"/>
      <c r="DK1196" s="123"/>
      <c r="DL1196" s="123"/>
      <c r="DM1196" s="123"/>
      <c r="DN1196" s="123"/>
      <c r="DO1196" s="123"/>
      <c r="DP1196" s="123"/>
      <c r="DQ1196" s="123"/>
      <c r="DR1196" s="123"/>
      <c r="DS1196" s="123"/>
      <c r="DT1196" s="123"/>
      <c r="DU1196" s="123"/>
      <c r="DV1196" s="123"/>
      <c r="DW1196" s="123"/>
      <c r="DX1196" s="123"/>
      <c r="DY1196" s="123"/>
      <c r="DZ1196" s="123"/>
      <c r="EA1196" s="123"/>
      <c r="EB1196" s="123"/>
      <c r="EC1196" s="123"/>
      <c r="ED1196" s="123"/>
      <c r="EE1196" s="123"/>
      <c r="EF1196" s="123"/>
      <c r="EG1196" s="123"/>
      <c r="EH1196" s="123"/>
      <c r="EI1196" s="123"/>
      <c r="EJ1196" s="123"/>
      <c r="EK1196" s="123"/>
      <c r="EL1196" s="123"/>
      <c r="EM1196" s="123"/>
      <c r="EN1196" s="123"/>
      <c r="EO1196" s="123"/>
      <c r="EP1196" s="123"/>
      <c r="EQ1196" s="123"/>
      <c r="ER1196" s="123"/>
      <c r="ES1196" s="123"/>
      <c r="ET1196" s="123"/>
      <c r="EU1196" s="123"/>
      <c r="EV1196" s="123"/>
      <c r="EW1196" s="123"/>
      <c r="EX1196" s="123"/>
      <c r="EY1196" s="123"/>
      <c r="EZ1196" s="123"/>
      <c r="FA1196" s="123"/>
      <c r="FB1196" s="123"/>
      <c r="FC1196" s="123"/>
      <c r="FD1196" s="123"/>
      <c r="FE1196" s="123"/>
      <c r="FF1196" s="123"/>
      <c r="FG1196" s="123"/>
      <c r="FH1196" s="123"/>
      <c r="FI1196" s="123"/>
      <c r="FJ1196" s="123"/>
      <c r="FK1196" s="123"/>
      <c r="FL1196" s="123"/>
      <c r="FM1196" s="123"/>
      <c r="FN1196" s="123"/>
      <c r="FO1196" s="123"/>
      <c r="FP1196" s="123"/>
      <c r="FQ1196" s="123"/>
      <c r="FR1196" s="123"/>
      <c r="FS1196" s="123"/>
      <c r="FT1196" s="123"/>
      <c r="FU1196" s="123"/>
      <c r="FV1196" s="123"/>
      <c r="FW1196" s="123"/>
      <c r="FX1196" s="123"/>
      <c r="FY1196" s="123"/>
      <c r="FZ1196" s="123"/>
      <c r="GA1196" s="123"/>
      <c r="GB1196" s="123"/>
      <c r="GC1196" s="123"/>
      <c r="GD1196" s="123"/>
      <c r="GE1196" s="123"/>
      <c r="GF1196" s="123"/>
      <c r="GG1196" s="123"/>
      <c r="GH1196" s="123"/>
      <c r="GI1196" s="123"/>
      <c r="GJ1196" s="123"/>
      <c r="GK1196" s="123"/>
      <c r="GL1196" s="123"/>
      <c r="GM1196" s="123"/>
      <c r="GN1196" s="123"/>
      <c r="GO1196" s="123"/>
      <c r="GP1196" s="123"/>
      <c r="GQ1196" s="123"/>
      <c r="GR1196" s="123"/>
      <c r="GS1196" s="123"/>
      <c r="GT1196" s="123"/>
      <c r="GU1196" s="123"/>
      <c r="GV1196" s="123"/>
      <c r="GW1196" s="123"/>
      <c r="GX1196" s="123"/>
      <c r="GY1196" s="123"/>
      <c r="GZ1196" s="123"/>
      <c r="HA1196" s="123"/>
      <c r="HB1196" s="123"/>
      <c r="HC1196" s="123"/>
      <c r="HD1196" s="123"/>
      <c r="HE1196" s="123"/>
    </row>
    <row r="1197" spans="1:213" s="152" customFormat="1" x14ac:dyDescent="0.35">
      <c r="A1197" s="138" t="s">
        <v>16</v>
      </c>
      <c r="B1197" s="143"/>
      <c r="C1197" s="144"/>
      <c r="D1197" s="166">
        <f>D1198+D1200</f>
        <v>624.1</v>
      </c>
      <c r="E1197" s="166"/>
      <c r="F1197" s="166"/>
      <c r="G1197" s="146"/>
      <c r="H1197" s="131"/>
      <c r="I1197" s="166">
        <f>I1198+I1200</f>
        <v>287120.7</v>
      </c>
      <c r="J1197" s="146"/>
      <c r="K1197" s="146"/>
      <c r="L1197" s="123"/>
      <c r="M1197" s="123"/>
      <c r="N1197" s="123"/>
      <c r="O1197" s="123"/>
      <c r="P1197" s="123"/>
      <c r="Q1197" s="123"/>
      <c r="R1197" s="123"/>
      <c r="S1197" s="123"/>
      <c r="T1197" s="123"/>
      <c r="U1197" s="123"/>
      <c r="V1197" s="123"/>
      <c r="W1197" s="123"/>
      <c r="X1197" s="123"/>
      <c r="Y1197" s="123"/>
      <c r="Z1197" s="123"/>
      <c r="AA1197" s="123"/>
      <c r="AB1197" s="123"/>
      <c r="AC1197" s="123"/>
      <c r="AD1197" s="123"/>
      <c r="AE1197" s="123"/>
      <c r="AF1197" s="123"/>
      <c r="AG1197" s="123"/>
      <c r="AH1197" s="123"/>
      <c r="AI1197" s="123"/>
      <c r="AJ1197" s="123"/>
      <c r="AK1197" s="123"/>
      <c r="AL1197" s="123"/>
      <c r="AM1197" s="123"/>
      <c r="AN1197" s="123"/>
      <c r="AO1197" s="123"/>
      <c r="AP1197" s="123"/>
      <c r="AQ1197" s="123"/>
      <c r="AR1197" s="123"/>
      <c r="AS1197" s="123"/>
      <c r="AT1197" s="123"/>
      <c r="AU1197" s="123"/>
      <c r="AV1197" s="123"/>
      <c r="AW1197" s="123"/>
      <c r="AX1197" s="123"/>
      <c r="AY1197" s="123"/>
      <c r="AZ1197" s="123"/>
      <c r="BA1197" s="123"/>
      <c r="BB1197" s="123"/>
      <c r="BC1197" s="123"/>
      <c r="BD1197" s="123"/>
      <c r="BE1197" s="123"/>
      <c r="BF1197" s="123"/>
      <c r="BG1197" s="123"/>
      <c r="BH1197" s="123"/>
      <c r="BI1197" s="123"/>
      <c r="BJ1197" s="123"/>
      <c r="BK1197" s="123"/>
      <c r="BL1197" s="123"/>
      <c r="BM1197" s="123"/>
      <c r="BN1197" s="123"/>
      <c r="BO1197" s="123"/>
      <c r="BP1197" s="123"/>
      <c r="BQ1197" s="123"/>
      <c r="BR1197" s="123"/>
      <c r="BS1197" s="123"/>
      <c r="BT1197" s="123"/>
      <c r="BU1197" s="123"/>
      <c r="BV1197" s="123"/>
      <c r="BW1197" s="123"/>
      <c r="BX1197" s="123"/>
      <c r="BY1197" s="123"/>
      <c r="BZ1197" s="123"/>
      <c r="CA1197" s="123"/>
      <c r="CB1197" s="123"/>
      <c r="CC1197" s="123"/>
      <c r="CD1197" s="123"/>
      <c r="CE1197" s="123"/>
      <c r="CF1197" s="123"/>
      <c r="CG1197" s="123"/>
      <c r="CH1197" s="123"/>
      <c r="CI1197" s="123"/>
      <c r="CJ1197" s="123"/>
      <c r="CK1197" s="123"/>
      <c r="CL1197" s="123"/>
      <c r="CM1197" s="123"/>
      <c r="CN1197" s="123"/>
      <c r="CO1197" s="123"/>
      <c r="CP1197" s="123"/>
      <c r="CQ1197" s="123"/>
      <c r="CR1197" s="123"/>
      <c r="CS1197" s="123"/>
      <c r="CT1197" s="123"/>
      <c r="CU1197" s="123"/>
      <c r="CV1197" s="123"/>
      <c r="CW1197" s="123"/>
      <c r="CX1197" s="123"/>
      <c r="CY1197" s="123"/>
      <c r="CZ1197" s="123"/>
      <c r="DA1197" s="123"/>
      <c r="DB1197" s="123"/>
      <c r="DC1197" s="123"/>
      <c r="DD1197" s="123"/>
      <c r="DE1197" s="123"/>
      <c r="DF1197" s="123"/>
      <c r="DG1197" s="123"/>
      <c r="DH1197" s="123"/>
      <c r="DI1197" s="123"/>
      <c r="DJ1197" s="123"/>
      <c r="DK1197" s="123"/>
      <c r="DL1197" s="123"/>
      <c r="DM1197" s="123"/>
      <c r="DN1197" s="123"/>
      <c r="DO1197" s="123"/>
      <c r="DP1197" s="123"/>
      <c r="DQ1197" s="123"/>
      <c r="DR1197" s="123"/>
      <c r="DS1197" s="123"/>
      <c r="DT1197" s="123"/>
      <c r="DU1197" s="123"/>
      <c r="DV1197" s="123"/>
      <c r="DW1197" s="123"/>
      <c r="DX1197" s="123"/>
      <c r="DY1197" s="123"/>
      <c r="DZ1197" s="123"/>
      <c r="EA1197" s="123"/>
      <c r="EB1197" s="123"/>
      <c r="EC1197" s="123"/>
      <c r="ED1197" s="123"/>
      <c r="EE1197" s="123"/>
      <c r="EF1197" s="123"/>
      <c r="EG1197" s="123"/>
      <c r="EH1197" s="123"/>
      <c r="EI1197" s="123"/>
      <c r="EJ1197" s="123"/>
      <c r="EK1197" s="123"/>
      <c r="EL1197" s="123"/>
      <c r="EM1197" s="123"/>
      <c r="EN1197" s="123"/>
      <c r="EO1197" s="123"/>
      <c r="EP1197" s="123"/>
      <c r="EQ1197" s="123"/>
      <c r="ER1197" s="123"/>
      <c r="ES1197" s="123"/>
      <c r="ET1197" s="123"/>
      <c r="EU1197" s="123"/>
      <c r="EV1197" s="123"/>
      <c r="EW1197" s="123"/>
      <c r="EX1197" s="123"/>
      <c r="EY1197" s="123"/>
      <c r="EZ1197" s="123"/>
      <c r="FA1197" s="123"/>
      <c r="FB1197" s="123"/>
      <c r="FC1197" s="123"/>
      <c r="FD1197" s="123"/>
      <c r="FE1197" s="123"/>
      <c r="FF1197" s="123"/>
      <c r="FG1197" s="123"/>
      <c r="FH1197" s="123"/>
      <c r="FI1197" s="123"/>
      <c r="FJ1197" s="123"/>
      <c r="FK1197" s="123"/>
      <c r="FL1197" s="123"/>
      <c r="FM1197" s="123"/>
      <c r="FN1197" s="123"/>
      <c r="FO1197" s="123"/>
      <c r="FP1197" s="123"/>
      <c r="FQ1197" s="123"/>
      <c r="FR1197" s="123"/>
      <c r="FS1197" s="123"/>
      <c r="FT1197" s="123"/>
      <c r="FU1197" s="123"/>
      <c r="FV1197" s="123"/>
      <c r="FW1197" s="123"/>
      <c r="FX1197" s="123"/>
      <c r="FY1197" s="123"/>
      <c r="FZ1197" s="123"/>
      <c r="GA1197" s="123"/>
      <c r="GB1197" s="123"/>
      <c r="GC1197" s="123"/>
      <c r="GD1197" s="123"/>
      <c r="GE1197" s="123"/>
      <c r="GF1197" s="123"/>
      <c r="GG1197" s="123"/>
      <c r="GH1197" s="123"/>
      <c r="GI1197" s="123"/>
      <c r="GJ1197" s="123"/>
      <c r="GK1197" s="123"/>
      <c r="GL1197" s="123"/>
      <c r="GM1197" s="123"/>
      <c r="GN1197" s="123"/>
      <c r="GO1197" s="123"/>
      <c r="GP1197" s="123"/>
      <c r="GQ1197" s="123"/>
      <c r="GR1197" s="123"/>
      <c r="GS1197" s="123"/>
      <c r="GT1197" s="123"/>
      <c r="GU1197" s="123"/>
      <c r="GV1197" s="123"/>
      <c r="GW1197" s="123"/>
      <c r="GX1197" s="123"/>
      <c r="GY1197" s="123"/>
      <c r="GZ1197" s="123"/>
      <c r="HA1197" s="123"/>
      <c r="HB1197" s="123"/>
      <c r="HC1197" s="123"/>
      <c r="HD1197" s="123"/>
      <c r="HE1197" s="123"/>
    </row>
    <row r="1198" spans="1:213" s="152" customFormat="1" x14ac:dyDescent="0.35">
      <c r="A1198" s="270">
        <v>1</v>
      </c>
      <c r="B1198" s="278">
        <v>4692</v>
      </c>
      <c r="C1198" s="278" t="s">
        <v>476</v>
      </c>
      <c r="D1198" s="273">
        <v>237.2</v>
      </c>
      <c r="E1198" s="273" t="s">
        <v>74</v>
      </c>
      <c r="F1198" s="282">
        <v>2</v>
      </c>
      <c r="G1198" s="270" t="s">
        <v>81</v>
      </c>
      <c r="H1198" s="136" t="s">
        <v>72</v>
      </c>
      <c r="I1198" s="181">
        <f>SUM(I1199:I1199)</f>
        <v>186913.6</v>
      </c>
      <c r="J1198" s="181">
        <f>SUM(J1199:J1199)</f>
        <v>788</v>
      </c>
      <c r="K1198" s="181">
        <f>SUM(K1199:K1199)</f>
        <v>788</v>
      </c>
      <c r="L1198" s="145"/>
      <c r="M1198" s="145"/>
      <c r="N1198" s="145"/>
      <c r="O1198" s="145"/>
      <c r="P1198" s="145"/>
      <c r="Q1198" s="145"/>
      <c r="R1198" s="145"/>
      <c r="S1198" s="145"/>
      <c r="T1198" s="145"/>
      <c r="U1198" s="145"/>
      <c r="V1198" s="145"/>
      <c r="W1198" s="145"/>
      <c r="X1198" s="145"/>
      <c r="Y1198" s="145"/>
      <c r="Z1198" s="145"/>
      <c r="AA1198" s="145"/>
      <c r="AB1198" s="145"/>
      <c r="AC1198" s="145"/>
      <c r="AD1198" s="145"/>
      <c r="AE1198" s="145"/>
      <c r="AF1198" s="145"/>
      <c r="AG1198" s="145"/>
      <c r="AH1198" s="145"/>
      <c r="AI1198" s="145"/>
      <c r="AJ1198" s="145"/>
      <c r="AK1198" s="145"/>
      <c r="AL1198" s="145"/>
      <c r="AM1198" s="145"/>
      <c r="AN1198" s="145"/>
      <c r="AO1198" s="145"/>
      <c r="AP1198" s="145"/>
      <c r="AQ1198" s="145"/>
      <c r="AR1198" s="145"/>
      <c r="AS1198" s="145"/>
      <c r="AT1198" s="145"/>
      <c r="AU1198" s="145"/>
      <c r="AV1198" s="145"/>
      <c r="AW1198" s="145"/>
      <c r="AX1198" s="145"/>
      <c r="AY1198" s="145"/>
      <c r="AZ1198" s="145"/>
      <c r="BA1198" s="145"/>
      <c r="BB1198" s="145"/>
      <c r="BC1198" s="145"/>
      <c r="BD1198" s="145"/>
      <c r="BE1198" s="145"/>
      <c r="BF1198" s="145"/>
      <c r="BG1198" s="145"/>
      <c r="BH1198" s="145"/>
      <c r="BI1198" s="145"/>
      <c r="BJ1198" s="145"/>
      <c r="BK1198" s="145"/>
      <c r="BL1198" s="145"/>
      <c r="BM1198" s="145"/>
      <c r="BN1198" s="145"/>
      <c r="BO1198" s="145"/>
      <c r="BP1198" s="145"/>
      <c r="BQ1198" s="145"/>
      <c r="BR1198" s="145"/>
      <c r="BS1198" s="145"/>
      <c r="BT1198" s="145"/>
      <c r="BU1198" s="145"/>
      <c r="BV1198" s="145"/>
      <c r="BW1198" s="145"/>
      <c r="BX1198" s="145"/>
      <c r="BY1198" s="145"/>
      <c r="BZ1198" s="145"/>
      <c r="CA1198" s="145"/>
      <c r="CB1198" s="145"/>
      <c r="CC1198" s="145"/>
      <c r="CD1198" s="145"/>
      <c r="CE1198" s="145"/>
      <c r="CF1198" s="145"/>
      <c r="CG1198" s="145"/>
      <c r="CH1198" s="145"/>
      <c r="CI1198" s="145"/>
      <c r="CJ1198" s="145"/>
      <c r="CK1198" s="145"/>
      <c r="CL1198" s="145"/>
      <c r="CM1198" s="145"/>
      <c r="CN1198" s="145"/>
      <c r="CO1198" s="145"/>
      <c r="CP1198" s="145"/>
      <c r="CQ1198" s="145"/>
      <c r="CR1198" s="145"/>
      <c r="CS1198" s="145"/>
      <c r="CT1198" s="145"/>
      <c r="CU1198" s="145"/>
      <c r="CV1198" s="145"/>
      <c r="CW1198" s="145"/>
      <c r="CX1198" s="145"/>
      <c r="CY1198" s="145"/>
      <c r="CZ1198" s="145"/>
      <c r="DA1198" s="145"/>
      <c r="DB1198" s="145"/>
      <c r="DC1198" s="145"/>
      <c r="DD1198" s="145"/>
      <c r="DE1198" s="145"/>
      <c r="DF1198" s="145"/>
      <c r="DG1198" s="145"/>
      <c r="DH1198" s="145"/>
      <c r="DI1198" s="145"/>
      <c r="DJ1198" s="145"/>
      <c r="DK1198" s="145"/>
      <c r="DL1198" s="145"/>
      <c r="DM1198" s="145"/>
      <c r="DN1198" s="145"/>
      <c r="DO1198" s="145"/>
      <c r="DP1198" s="145"/>
      <c r="DQ1198" s="145"/>
      <c r="DR1198" s="145"/>
      <c r="DS1198" s="145"/>
      <c r="DT1198" s="145"/>
      <c r="DU1198" s="145"/>
      <c r="DV1198" s="145"/>
      <c r="DW1198" s="145"/>
      <c r="DX1198" s="145"/>
      <c r="DY1198" s="145"/>
      <c r="DZ1198" s="145"/>
      <c r="EA1198" s="145"/>
      <c r="EB1198" s="145"/>
      <c r="EC1198" s="145"/>
      <c r="ED1198" s="145"/>
      <c r="EE1198" s="145"/>
      <c r="EF1198" s="145"/>
      <c r="EG1198" s="145"/>
      <c r="EH1198" s="145"/>
      <c r="EI1198" s="145"/>
      <c r="EJ1198" s="145"/>
      <c r="EK1198" s="145"/>
      <c r="EL1198" s="145"/>
      <c r="EM1198" s="145"/>
      <c r="EN1198" s="145"/>
      <c r="EO1198" s="145"/>
      <c r="EP1198" s="145"/>
      <c r="EQ1198" s="145"/>
      <c r="ER1198" s="145"/>
      <c r="ES1198" s="145"/>
      <c r="ET1198" s="145"/>
      <c r="EU1198" s="145"/>
      <c r="EV1198" s="145"/>
      <c r="EW1198" s="145"/>
      <c r="EX1198" s="145"/>
      <c r="EY1198" s="145"/>
      <c r="EZ1198" s="145"/>
      <c r="FA1198" s="145"/>
      <c r="FB1198" s="145"/>
      <c r="FC1198" s="145"/>
      <c r="FD1198" s="145"/>
      <c r="FE1198" s="145"/>
      <c r="FF1198" s="145"/>
      <c r="FG1198" s="145"/>
      <c r="FH1198" s="145"/>
      <c r="FI1198" s="145"/>
      <c r="FJ1198" s="145"/>
      <c r="FK1198" s="145"/>
      <c r="FL1198" s="145"/>
      <c r="FM1198" s="145"/>
      <c r="FN1198" s="145"/>
      <c r="FO1198" s="145"/>
      <c r="FP1198" s="145"/>
      <c r="FQ1198" s="145"/>
      <c r="FR1198" s="145"/>
      <c r="FS1198" s="145"/>
      <c r="FT1198" s="145"/>
      <c r="FU1198" s="145"/>
      <c r="FV1198" s="145"/>
      <c r="FW1198" s="145"/>
      <c r="FX1198" s="145"/>
      <c r="FY1198" s="145"/>
      <c r="FZ1198" s="145"/>
      <c r="GA1198" s="145"/>
      <c r="GB1198" s="145"/>
      <c r="GC1198" s="145"/>
      <c r="GD1198" s="145"/>
      <c r="GE1198" s="145"/>
      <c r="GF1198" s="145"/>
      <c r="GG1198" s="145"/>
      <c r="GH1198" s="145"/>
      <c r="GI1198" s="145"/>
      <c r="GJ1198" s="145"/>
      <c r="GK1198" s="145"/>
      <c r="GL1198" s="145"/>
      <c r="GM1198" s="145"/>
      <c r="GN1198" s="145"/>
      <c r="GO1198" s="145"/>
      <c r="GP1198" s="145"/>
      <c r="GQ1198" s="145"/>
      <c r="GR1198" s="145"/>
      <c r="GS1198" s="145"/>
      <c r="GT1198" s="145"/>
      <c r="GU1198" s="145"/>
      <c r="GV1198" s="145"/>
      <c r="GW1198" s="145"/>
      <c r="GX1198" s="145"/>
      <c r="GY1198" s="145"/>
      <c r="GZ1198" s="145"/>
      <c r="HA1198" s="145"/>
      <c r="HB1198" s="145"/>
      <c r="HC1198" s="145"/>
      <c r="HD1198" s="145"/>
      <c r="HE1198" s="145"/>
    </row>
    <row r="1199" spans="1:213" s="152" customFormat="1" ht="65" customHeight="1" x14ac:dyDescent="0.35">
      <c r="A1199" s="272">
        <v>5</v>
      </c>
      <c r="B1199" s="285"/>
      <c r="C1199" s="285"/>
      <c r="D1199" s="275"/>
      <c r="E1199" s="275"/>
      <c r="F1199" s="284"/>
      <c r="G1199" s="272"/>
      <c r="H1199" s="136" t="s">
        <v>634</v>
      </c>
      <c r="I1199" s="181">
        <f>D1198*K1199</f>
        <v>186913.6</v>
      </c>
      <c r="J1199" s="181">
        <f>I1199/D1198</f>
        <v>788</v>
      </c>
      <c r="K1199" s="181">
        <f>740+48</f>
        <v>788</v>
      </c>
      <c r="L1199" s="145"/>
      <c r="M1199" s="145"/>
      <c r="N1199" s="145"/>
      <c r="O1199" s="145"/>
      <c r="P1199" s="145"/>
      <c r="Q1199" s="145"/>
      <c r="R1199" s="145"/>
      <c r="S1199" s="145"/>
      <c r="T1199" s="145"/>
      <c r="U1199" s="145"/>
      <c r="V1199" s="145"/>
      <c r="W1199" s="145"/>
      <c r="X1199" s="145"/>
      <c r="Y1199" s="145"/>
      <c r="Z1199" s="145"/>
      <c r="AA1199" s="145"/>
      <c r="AB1199" s="145"/>
      <c r="AC1199" s="145"/>
      <c r="AD1199" s="145"/>
      <c r="AE1199" s="145"/>
      <c r="AF1199" s="145"/>
      <c r="AG1199" s="145"/>
      <c r="AH1199" s="145"/>
      <c r="AI1199" s="145"/>
      <c r="AJ1199" s="145"/>
      <c r="AK1199" s="145"/>
      <c r="AL1199" s="145"/>
      <c r="AM1199" s="145"/>
      <c r="AN1199" s="145"/>
      <c r="AO1199" s="145"/>
      <c r="AP1199" s="145"/>
      <c r="AQ1199" s="145"/>
      <c r="AR1199" s="145"/>
      <c r="AS1199" s="145"/>
      <c r="AT1199" s="145"/>
      <c r="AU1199" s="145"/>
      <c r="AV1199" s="145"/>
      <c r="AW1199" s="145"/>
      <c r="AX1199" s="145"/>
      <c r="AY1199" s="145"/>
      <c r="AZ1199" s="145"/>
      <c r="BA1199" s="145"/>
      <c r="BB1199" s="145"/>
      <c r="BC1199" s="145"/>
      <c r="BD1199" s="145"/>
      <c r="BE1199" s="145"/>
      <c r="BF1199" s="145"/>
      <c r="BG1199" s="145"/>
      <c r="BH1199" s="145"/>
      <c r="BI1199" s="145"/>
      <c r="BJ1199" s="145"/>
      <c r="BK1199" s="145"/>
      <c r="BL1199" s="145"/>
      <c r="BM1199" s="145"/>
      <c r="BN1199" s="145"/>
      <c r="BO1199" s="145"/>
      <c r="BP1199" s="145"/>
      <c r="BQ1199" s="145"/>
      <c r="BR1199" s="145"/>
      <c r="BS1199" s="145"/>
      <c r="BT1199" s="145"/>
      <c r="BU1199" s="145"/>
      <c r="BV1199" s="145"/>
      <c r="BW1199" s="145"/>
      <c r="BX1199" s="145"/>
      <c r="BY1199" s="145"/>
      <c r="BZ1199" s="145"/>
      <c r="CA1199" s="145"/>
      <c r="CB1199" s="145"/>
      <c r="CC1199" s="145"/>
      <c r="CD1199" s="145"/>
      <c r="CE1199" s="145"/>
      <c r="CF1199" s="145"/>
      <c r="CG1199" s="145"/>
      <c r="CH1199" s="145"/>
      <c r="CI1199" s="145"/>
      <c r="CJ1199" s="145"/>
      <c r="CK1199" s="145"/>
      <c r="CL1199" s="145"/>
      <c r="CM1199" s="145"/>
      <c r="CN1199" s="145"/>
      <c r="CO1199" s="145"/>
      <c r="CP1199" s="145"/>
      <c r="CQ1199" s="145"/>
      <c r="CR1199" s="145"/>
      <c r="CS1199" s="145"/>
      <c r="CT1199" s="145"/>
      <c r="CU1199" s="145"/>
      <c r="CV1199" s="145"/>
      <c r="CW1199" s="145"/>
      <c r="CX1199" s="145"/>
      <c r="CY1199" s="145"/>
      <c r="CZ1199" s="145"/>
      <c r="DA1199" s="145"/>
      <c r="DB1199" s="145"/>
      <c r="DC1199" s="145"/>
      <c r="DD1199" s="145"/>
      <c r="DE1199" s="145"/>
      <c r="DF1199" s="145"/>
      <c r="DG1199" s="145"/>
      <c r="DH1199" s="145"/>
      <c r="DI1199" s="145"/>
      <c r="DJ1199" s="145"/>
      <c r="DK1199" s="145"/>
      <c r="DL1199" s="145"/>
      <c r="DM1199" s="145"/>
      <c r="DN1199" s="145"/>
      <c r="DO1199" s="145"/>
      <c r="DP1199" s="145"/>
      <c r="DQ1199" s="145"/>
      <c r="DR1199" s="145"/>
      <c r="DS1199" s="145"/>
      <c r="DT1199" s="145"/>
      <c r="DU1199" s="145"/>
      <c r="DV1199" s="145"/>
      <c r="DW1199" s="145"/>
      <c r="DX1199" s="145"/>
      <c r="DY1199" s="145"/>
      <c r="DZ1199" s="145"/>
      <c r="EA1199" s="145"/>
      <c r="EB1199" s="145"/>
      <c r="EC1199" s="145"/>
      <c r="ED1199" s="145"/>
      <c r="EE1199" s="145"/>
      <c r="EF1199" s="145"/>
      <c r="EG1199" s="145"/>
      <c r="EH1199" s="145"/>
      <c r="EI1199" s="145"/>
      <c r="EJ1199" s="145"/>
      <c r="EK1199" s="145"/>
      <c r="EL1199" s="145"/>
      <c r="EM1199" s="145"/>
      <c r="EN1199" s="145"/>
      <c r="EO1199" s="145"/>
      <c r="EP1199" s="145"/>
      <c r="EQ1199" s="145"/>
      <c r="ER1199" s="145"/>
      <c r="ES1199" s="145"/>
      <c r="ET1199" s="145"/>
      <c r="EU1199" s="145"/>
      <c r="EV1199" s="145"/>
      <c r="EW1199" s="145"/>
      <c r="EX1199" s="145"/>
      <c r="EY1199" s="145"/>
      <c r="EZ1199" s="145"/>
      <c r="FA1199" s="145"/>
      <c r="FB1199" s="145"/>
      <c r="FC1199" s="145"/>
      <c r="FD1199" s="145"/>
      <c r="FE1199" s="145"/>
      <c r="FF1199" s="145"/>
      <c r="FG1199" s="145"/>
      <c r="FH1199" s="145"/>
      <c r="FI1199" s="145"/>
      <c r="FJ1199" s="145"/>
      <c r="FK1199" s="145"/>
      <c r="FL1199" s="145"/>
      <c r="FM1199" s="145"/>
      <c r="FN1199" s="145"/>
      <c r="FO1199" s="145"/>
      <c r="FP1199" s="145"/>
      <c r="FQ1199" s="145"/>
      <c r="FR1199" s="145"/>
      <c r="FS1199" s="145"/>
      <c r="FT1199" s="145"/>
      <c r="FU1199" s="145"/>
      <c r="FV1199" s="145"/>
      <c r="FW1199" s="145"/>
      <c r="FX1199" s="145"/>
      <c r="FY1199" s="145"/>
      <c r="FZ1199" s="145"/>
      <c r="GA1199" s="145"/>
      <c r="GB1199" s="145"/>
      <c r="GC1199" s="145"/>
      <c r="GD1199" s="145"/>
      <c r="GE1199" s="145"/>
      <c r="GF1199" s="145"/>
      <c r="GG1199" s="145"/>
      <c r="GH1199" s="145"/>
      <c r="GI1199" s="145"/>
      <c r="GJ1199" s="145"/>
      <c r="GK1199" s="145"/>
      <c r="GL1199" s="145"/>
      <c r="GM1199" s="145"/>
      <c r="GN1199" s="145"/>
      <c r="GO1199" s="145"/>
      <c r="GP1199" s="145"/>
      <c r="GQ1199" s="145"/>
      <c r="GR1199" s="145"/>
      <c r="GS1199" s="145"/>
      <c r="GT1199" s="145"/>
      <c r="GU1199" s="145"/>
      <c r="GV1199" s="145"/>
      <c r="GW1199" s="145"/>
      <c r="GX1199" s="145"/>
      <c r="GY1199" s="145"/>
      <c r="GZ1199" s="145"/>
      <c r="HA1199" s="145"/>
      <c r="HB1199" s="145"/>
      <c r="HC1199" s="145"/>
      <c r="HD1199" s="145"/>
      <c r="HE1199" s="145"/>
    </row>
    <row r="1200" spans="1:213" s="152" customFormat="1" x14ac:dyDescent="0.35">
      <c r="A1200" s="270">
        <f>A1198+1</f>
        <v>2</v>
      </c>
      <c r="B1200" s="278">
        <v>4731</v>
      </c>
      <c r="C1200" s="278" t="s">
        <v>477</v>
      </c>
      <c r="D1200" s="273">
        <v>386.9</v>
      </c>
      <c r="E1200" s="273" t="s">
        <v>633</v>
      </c>
      <c r="F1200" s="282">
        <v>2</v>
      </c>
      <c r="G1200" s="270" t="s">
        <v>71</v>
      </c>
      <c r="H1200" s="136" t="s">
        <v>72</v>
      </c>
      <c r="I1200" s="181">
        <f>SUM(I1201:I1201)</f>
        <v>100207.1</v>
      </c>
      <c r="J1200" s="181">
        <f>SUM(J1201:J1201)</f>
        <v>259</v>
      </c>
      <c r="K1200" s="181">
        <f>SUM(K1201:K1201)</f>
        <v>259</v>
      </c>
      <c r="L1200" s="145"/>
      <c r="M1200" s="145"/>
      <c r="N1200" s="145"/>
      <c r="O1200" s="145"/>
      <c r="P1200" s="145"/>
      <c r="Q1200" s="145"/>
      <c r="R1200" s="145"/>
      <c r="S1200" s="145"/>
      <c r="T1200" s="145"/>
      <c r="U1200" s="145"/>
      <c r="V1200" s="145"/>
      <c r="W1200" s="145"/>
      <c r="X1200" s="145"/>
      <c r="Y1200" s="145"/>
      <c r="Z1200" s="145"/>
      <c r="AA1200" s="145"/>
      <c r="AB1200" s="145"/>
      <c r="AC1200" s="145"/>
      <c r="AD1200" s="145"/>
      <c r="AE1200" s="145"/>
      <c r="AF1200" s="145"/>
      <c r="AG1200" s="145"/>
      <c r="AH1200" s="145"/>
      <c r="AI1200" s="145"/>
      <c r="AJ1200" s="145"/>
      <c r="AK1200" s="145"/>
      <c r="AL1200" s="145"/>
      <c r="AM1200" s="145"/>
      <c r="AN1200" s="145"/>
      <c r="AO1200" s="145"/>
      <c r="AP1200" s="145"/>
      <c r="AQ1200" s="145"/>
      <c r="AR1200" s="145"/>
      <c r="AS1200" s="145"/>
      <c r="AT1200" s="145"/>
      <c r="AU1200" s="145"/>
      <c r="AV1200" s="145"/>
      <c r="AW1200" s="145"/>
      <c r="AX1200" s="145"/>
      <c r="AY1200" s="145"/>
      <c r="AZ1200" s="145"/>
      <c r="BA1200" s="145"/>
      <c r="BB1200" s="145"/>
      <c r="BC1200" s="145"/>
      <c r="BD1200" s="145"/>
      <c r="BE1200" s="145"/>
      <c r="BF1200" s="145"/>
      <c r="BG1200" s="145"/>
      <c r="BH1200" s="145"/>
      <c r="BI1200" s="145"/>
      <c r="BJ1200" s="145"/>
      <c r="BK1200" s="145"/>
      <c r="BL1200" s="145"/>
      <c r="BM1200" s="145"/>
      <c r="BN1200" s="145"/>
      <c r="BO1200" s="145"/>
      <c r="BP1200" s="145"/>
      <c r="BQ1200" s="145"/>
      <c r="BR1200" s="145"/>
      <c r="BS1200" s="145"/>
      <c r="BT1200" s="145"/>
      <c r="BU1200" s="145"/>
      <c r="BV1200" s="145"/>
      <c r="BW1200" s="145"/>
      <c r="BX1200" s="145"/>
      <c r="BY1200" s="145"/>
      <c r="BZ1200" s="145"/>
      <c r="CA1200" s="145"/>
      <c r="CB1200" s="145"/>
      <c r="CC1200" s="145"/>
      <c r="CD1200" s="145"/>
      <c r="CE1200" s="145"/>
      <c r="CF1200" s="145"/>
      <c r="CG1200" s="145"/>
      <c r="CH1200" s="145"/>
      <c r="CI1200" s="145"/>
      <c r="CJ1200" s="145"/>
      <c r="CK1200" s="145"/>
      <c r="CL1200" s="145"/>
      <c r="CM1200" s="145"/>
      <c r="CN1200" s="145"/>
      <c r="CO1200" s="145"/>
      <c r="CP1200" s="145"/>
      <c r="CQ1200" s="145"/>
      <c r="CR1200" s="145"/>
      <c r="CS1200" s="145"/>
      <c r="CT1200" s="145"/>
      <c r="CU1200" s="145"/>
      <c r="CV1200" s="145"/>
      <c r="CW1200" s="145"/>
      <c r="CX1200" s="145"/>
      <c r="CY1200" s="145"/>
      <c r="CZ1200" s="145"/>
      <c r="DA1200" s="145"/>
      <c r="DB1200" s="145"/>
      <c r="DC1200" s="145"/>
      <c r="DD1200" s="145"/>
      <c r="DE1200" s="145"/>
      <c r="DF1200" s="145"/>
      <c r="DG1200" s="145"/>
      <c r="DH1200" s="145"/>
      <c r="DI1200" s="145"/>
      <c r="DJ1200" s="145"/>
      <c r="DK1200" s="145"/>
      <c r="DL1200" s="145"/>
      <c r="DM1200" s="145"/>
      <c r="DN1200" s="145"/>
      <c r="DO1200" s="145"/>
      <c r="DP1200" s="145"/>
      <c r="DQ1200" s="145"/>
      <c r="DR1200" s="145"/>
      <c r="DS1200" s="145"/>
      <c r="DT1200" s="145"/>
      <c r="DU1200" s="145"/>
      <c r="DV1200" s="145"/>
      <c r="DW1200" s="145"/>
      <c r="DX1200" s="145"/>
      <c r="DY1200" s="145"/>
      <c r="DZ1200" s="145"/>
      <c r="EA1200" s="145"/>
      <c r="EB1200" s="145"/>
      <c r="EC1200" s="145"/>
      <c r="ED1200" s="145"/>
      <c r="EE1200" s="145"/>
      <c r="EF1200" s="145"/>
      <c r="EG1200" s="145"/>
      <c r="EH1200" s="145"/>
      <c r="EI1200" s="145"/>
      <c r="EJ1200" s="145"/>
      <c r="EK1200" s="145"/>
      <c r="EL1200" s="145"/>
      <c r="EM1200" s="145"/>
      <c r="EN1200" s="145"/>
      <c r="EO1200" s="145"/>
      <c r="EP1200" s="145"/>
      <c r="EQ1200" s="145"/>
      <c r="ER1200" s="145"/>
      <c r="ES1200" s="145"/>
      <c r="ET1200" s="145"/>
      <c r="EU1200" s="145"/>
      <c r="EV1200" s="145"/>
      <c r="EW1200" s="145"/>
      <c r="EX1200" s="145"/>
      <c r="EY1200" s="145"/>
      <c r="EZ1200" s="145"/>
      <c r="FA1200" s="145"/>
      <c r="FB1200" s="145"/>
      <c r="FC1200" s="145"/>
      <c r="FD1200" s="145"/>
      <c r="FE1200" s="145"/>
      <c r="FF1200" s="145"/>
      <c r="FG1200" s="145"/>
      <c r="FH1200" s="145"/>
      <c r="FI1200" s="145"/>
      <c r="FJ1200" s="145"/>
      <c r="FK1200" s="145"/>
      <c r="FL1200" s="145"/>
      <c r="FM1200" s="145"/>
      <c r="FN1200" s="145"/>
      <c r="FO1200" s="145"/>
      <c r="FP1200" s="145"/>
      <c r="FQ1200" s="145"/>
      <c r="FR1200" s="145"/>
      <c r="FS1200" s="145"/>
      <c r="FT1200" s="145"/>
      <c r="FU1200" s="145"/>
      <c r="FV1200" s="145"/>
      <c r="FW1200" s="145"/>
      <c r="FX1200" s="145"/>
      <c r="FY1200" s="145"/>
      <c r="FZ1200" s="145"/>
      <c r="GA1200" s="145"/>
      <c r="GB1200" s="145"/>
      <c r="GC1200" s="145"/>
      <c r="GD1200" s="145"/>
      <c r="GE1200" s="145"/>
      <c r="GF1200" s="145"/>
      <c r="GG1200" s="145"/>
      <c r="GH1200" s="145"/>
      <c r="GI1200" s="145"/>
      <c r="GJ1200" s="145"/>
      <c r="GK1200" s="145"/>
      <c r="GL1200" s="145"/>
      <c r="GM1200" s="145"/>
      <c r="GN1200" s="145"/>
      <c r="GO1200" s="145"/>
      <c r="GP1200" s="145"/>
      <c r="GQ1200" s="145"/>
      <c r="GR1200" s="145"/>
      <c r="GS1200" s="145"/>
      <c r="GT1200" s="145"/>
      <c r="GU1200" s="145"/>
      <c r="GV1200" s="145"/>
      <c r="GW1200" s="145"/>
      <c r="GX1200" s="145"/>
      <c r="GY1200" s="145"/>
      <c r="GZ1200" s="145"/>
      <c r="HA1200" s="145"/>
      <c r="HB1200" s="145"/>
      <c r="HC1200" s="145"/>
      <c r="HD1200" s="145"/>
      <c r="HE1200" s="145"/>
    </row>
    <row r="1201" spans="1:213" s="152" customFormat="1" ht="59.5" customHeight="1" x14ac:dyDescent="0.35">
      <c r="A1201" s="272">
        <v>5</v>
      </c>
      <c r="B1201" s="285"/>
      <c r="C1201" s="285"/>
      <c r="D1201" s="275"/>
      <c r="E1201" s="275"/>
      <c r="F1201" s="284"/>
      <c r="G1201" s="272"/>
      <c r="H1201" s="136" t="s">
        <v>673</v>
      </c>
      <c r="I1201" s="181">
        <f>D1200*K1201</f>
        <v>100207.1</v>
      </c>
      <c r="J1201" s="181">
        <f>I1201/D1200</f>
        <v>259</v>
      </c>
      <c r="K1201" s="181">
        <f>163+96</f>
        <v>259</v>
      </c>
      <c r="L1201" s="145"/>
      <c r="M1201" s="145"/>
      <c r="N1201" s="145"/>
      <c r="O1201" s="145"/>
      <c r="P1201" s="145"/>
      <c r="Q1201" s="145"/>
      <c r="R1201" s="145"/>
      <c r="S1201" s="145"/>
      <c r="T1201" s="145"/>
      <c r="U1201" s="145"/>
      <c r="V1201" s="145"/>
      <c r="W1201" s="145"/>
      <c r="X1201" s="145"/>
      <c r="Y1201" s="145"/>
      <c r="Z1201" s="145"/>
      <c r="AA1201" s="145"/>
      <c r="AB1201" s="145"/>
      <c r="AC1201" s="145"/>
      <c r="AD1201" s="145"/>
      <c r="AE1201" s="145"/>
      <c r="AF1201" s="145"/>
      <c r="AG1201" s="145"/>
      <c r="AH1201" s="145"/>
      <c r="AI1201" s="145"/>
      <c r="AJ1201" s="145"/>
      <c r="AK1201" s="145"/>
      <c r="AL1201" s="145"/>
      <c r="AM1201" s="145"/>
      <c r="AN1201" s="145"/>
      <c r="AO1201" s="145"/>
      <c r="AP1201" s="145"/>
      <c r="AQ1201" s="145"/>
      <c r="AR1201" s="145"/>
      <c r="AS1201" s="145"/>
      <c r="AT1201" s="145"/>
      <c r="AU1201" s="145"/>
      <c r="AV1201" s="145"/>
      <c r="AW1201" s="145"/>
      <c r="AX1201" s="145"/>
      <c r="AY1201" s="145"/>
      <c r="AZ1201" s="145"/>
      <c r="BA1201" s="145"/>
      <c r="BB1201" s="145"/>
      <c r="BC1201" s="145"/>
      <c r="BD1201" s="145"/>
      <c r="BE1201" s="145"/>
      <c r="BF1201" s="145"/>
      <c r="BG1201" s="145"/>
      <c r="BH1201" s="145"/>
      <c r="BI1201" s="145"/>
      <c r="BJ1201" s="145"/>
      <c r="BK1201" s="145"/>
      <c r="BL1201" s="145"/>
      <c r="BM1201" s="145"/>
      <c r="BN1201" s="145"/>
      <c r="BO1201" s="145"/>
      <c r="BP1201" s="145"/>
      <c r="BQ1201" s="145"/>
      <c r="BR1201" s="145"/>
      <c r="BS1201" s="145"/>
      <c r="BT1201" s="145"/>
      <c r="BU1201" s="145"/>
      <c r="BV1201" s="145"/>
      <c r="BW1201" s="145"/>
      <c r="BX1201" s="145"/>
      <c r="BY1201" s="145"/>
      <c r="BZ1201" s="145"/>
      <c r="CA1201" s="145"/>
      <c r="CB1201" s="145"/>
      <c r="CC1201" s="145"/>
      <c r="CD1201" s="145"/>
      <c r="CE1201" s="145"/>
      <c r="CF1201" s="145"/>
      <c r="CG1201" s="145"/>
      <c r="CH1201" s="145"/>
      <c r="CI1201" s="145"/>
      <c r="CJ1201" s="145"/>
      <c r="CK1201" s="145"/>
      <c r="CL1201" s="145"/>
      <c r="CM1201" s="145"/>
      <c r="CN1201" s="145"/>
      <c r="CO1201" s="145"/>
      <c r="CP1201" s="145"/>
      <c r="CQ1201" s="145"/>
      <c r="CR1201" s="145"/>
      <c r="CS1201" s="145"/>
      <c r="CT1201" s="145"/>
      <c r="CU1201" s="145"/>
      <c r="CV1201" s="145"/>
      <c r="CW1201" s="145"/>
      <c r="CX1201" s="145"/>
      <c r="CY1201" s="145"/>
      <c r="CZ1201" s="145"/>
      <c r="DA1201" s="145"/>
      <c r="DB1201" s="145"/>
      <c r="DC1201" s="145"/>
      <c r="DD1201" s="145"/>
      <c r="DE1201" s="145"/>
      <c r="DF1201" s="145"/>
      <c r="DG1201" s="145"/>
      <c r="DH1201" s="145"/>
      <c r="DI1201" s="145"/>
      <c r="DJ1201" s="145"/>
      <c r="DK1201" s="145"/>
      <c r="DL1201" s="145"/>
      <c r="DM1201" s="145"/>
      <c r="DN1201" s="145"/>
      <c r="DO1201" s="145"/>
      <c r="DP1201" s="145"/>
      <c r="DQ1201" s="145"/>
      <c r="DR1201" s="145"/>
      <c r="DS1201" s="145"/>
      <c r="DT1201" s="145"/>
      <c r="DU1201" s="145"/>
      <c r="DV1201" s="145"/>
      <c r="DW1201" s="145"/>
      <c r="DX1201" s="145"/>
      <c r="DY1201" s="145"/>
      <c r="DZ1201" s="145"/>
      <c r="EA1201" s="145"/>
      <c r="EB1201" s="145"/>
      <c r="EC1201" s="145"/>
      <c r="ED1201" s="145"/>
      <c r="EE1201" s="145"/>
      <c r="EF1201" s="145"/>
      <c r="EG1201" s="145"/>
      <c r="EH1201" s="145"/>
      <c r="EI1201" s="145"/>
      <c r="EJ1201" s="145"/>
      <c r="EK1201" s="145"/>
      <c r="EL1201" s="145"/>
      <c r="EM1201" s="145"/>
      <c r="EN1201" s="145"/>
      <c r="EO1201" s="145"/>
      <c r="EP1201" s="145"/>
      <c r="EQ1201" s="145"/>
      <c r="ER1201" s="145"/>
      <c r="ES1201" s="145"/>
      <c r="ET1201" s="145"/>
      <c r="EU1201" s="145"/>
      <c r="EV1201" s="145"/>
      <c r="EW1201" s="145"/>
      <c r="EX1201" s="145"/>
      <c r="EY1201" s="145"/>
      <c r="EZ1201" s="145"/>
      <c r="FA1201" s="145"/>
      <c r="FB1201" s="145"/>
      <c r="FC1201" s="145"/>
      <c r="FD1201" s="145"/>
      <c r="FE1201" s="145"/>
      <c r="FF1201" s="145"/>
      <c r="FG1201" s="145"/>
      <c r="FH1201" s="145"/>
      <c r="FI1201" s="145"/>
      <c r="FJ1201" s="145"/>
      <c r="FK1201" s="145"/>
      <c r="FL1201" s="145"/>
      <c r="FM1201" s="145"/>
      <c r="FN1201" s="145"/>
      <c r="FO1201" s="145"/>
      <c r="FP1201" s="145"/>
      <c r="FQ1201" s="145"/>
      <c r="FR1201" s="145"/>
      <c r="FS1201" s="145"/>
      <c r="FT1201" s="145"/>
      <c r="FU1201" s="145"/>
      <c r="FV1201" s="145"/>
      <c r="FW1201" s="145"/>
      <c r="FX1201" s="145"/>
      <c r="FY1201" s="145"/>
      <c r="FZ1201" s="145"/>
      <c r="GA1201" s="145"/>
      <c r="GB1201" s="145"/>
      <c r="GC1201" s="145"/>
      <c r="GD1201" s="145"/>
      <c r="GE1201" s="145"/>
      <c r="GF1201" s="145"/>
      <c r="GG1201" s="145"/>
      <c r="GH1201" s="145"/>
      <c r="GI1201" s="145"/>
      <c r="GJ1201" s="145"/>
      <c r="GK1201" s="145"/>
      <c r="GL1201" s="145"/>
      <c r="GM1201" s="145"/>
      <c r="GN1201" s="145"/>
      <c r="GO1201" s="145"/>
      <c r="GP1201" s="145"/>
      <c r="GQ1201" s="145"/>
      <c r="GR1201" s="145"/>
      <c r="GS1201" s="145"/>
      <c r="GT1201" s="145"/>
      <c r="GU1201" s="145"/>
      <c r="GV1201" s="145"/>
      <c r="GW1201" s="145"/>
      <c r="GX1201" s="145"/>
      <c r="GY1201" s="145"/>
      <c r="GZ1201" s="145"/>
      <c r="HA1201" s="145"/>
      <c r="HB1201" s="145"/>
      <c r="HC1201" s="145"/>
      <c r="HD1201" s="145"/>
      <c r="HE1201" s="145"/>
    </row>
    <row r="1202" spans="1:213" s="152" customFormat="1" x14ac:dyDescent="0.35">
      <c r="A1202" s="138" t="s">
        <v>33</v>
      </c>
      <c r="B1202" s="143"/>
      <c r="C1202" s="144"/>
      <c r="D1202" s="166">
        <f>D1203+D1205+D1207+D1211+D1214+D1216+D1221+D1224+D1227+D1229+D1231+D1234+D1209+D1219</f>
        <v>22714.89</v>
      </c>
      <c r="E1202" s="135"/>
      <c r="F1202" s="135"/>
      <c r="G1202" s="166"/>
      <c r="H1202" s="137"/>
      <c r="I1202" s="181">
        <f>I1203+I1205+I1207+I1209+I1211+I1214+I1216+I1219+I1221+I1224+I1227+I1229+I1231+I1234</f>
        <v>28159889.350000001</v>
      </c>
      <c r="J1202" s="181"/>
      <c r="K1202" s="181"/>
      <c r="L1202" s="123"/>
      <c r="M1202" s="123"/>
      <c r="N1202" s="123"/>
      <c r="O1202" s="123"/>
      <c r="P1202" s="123"/>
      <c r="Q1202" s="123"/>
      <c r="R1202" s="123"/>
      <c r="S1202" s="123"/>
      <c r="T1202" s="123"/>
      <c r="U1202" s="123"/>
      <c r="V1202" s="123"/>
      <c r="W1202" s="123"/>
      <c r="X1202" s="123"/>
      <c r="Y1202" s="123"/>
      <c r="Z1202" s="123"/>
      <c r="AA1202" s="123"/>
      <c r="AB1202" s="123"/>
      <c r="AC1202" s="123"/>
      <c r="AD1202" s="123"/>
      <c r="AE1202" s="123"/>
      <c r="AF1202" s="123"/>
      <c r="AG1202" s="123"/>
      <c r="AH1202" s="123"/>
      <c r="AI1202" s="123"/>
      <c r="AJ1202" s="123"/>
      <c r="AK1202" s="123"/>
      <c r="AL1202" s="123"/>
      <c r="AM1202" s="123"/>
      <c r="AN1202" s="123"/>
      <c r="AO1202" s="123"/>
      <c r="AP1202" s="123"/>
      <c r="AQ1202" s="123"/>
      <c r="AR1202" s="123"/>
      <c r="AS1202" s="123"/>
      <c r="AT1202" s="123"/>
      <c r="AU1202" s="123"/>
      <c r="AV1202" s="123"/>
      <c r="AW1202" s="123"/>
      <c r="AX1202" s="123"/>
      <c r="AY1202" s="123"/>
      <c r="AZ1202" s="123"/>
      <c r="BA1202" s="123"/>
      <c r="BB1202" s="123"/>
      <c r="BC1202" s="123"/>
      <c r="BD1202" s="123"/>
      <c r="BE1202" s="123"/>
      <c r="BF1202" s="123"/>
      <c r="BG1202" s="123"/>
      <c r="BH1202" s="123"/>
      <c r="BI1202" s="123"/>
      <c r="BJ1202" s="123"/>
      <c r="BK1202" s="123"/>
      <c r="BL1202" s="123"/>
      <c r="BM1202" s="123"/>
      <c r="BN1202" s="123"/>
      <c r="BO1202" s="123"/>
      <c r="BP1202" s="123"/>
      <c r="BQ1202" s="123"/>
      <c r="BR1202" s="123"/>
      <c r="BS1202" s="123"/>
      <c r="BT1202" s="123"/>
      <c r="BU1202" s="123"/>
      <c r="BV1202" s="123"/>
      <c r="BW1202" s="123"/>
      <c r="BX1202" s="123"/>
      <c r="BY1202" s="123"/>
      <c r="BZ1202" s="123"/>
      <c r="CA1202" s="123"/>
      <c r="CB1202" s="123"/>
      <c r="CC1202" s="123"/>
      <c r="CD1202" s="123"/>
      <c r="CE1202" s="123"/>
      <c r="CF1202" s="123"/>
      <c r="CG1202" s="123"/>
      <c r="CH1202" s="123"/>
      <c r="CI1202" s="123"/>
      <c r="CJ1202" s="123"/>
      <c r="CK1202" s="123"/>
      <c r="CL1202" s="123"/>
      <c r="CM1202" s="123"/>
      <c r="CN1202" s="123"/>
      <c r="CO1202" s="123"/>
      <c r="CP1202" s="123"/>
      <c r="CQ1202" s="123"/>
      <c r="CR1202" s="123"/>
      <c r="CS1202" s="123"/>
      <c r="CT1202" s="123"/>
      <c r="CU1202" s="123"/>
      <c r="CV1202" s="123"/>
      <c r="CW1202" s="123"/>
      <c r="CX1202" s="123"/>
      <c r="CY1202" s="123"/>
      <c r="CZ1202" s="123"/>
      <c r="DA1202" s="123"/>
      <c r="DB1202" s="123"/>
      <c r="DC1202" s="123"/>
      <c r="DD1202" s="123"/>
      <c r="DE1202" s="123"/>
      <c r="DF1202" s="123"/>
      <c r="DG1202" s="123"/>
      <c r="DH1202" s="123"/>
      <c r="DI1202" s="123"/>
      <c r="DJ1202" s="123"/>
      <c r="DK1202" s="123"/>
      <c r="DL1202" s="123"/>
      <c r="DM1202" s="123"/>
      <c r="DN1202" s="123"/>
      <c r="DO1202" s="123"/>
      <c r="DP1202" s="123"/>
      <c r="DQ1202" s="123"/>
      <c r="DR1202" s="123"/>
      <c r="DS1202" s="123"/>
      <c r="DT1202" s="123"/>
      <c r="DU1202" s="123"/>
      <c r="DV1202" s="123"/>
      <c r="DW1202" s="123"/>
      <c r="DX1202" s="123"/>
      <c r="DY1202" s="123"/>
      <c r="DZ1202" s="123"/>
      <c r="EA1202" s="123"/>
      <c r="EB1202" s="123"/>
      <c r="EC1202" s="123"/>
      <c r="ED1202" s="123"/>
      <c r="EE1202" s="123"/>
      <c r="EF1202" s="123"/>
      <c r="EG1202" s="123"/>
      <c r="EH1202" s="123"/>
      <c r="EI1202" s="123"/>
      <c r="EJ1202" s="123"/>
      <c r="EK1202" s="123"/>
      <c r="EL1202" s="123"/>
      <c r="EM1202" s="123"/>
      <c r="EN1202" s="123"/>
      <c r="EO1202" s="123"/>
      <c r="EP1202" s="123"/>
      <c r="EQ1202" s="123"/>
      <c r="ER1202" s="123"/>
      <c r="ES1202" s="123"/>
      <c r="ET1202" s="123"/>
      <c r="EU1202" s="123"/>
      <c r="EV1202" s="123"/>
      <c r="EW1202" s="123"/>
      <c r="EX1202" s="123"/>
      <c r="EY1202" s="123"/>
      <c r="EZ1202" s="123"/>
      <c r="FA1202" s="123"/>
      <c r="FB1202" s="123"/>
      <c r="FC1202" s="123"/>
      <c r="FD1202" s="123"/>
      <c r="FE1202" s="123"/>
      <c r="FF1202" s="123"/>
      <c r="FG1202" s="123"/>
      <c r="FH1202" s="123"/>
      <c r="FI1202" s="123"/>
      <c r="FJ1202" s="123"/>
      <c r="FK1202" s="123"/>
      <c r="FL1202" s="123"/>
      <c r="FM1202" s="123"/>
      <c r="FN1202" s="123"/>
      <c r="FO1202" s="123"/>
      <c r="FP1202" s="123"/>
      <c r="FQ1202" s="123"/>
      <c r="FR1202" s="123"/>
      <c r="FS1202" s="123"/>
      <c r="FT1202" s="123"/>
      <c r="FU1202" s="123"/>
      <c r="FV1202" s="123"/>
      <c r="FW1202" s="123"/>
      <c r="FX1202" s="123"/>
      <c r="FY1202" s="123"/>
      <c r="FZ1202" s="123"/>
      <c r="GA1202" s="123"/>
      <c r="GB1202" s="123"/>
      <c r="GC1202" s="123"/>
      <c r="GD1202" s="123"/>
      <c r="GE1202" s="123"/>
      <c r="GF1202" s="123"/>
      <c r="GG1202" s="123"/>
      <c r="GH1202" s="123"/>
      <c r="GI1202" s="123"/>
      <c r="GJ1202" s="123"/>
      <c r="GK1202" s="123"/>
      <c r="GL1202" s="123"/>
      <c r="GM1202" s="123"/>
      <c r="GN1202" s="123"/>
      <c r="GO1202" s="123"/>
      <c r="GP1202" s="123"/>
      <c r="GQ1202" s="123"/>
      <c r="GR1202" s="123"/>
      <c r="GS1202" s="123"/>
      <c r="GT1202" s="123"/>
      <c r="GU1202" s="123"/>
      <c r="GV1202" s="123"/>
      <c r="GW1202" s="123"/>
      <c r="GX1202" s="123"/>
      <c r="GY1202" s="123"/>
      <c r="GZ1202" s="123"/>
      <c r="HA1202" s="123"/>
      <c r="HB1202" s="123"/>
      <c r="HC1202" s="123"/>
      <c r="HD1202" s="123"/>
    </row>
    <row r="1203" spans="1:213" s="145" customFormat="1" x14ac:dyDescent="0.35">
      <c r="A1203" s="270">
        <v>1</v>
      </c>
      <c r="B1203" s="320">
        <v>4526</v>
      </c>
      <c r="C1203" s="278" t="s">
        <v>478</v>
      </c>
      <c r="D1203" s="273">
        <v>732</v>
      </c>
      <c r="E1203" s="273" t="s">
        <v>74</v>
      </c>
      <c r="F1203" s="282">
        <v>2</v>
      </c>
      <c r="G1203" s="270" t="s">
        <v>71</v>
      </c>
      <c r="H1203" s="136" t="s">
        <v>72</v>
      </c>
      <c r="I1203" s="181">
        <f>SUM(I1204:I1204)</f>
        <v>156347.96</v>
      </c>
      <c r="J1203" s="181">
        <f>SUM(J1204:J1204)</f>
        <v>213.59</v>
      </c>
      <c r="K1203" s="181">
        <f>SUM(K1204:K1204)</f>
        <v>247</v>
      </c>
    </row>
    <row r="1204" spans="1:213" s="145" customFormat="1" ht="46.5" x14ac:dyDescent="0.35">
      <c r="A1204" s="272"/>
      <c r="B1204" s="321"/>
      <c r="C1204" s="285"/>
      <c r="D1204" s="275"/>
      <c r="E1204" s="275"/>
      <c r="F1204" s="284"/>
      <c r="G1204" s="272"/>
      <c r="H1204" s="136" t="s">
        <v>673</v>
      </c>
      <c r="I1204" s="181">
        <f>86075.96+D1203*96</f>
        <v>156347.96</v>
      </c>
      <c r="J1204" s="181">
        <f>I1204/D1203</f>
        <v>213.59</v>
      </c>
      <c r="K1204" s="181">
        <f>151+96</f>
        <v>247</v>
      </c>
    </row>
    <row r="1205" spans="1:213" s="145" customFormat="1" x14ac:dyDescent="0.35">
      <c r="A1205" s="270">
        <f>A1203+1</f>
        <v>2</v>
      </c>
      <c r="B1205" s="320">
        <v>4516</v>
      </c>
      <c r="C1205" s="278" t="s">
        <v>684</v>
      </c>
      <c r="D1205" s="273">
        <v>704.7</v>
      </c>
      <c r="E1205" s="273" t="s">
        <v>74</v>
      </c>
      <c r="F1205" s="282">
        <v>2</v>
      </c>
      <c r="G1205" s="270" t="s">
        <v>71</v>
      </c>
      <c r="H1205" s="136" t="s">
        <v>72</v>
      </c>
      <c r="I1205" s="181">
        <f>SUM(I1206:I1206)</f>
        <v>99505.55</v>
      </c>
      <c r="J1205" s="181">
        <f>SUM(J1206:J1206)</f>
        <v>141.19999999999999</v>
      </c>
      <c r="K1205" s="181">
        <f>SUM(K1206:K1206)</f>
        <v>247</v>
      </c>
    </row>
    <row r="1206" spans="1:213" s="145" customFormat="1" ht="46.5" x14ac:dyDescent="0.35">
      <c r="A1206" s="272"/>
      <c r="B1206" s="321"/>
      <c r="C1206" s="285"/>
      <c r="D1206" s="275"/>
      <c r="E1206" s="275"/>
      <c r="F1206" s="284"/>
      <c r="G1206" s="272"/>
      <c r="H1206" s="136" t="s">
        <v>673</v>
      </c>
      <c r="I1206" s="181">
        <f>99505.55</f>
        <v>99505.55</v>
      </c>
      <c r="J1206" s="181">
        <f>I1206/D1205</f>
        <v>141.19999999999999</v>
      </c>
      <c r="K1206" s="181">
        <f>151+96</f>
        <v>247</v>
      </c>
    </row>
    <row r="1207" spans="1:213" s="145" customFormat="1" x14ac:dyDescent="0.35">
      <c r="A1207" s="270">
        <f>A1205+1</f>
        <v>3</v>
      </c>
      <c r="B1207" s="320">
        <v>4598</v>
      </c>
      <c r="C1207" s="278" t="s">
        <v>480</v>
      </c>
      <c r="D1207" s="273">
        <v>726.63</v>
      </c>
      <c r="E1207" s="273" t="s">
        <v>633</v>
      </c>
      <c r="F1207" s="282">
        <v>2</v>
      </c>
      <c r="G1207" s="270" t="s">
        <v>71</v>
      </c>
      <c r="H1207" s="136" t="s">
        <v>72</v>
      </c>
      <c r="I1207" s="181">
        <f>SUM(I1208:I1208)</f>
        <v>154727.6</v>
      </c>
      <c r="J1207" s="181">
        <f>SUM(J1208:J1208)</f>
        <v>212.94</v>
      </c>
      <c r="K1207" s="181">
        <f>SUM(K1208:K1208)</f>
        <v>260</v>
      </c>
    </row>
    <row r="1208" spans="1:213" s="145" customFormat="1" ht="46.5" x14ac:dyDescent="0.35">
      <c r="A1208" s="272"/>
      <c r="B1208" s="321"/>
      <c r="C1208" s="285"/>
      <c r="D1208" s="275"/>
      <c r="E1208" s="275"/>
      <c r="F1208" s="284"/>
      <c r="G1208" s="272"/>
      <c r="H1208" s="136" t="s">
        <v>673</v>
      </c>
      <c r="I1208" s="181">
        <f>84971.12+(D1207*96)</f>
        <v>154727.6</v>
      </c>
      <c r="J1208" s="181">
        <f>I1208/D1207</f>
        <v>212.94</v>
      </c>
      <c r="K1208" s="181">
        <f>164+96</f>
        <v>260</v>
      </c>
    </row>
    <row r="1209" spans="1:213" s="145" customFormat="1" x14ac:dyDescent="0.35">
      <c r="A1209" s="270">
        <f>A1207+1</f>
        <v>4</v>
      </c>
      <c r="B1209" s="320">
        <v>4429</v>
      </c>
      <c r="C1209" s="278" t="s">
        <v>700</v>
      </c>
      <c r="D1209" s="273">
        <v>2632.73</v>
      </c>
      <c r="E1209" s="273" t="s">
        <v>74</v>
      </c>
      <c r="F1209" s="282">
        <v>5</v>
      </c>
      <c r="G1209" s="270" t="s">
        <v>71</v>
      </c>
      <c r="H1209" s="136" t="s">
        <v>72</v>
      </c>
      <c r="I1209" s="181">
        <f>SUM(I1210:I1210)</f>
        <v>261457.72</v>
      </c>
      <c r="J1209" s="181">
        <f>SUM(J1210:J1210)</f>
        <v>99.31</v>
      </c>
      <c r="K1209" s="181">
        <f>SUM(K1210:K1210)</f>
        <v>169</v>
      </c>
    </row>
    <row r="1210" spans="1:213" s="145" customFormat="1" ht="46.5" x14ac:dyDescent="0.35">
      <c r="A1210" s="272"/>
      <c r="B1210" s="321"/>
      <c r="C1210" s="285"/>
      <c r="D1210" s="275"/>
      <c r="E1210" s="275"/>
      <c r="F1210" s="284"/>
      <c r="G1210" s="272"/>
      <c r="H1210" s="136" t="s">
        <v>673</v>
      </c>
      <c r="I1210" s="181">
        <f>214068.58+D1209*18</f>
        <v>261457.72</v>
      </c>
      <c r="J1210" s="181">
        <f>I1210/D1209</f>
        <v>99.31</v>
      </c>
      <c r="K1210" s="181">
        <f>151+18</f>
        <v>169</v>
      </c>
    </row>
    <row r="1211" spans="1:213" s="145" customFormat="1" x14ac:dyDescent="0.35">
      <c r="A1211" s="270">
        <f>A1209+1</f>
        <v>5</v>
      </c>
      <c r="B1211" s="320">
        <v>4560</v>
      </c>
      <c r="C1211" s="278" t="s">
        <v>159</v>
      </c>
      <c r="D1211" s="273">
        <v>1535.88</v>
      </c>
      <c r="E1211" s="273" t="s">
        <v>74</v>
      </c>
      <c r="F1211" s="282">
        <v>3</v>
      </c>
      <c r="G1211" s="270" t="s">
        <v>71</v>
      </c>
      <c r="H1211" s="136" t="s">
        <v>72</v>
      </c>
      <c r="I1211" s="181">
        <f>I1212+I1213</f>
        <v>4313693.24</v>
      </c>
      <c r="J1211" s="181">
        <f>J1212+J1213</f>
        <v>2808.61</v>
      </c>
      <c r="K1211" s="181">
        <f>K1212+K1213</f>
        <v>4728</v>
      </c>
    </row>
    <row r="1212" spans="1:213" s="145" customFormat="1" x14ac:dyDescent="0.35">
      <c r="A1212" s="271">
        <v>29</v>
      </c>
      <c r="B1212" s="321"/>
      <c r="C1212" s="279"/>
      <c r="D1212" s="274"/>
      <c r="E1212" s="274"/>
      <c r="F1212" s="283"/>
      <c r="G1212" s="271"/>
      <c r="H1212" s="136" t="s">
        <v>635</v>
      </c>
      <c r="I1212" s="181">
        <f>5979613.59*0.7</f>
        <v>4185729.51</v>
      </c>
      <c r="J1212" s="181">
        <f>I1212/D1211-0.01</f>
        <v>2725.29</v>
      </c>
      <c r="K1212" s="181">
        <v>4629</v>
      </c>
    </row>
    <row r="1213" spans="1:213" s="145" customFormat="1" x14ac:dyDescent="0.35">
      <c r="A1213" s="272">
        <v>30</v>
      </c>
      <c r="B1213" s="321"/>
      <c r="C1213" s="285"/>
      <c r="D1213" s="275"/>
      <c r="E1213" s="275"/>
      <c r="F1213" s="284"/>
      <c r="G1213" s="272"/>
      <c r="H1213" s="136" t="s">
        <v>75</v>
      </c>
      <c r="I1213" s="181">
        <f>5979613.59*0.0214</f>
        <v>127963.73</v>
      </c>
      <c r="J1213" s="181">
        <f>I1213/D1211</f>
        <v>83.32</v>
      </c>
      <c r="K1213" s="181">
        <v>99</v>
      </c>
    </row>
    <row r="1214" spans="1:213" s="145" customFormat="1" x14ac:dyDescent="0.35">
      <c r="A1214" s="270">
        <f>A1211+1</f>
        <v>6</v>
      </c>
      <c r="B1214" s="320">
        <v>4561</v>
      </c>
      <c r="C1214" s="278" t="s">
        <v>685</v>
      </c>
      <c r="D1214" s="273">
        <v>1380.66</v>
      </c>
      <c r="E1214" s="273" t="s">
        <v>74</v>
      </c>
      <c r="F1214" s="282">
        <v>3</v>
      </c>
      <c r="G1214" s="270" t="s">
        <v>71</v>
      </c>
      <c r="H1214" s="136" t="s">
        <v>72</v>
      </c>
      <c r="I1214" s="181">
        <f>SUM(I1215:I1215)</f>
        <v>139667.6</v>
      </c>
      <c r="J1214" s="181">
        <f>SUM(J1215:J1215)</f>
        <v>101.16</v>
      </c>
      <c r="K1214" s="181">
        <f>SUM(K1215:K1215)</f>
        <v>239</v>
      </c>
    </row>
    <row r="1215" spans="1:213" s="145" customFormat="1" ht="46.5" x14ac:dyDescent="0.35">
      <c r="A1215" s="271"/>
      <c r="B1215" s="321"/>
      <c r="C1215" s="279"/>
      <c r="D1215" s="274"/>
      <c r="E1215" s="274"/>
      <c r="F1215" s="283"/>
      <c r="G1215" s="271"/>
      <c r="H1215" s="136" t="s">
        <v>673</v>
      </c>
      <c r="I1215" s="181">
        <v>139667.6</v>
      </c>
      <c r="J1215" s="181">
        <f>I1215/D1214</f>
        <v>101.16</v>
      </c>
      <c r="K1215" s="181">
        <f>151+88</f>
        <v>239</v>
      </c>
    </row>
    <row r="1216" spans="1:213" s="145" customFormat="1" x14ac:dyDescent="0.35">
      <c r="A1216" s="270">
        <f>A1214+1</f>
        <v>7</v>
      </c>
      <c r="B1216" s="278">
        <v>4569</v>
      </c>
      <c r="C1216" s="278" t="s">
        <v>686</v>
      </c>
      <c r="D1216" s="273">
        <v>4033.01</v>
      </c>
      <c r="E1216" s="273" t="s">
        <v>74</v>
      </c>
      <c r="F1216" s="282">
        <v>5</v>
      </c>
      <c r="G1216" s="270" t="s">
        <v>71</v>
      </c>
      <c r="H1216" s="136" t="s">
        <v>72</v>
      </c>
      <c r="I1216" s="181">
        <f>I1217+I1218</f>
        <v>10096643.960000001</v>
      </c>
      <c r="J1216" s="181">
        <f>J1217+J1218</f>
        <v>2503.5</v>
      </c>
      <c r="K1216" s="181">
        <f>K1217+K1218</f>
        <v>3242</v>
      </c>
    </row>
    <row r="1217" spans="1:11" s="145" customFormat="1" x14ac:dyDescent="0.35">
      <c r="A1217" s="271">
        <v>29</v>
      </c>
      <c r="B1217" s="279"/>
      <c r="C1217" s="279"/>
      <c r="D1217" s="274"/>
      <c r="E1217" s="274"/>
      <c r="F1217" s="283"/>
      <c r="G1217" s="271"/>
      <c r="H1217" s="136" t="s">
        <v>73</v>
      </c>
      <c r="I1217" s="181">
        <v>9885102.7599999998</v>
      </c>
      <c r="J1217" s="181">
        <f>I1217/D1216</f>
        <v>2451.0500000000002</v>
      </c>
      <c r="K1217" s="181">
        <v>3174</v>
      </c>
    </row>
    <row r="1218" spans="1:11" s="145" customFormat="1" x14ac:dyDescent="0.35">
      <c r="A1218" s="272">
        <v>30</v>
      </c>
      <c r="B1218" s="285"/>
      <c r="C1218" s="285"/>
      <c r="D1218" s="275"/>
      <c r="E1218" s="275"/>
      <c r="F1218" s="284"/>
      <c r="G1218" s="272"/>
      <c r="H1218" s="136" t="s">
        <v>75</v>
      </c>
      <c r="I1218" s="181">
        <f>I1217*0.0214</f>
        <v>211541.2</v>
      </c>
      <c r="J1218" s="181">
        <f>I1218/D1216</f>
        <v>52.45</v>
      </c>
      <c r="K1218" s="181">
        <v>68</v>
      </c>
    </row>
    <row r="1219" spans="1:11" s="145" customFormat="1" x14ac:dyDescent="0.35">
      <c r="A1219" s="270">
        <f>A1216+1</f>
        <v>8</v>
      </c>
      <c r="B1219" s="320">
        <v>4563</v>
      </c>
      <c r="C1219" s="278" t="s">
        <v>701</v>
      </c>
      <c r="D1219" s="273">
        <v>4353.01</v>
      </c>
      <c r="E1219" s="273" t="s">
        <v>74</v>
      </c>
      <c r="F1219" s="282">
        <v>5</v>
      </c>
      <c r="G1219" s="270" t="s">
        <v>71</v>
      </c>
      <c r="H1219" s="136" t="s">
        <v>72</v>
      </c>
      <c r="I1219" s="181">
        <f>SUM(I1220:I1220)</f>
        <v>320480.95</v>
      </c>
      <c r="J1219" s="181">
        <f>SUM(J1220:J1220)</f>
        <v>73.62</v>
      </c>
      <c r="K1219" s="181">
        <f>SUM(K1220:K1220)</f>
        <v>169</v>
      </c>
    </row>
    <row r="1220" spans="1:11" s="145" customFormat="1" ht="46.5" x14ac:dyDescent="0.35">
      <c r="A1220" s="272"/>
      <c r="B1220" s="321"/>
      <c r="C1220" s="285"/>
      <c r="D1220" s="275"/>
      <c r="E1220" s="275"/>
      <c r="F1220" s="284"/>
      <c r="G1220" s="272"/>
      <c r="H1220" s="136" t="s">
        <v>673</v>
      </c>
      <c r="I1220" s="181">
        <f>242126.77+D1219*18</f>
        <v>320480.95</v>
      </c>
      <c r="J1220" s="181">
        <f>I1220/D1219</f>
        <v>73.62</v>
      </c>
      <c r="K1220" s="181">
        <f>151+18</f>
        <v>169</v>
      </c>
    </row>
    <row r="1221" spans="1:11" s="145" customFormat="1" x14ac:dyDescent="0.35">
      <c r="A1221" s="270">
        <f>A1219+1</f>
        <v>9</v>
      </c>
      <c r="B1221" s="278">
        <v>4433</v>
      </c>
      <c r="C1221" s="278" t="s">
        <v>637</v>
      </c>
      <c r="D1221" s="273">
        <v>493.5</v>
      </c>
      <c r="E1221" s="273" t="s">
        <v>633</v>
      </c>
      <c r="F1221" s="282">
        <v>2</v>
      </c>
      <c r="G1221" s="165"/>
      <c r="H1221" s="136" t="s">
        <v>72</v>
      </c>
      <c r="I1221" s="181">
        <f>I1222+I1223</f>
        <v>1412882.7</v>
      </c>
      <c r="J1221" s="181">
        <f>J1222+J1223</f>
        <v>2862.98</v>
      </c>
      <c r="K1221" s="181">
        <f>K1222+K1223</f>
        <v>2863</v>
      </c>
    </row>
    <row r="1222" spans="1:11" s="145" customFormat="1" x14ac:dyDescent="0.35">
      <c r="A1222" s="271"/>
      <c r="B1222" s="279"/>
      <c r="C1222" s="279"/>
      <c r="D1222" s="274"/>
      <c r="E1222" s="274"/>
      <c r="F1222" s="283"/>
      <c r="G1222" s="270" t="s">
        <v>108</v>
      </c>
      <c r="H1222" s="136" t="s">
        <v>73</v>
      </c>
      <c r="I1222" s="181">
        <f>D1221*K1222</f>
        <v>1383280.5</v>
      </c>
      <c r="J1222" s="181">
        <f>I1222/D1221</f>
        <v>2803</v>
      </c>
      <c r="K1222" s="181">
        <v>2803</v>
      </c>
    </row>
    <row r="1223" spans="1:11" s="145" customFormat="1" x14ac:dyDescent="0.35">
      <c r="A1223" s="272">
        <v>30</v>
      </c>
      <c r="B1223" s="285"/>
      <c r="C1223" s="285"/>
      <c r="D1223" s="275"/>
      <c r="E1223" s="275"/>
      <c r="F1223" s="284"/>
      <c r="G1223" s="272"/>
      <c r="H1223" s="136" t="s">
        <v>75</v>
      </c>
      <c r="I1223" s="181">
        <f>I1222*0.0214</f>
        <v>29602.2</v>
      </c>
      <c r="J1223" s="181">
        <f>I1223/D1221</f>
        <v>59.98</v>
      </c>
      <c r="K1223" s="181">
        <v>60</v>
      </c>
    </row>
    <row r="1224" spans="1:11" s="145" customFormat="1" x14ac:dyDescent="0.35">
      <c r="A1224" s="270">
        <f>A1221+1</f>
        <v>10</v>
      </c>
      <c r="B1224" s="320">
        <v>4478</v>
      </c>
      <c r="C1224" s="278" t="s">
        <v>484</v>
      </c>
      <c r="D1224" s="273">
        <v>2933.1</v>
      </c>
      <c r="E1224" s="273" t="s">
        <v>70</v>
      </c>
      <c r="F1224" s="282">
        <v>5</v>
      </c>
      <c r="G1224" s="270" t="s">
        <v>84</v>
      </c>
      <c r="H1224" s="136" t="s">
        <v>72</v>
      </c>
      <c r="I1224" s="181">
        <f>SUM(I1225:I1226)</f>
        <v>759672.9</v>
      </c>
      <c r="J1224" s="181">
        <f>SUM(J1225:J1226)</f>
        <v>259</v>
      </c>
      <c r="K1224" s="181">
        <f>SUM(K1225:K1226)</f>
        <v>259</v>
      </c>
    </row>
    <row r="1225" spans="1:11" s="145" customFormat="1" ht="46.5" x14ac:dyDescent="0.35">
      <c r="A1225" s="271"/>
      <c r="B1225" s="321"/>
      <c r="C1225" s="279"/>
      <c r="D1225" s="274"/>
      <c r="E1225" s="274"/>
      <c r="F1225" s="283"/>
      <c r="G1225" s="271"/>
      <c r="H1225" s="136" t="s">
        <v>673</v>
      </c>
      <c r="I1225" s="181">
        <f>K1225*D1224</f>
        <v>219982.5</v>
      </c>
      <c r="J1225" s="181">
        <f>I1225/D1224</f>
        <v>75</v>
      </c>
      <c r="K1225" s="181">
        <f>63+12</f>
        <v>75</v>
      </c>
    </row>
    <row r="1226" spans="1:11" s="145" customFormat="1" ht="46.5" x14ac:dyDescent="0.35">
      <c r="A1226" s="271"/>
      <c r="B1226" s="321"/>
      <c r="C1226" s="279"/>
      <c r="D1226" s="274"/>
      <c r="E1226" s="274"/>
      <c r="F1226" s="283"/>
      <c r="G1226" s="271"/>
      <c r="H1226" s="182" t="s">
        <v>674</v>
      </c>
      <c r="I1226" s="181">
        <f>D1224*K1226</f>
        <v>539690.4</v>
      </c>
      <c r="J1226" s="181">
        <f>I1226/D1224</f>
        <v>184</v>
      </c>
      <c r="K1226" s="181">
        <f>156+28</f>
        <v>184</v>
      </c>
    </row>
    <row r="1227" spans="1:11" s="145" customFormat="1" x14ac:dyDescent="0.35">
      <c r="A1227" s="270">
        <f>A1224+1</f>
        <v>11</v>
      </c>
      <c r="B1227" s="320">
        <v>4444</v>
      </c>
      <c r="C1227" s="278" t="s">
        <v>485</v>
      </c>
      <c r="D1227" s="273">
        <v>725.1</v>
      </c>
      <c r="E1227" s="273" t="s">
        <v>74</v>
      </c>
      <c r="F1227" s="282">
        <v>2</v>
      </c>
      <c r="G1227" s="270" t="s">
        <v>71</v>
      </c>
      <c r="H1227" s="136" t="s">
        <v>72</v>
      </c>
      <c r="I1227" s="181">
        <f>SUM(I1228:I1228)</f>
        <v>99953.95</v>
      </c>
      <c r="J1227" s="181">
        <f>SUM(J1228:J1228)</f>
        <v>137.85</v>
      </c>
      <c r="K1227" s="181">
        <f>SUM(K1228:K1228)</f>
        <v>247</v>
      </c>
    </row>
    <row r="1228" spans="1:11" s="145" customFormat="1" ht="63" customHeight="1" x14ac:dyDescent="0.35">
      <c r="A1228" s="271"/>
      <c r="B1228" s="321"/>
      <c r="C1228" s="279"/>
      <c r="D1228" s="274"/>
      <c r="E1228" s="274"/>
      <c r="F1228" s="283"/>
      <c r="G1228" s="271"/>
      <c r="H1228" s="136" t="s">
        <v>673</v>
      </c>
      <c r="I1228" s="181">
        <v>99953.95</v>
      </c>
      <c r="J1228" s="181">
        <f>I1228/D1227</f>
        <v>137.85</v>
      </c>
      <c r="K1228" s="181">
        <f>151+96</f>
        <v>247</v>
      </c>
    </row>
    <row r="1229" spans="1:11" s="145" customFormat="1" x14ac:dyDescent="0.35">
      <c r="A1229" s="270">
        <f>A1227+1</f>
        <v>12</v>
      </c>
      <c r="B1229" s="320">
        <v>4536</v>
      </c>
      <c r="C1229" s="278" t="s">
        <v>486</v>
      </c>
      <c r="D1229" s="273">
        <v>851.15</v>
      </c>
      <c r="E1229" s="273" t="s">
        <v>74</v>
      </c>
      <c r="F1229" s="282">
        <v>2</v>
      </c>
      <c r="G1229" s="270" t="s">
        <v>71</v>
      </c>
      <c r="H1229" s="136" t="s">
        <v>72</v>
      </c>
      <c r="I1229" s="181">
        <f>I1230</f>
        <v>105254.47</v>
      </c>
      <c r="J1229" s="181">
        <f>J1230</f>
        <v>123.66</v>
      </c>
      <c r="K1229" s="181">
        <f>K1230</f>
        <v>247</v>
      </c>
    </row>
    <row r="1230" spans="1:11" s="145" customFormat="1" ht="58.5" customHeight="1" x14ac:dyDescent="0.35">
      <c r="A1230" s="271"/>
      <c r="B1230" s="321"/>
      <c r="C1230" s="279"/>
      <c r="D1230" s="274"/>
      <c r="E1230" s="274"/>
      <c r="F1230" s="283"/>
      <c r="G1230" s="271"/>
      <c r="H1230" s="136" t="s">
        <v>673</v>
      </c>
      <c r="I1230" s="181">
        <v>105254.47</v>
      </c>
      <c r="J1230" s="181">
        <f>I1230/D1229</f>
        <v>123.66</v>
      </c>
      <c r="K1230" s="181">
        <f>151+96</f>
        <v>247</v>
      </c>
    </row>
    <row r="1231" spans="1:11" s="145" customFormat="1" x14ac:dyDescent="0.35">
      <c r="A1231" s="270">
        <f>A1229+1</f>
        <v>13</v>
      </c>
      <c r="B1231" s="320">
        <v>4540</v>
      </c>
      <c r="C1231" s="278" t="s">
        <v>168</v>
      </c>
      <c r="D1231" s="273">
        <v>892.04</v>
      </c>
      <c r="E1231" s="273" t="s">
        <v>74</v>
      </c>
      <c r="F1231" s="282">
        <v>2</v>
      </c>
      <c r="G1231" s="270" t="s">
        <v>71</v>
      </c>
      <c r="H1231" s="136" t="s">
        <v>72</v>
      </c>
      <c r="I1231" s="181">
        <f>SUM(I1232:I1233)</f>
        <v>4165118.01</v>
      </c>
      <c r="J1231" s="181">
        <f>J1232+J1233</f>
        <v>4669.21</v>
      </c>
      <c r="K1231" s="181">
        <f>K1232+K1233</f>
        <v>7066</v>
      </c>
    </row>
    <row r="1232" spans="1:11" s="145" customFormat="1" x14ac:dyDescent="0.35">
      <c r="A1232" s="271">
        <v>29</v>
      </c>
      <c r="B1232" s="321"/>
      <c r="C1232" s="279"/>
      <c r="D1232" s="274"/>
      <c r="E1232" s="274"/>
      <c r="F1232" s="283"/>
      <c r="G1232" s="271"/>
      <c r="H1232" s="136" t="s">
        <v>635</v>
      </c>
      <c r="I1232" s="181">
        <f>5773659.57*0.7</f>
        <v>4041561.7</v>
      </c>
      <c r="J1232" s="181">
        <f>I1232/D1231</f>
        <v>4530.7</v>
      </c>
      <c r="K1232" s="181">
        <v>6918</v>
      </c>
    </row>
    <row r="1233" spans="1:212" s="145" customFormat="1" x14ac:dyDescent="0.35">
      <c r="A1233" s="272">
        <v>30</v>
      </c>
      <c r="B1233" s="321"/>
      <c r="C1233" s="285"/>
      <c r="D1233" s="275"/>
      <c r="E1233" s="275"/>
      <c r="F1233" s="284"/>
      <c r="G1233" s="272"/>
      <c r="H1233" s="136" t="s">
        <v>75</v>
      </c>
      <c r="I1233" s="181">
        <f>5773659.57*0.0214</f>
        <v>123556.31</v>
      </c>
      <c r="J1233" s="181">
        <f>I1233/D1231</f>
        <v>138.51</v>
      </c>
      <c r="K1233" s="181">
        <v>148</v>
      </c>
    </row>
    <row r="1234" spans="1:212" s="145" customFormat="1" ht="15.5" customHeight="1" x14ac:dyDescent="0.35">
      <c r="A1234" s="270">
        <f>A1231+1</f>
        <v>14</v>
      </c>
      <c r="B1234" s="320">
        <v>4641</v>
      </c>
      <c r="C1234" s="286" t="s">
        <v>170</v>
      </c>
      <c r="D1234" s="273">
        <v>721.38</v>
      </c>
      <c r="E1234" s="273" t="s">
        <v>74</v>
      </c>
      <c r="F1234" s="282">
        <v>2</v>
      </c>
      <c r="G1234" s="270" t="s">
        <v>71</v>
      </c>
      <c r="H1234" s="136" t="s">
        <v>72</v>
      </c>
      <c r="I1234" s="181">
        <f>SUM(I1235:I1242)</f>
        <v>6074482.7400000002</v>
      </c>
      <c r="J1234" s="181">
        <f>SUM(J1235:J1242)</f>
        <v>8420.64</v>
      </c>
      <c r="K1234" s="181">
        <f>SUM(K1235:K1242)</f>
        <v>11196</v>
      </c>
    </row>
    <row r="1235" spans="1:212" s="145" customFormat="1" x14ac:dyDescent="0.35">
      <c r="A1235" s="271"/>
      <c r="B1235" s="321"/>
      <c r="C1235" s="286"/>
      <c r="D1235" s="274"/>
      <c r="E1235" s="274"/>
      <c r="F1235" s="283"/>
      <c r="G1235" s="271"/>
      <c r="H1235" s="136" t="s">
        <v>635</v>
      </c>
      <c r="I1235" s="181">
        <f>4340945.7*0.7</f>
        <v>3038661.99</v>
      </c>
      <c r="J1235" s="181">
        <f>I1235/D1234-0.01</f>
        <v>4212.28</v>
      </c>
      <c r="K1235" s="181">
        <v>6918</v>
      </c>
    </row>
    <row r="1236" spans="1:212" s="145" customFormat="1" x14ac:dyDescent="0.35">
      <c r="A1236" s="271"/>
      <c r="B1236" s="321"/>
      <c r="C1236" s="286"/>
      <c r="D1236" s="274"/>
      <c r="E1236" s="274"/>
      <c r="F1236" s="283"/>
      <c r="G1236" s="272"/>
      <c r="H1236" s="136" t="s">
        <v>75</v>
      </c>
      <c r="I1236" s="181">
        <f>4340945.7*0.0214</f>
        <v>92896.24</v>
      </c>
      <c r="J1236" s="181">
        <f>I1236/D1234</f>
        <v>128.78</v>
      </c>
      <c r="K1236" s="181">
        <v>148</v>
      </c>
    </row>
    <row r="1237" spans="1:212" s="145" customFormat="1" ht="46.5" x14ac:dyDescent="0.35">
      <c r="A1237" s="271"/>
      <c r="B1237" s="321"/>
      <c r="C1237" s="286"/>
      <c r="D1237" s="274"/>
      <c r="E1237" s="274"/>
      <c r="F1237" s="283"/>
      <c r="G1237" s="270" t="s">
        <v>76</v>
      </c>
      <c r="H1237" s="136" t="s">
        <v>634</v>
      </c>
      <c r="I1237" s="181">
        <f>41833.52+(D1234*21)</f>
        <v>56982.5</v>
      </c>
      <c r="J1237" s="181">
        <f>I1237/D1234</f>
        <v>78.989999999999995</v>
      </c>
      <c r="K1237" s="181">
        <f>108+21</f>
        <v>129</v>
      </c>
    </row>
    <row r="1238" spans="1:212" s="145" customFormat="1" x14ac:dyDescent="0.35">
      <c r="A1238" s="271"/>
      <c r="B1238" s="321"/>
      <c r="C1238" s="286"/>
      <c r="D1238" s="274"/>
      <c r="E1238" s="274"/>
      <c r="F1238" s="283"/>
      <c r="G1238" s="271"/>
      <c r="H1238" s="136" t="s">
        <v>73</v>
      </c>
      <c r="I1238" s="181">
        <f>D1234*K1238</f>
        <v>1941233.58</v>
      </c>
      <c r="J1238" s="181">
        <f>I1238/D1234</f>
        <v>2691</v>
      </c>
      <c r="K1238" s="181">
        <v>2691</v>
      </c>
    </row>
    <row r="1239" spans="1:212" s="145" customFormat="1" x14ac:dyDescent="0.35">
      <c r="A1239" s="271"/>
      <c r="B1239" s="321"/>
      <c r="C1239" s="286"/>
      <c r="D1239" s="274"/>
      <c r="E1239" s="274"/>
      <c r="F1239" s="283"/>
      <c r="G1239" s="272"/>
      <c r="H1239" s="136" t="s">
        <v>75</v>
      </c>
      <c r="I1239" s="181">
        <v>41630.839999999997</v>
      </c>
      <c r="J1239" s="181">
        <f>I1239/D1234</f>
        <v>57.71</v>
      </c>
      <c r="K1239" s="181">
        <v>58</v>
      </c>
    </row>
    <row r="1240" spans="1:212" s="145" customFormat="1" ht="46.5" x14ac:dyDescent="0.35">
      <c r="A1240" s="271"/>
      <c r="B1240" s="321"/>
      <c r="C1240" s="286"/>
      <c r="D1240" s="274"/>
      <c r="E1240" s="274"/>
      <c r="F1240" s="283"/>
      <c r="G1240" s="270" t="s">
        <v>655</v>
      </c>
      <c r="H1240" s="183" t="s">
        <v>634</v>
      </c>
      <c r="I1240" s="181">
        <f>33904.86+(D1234*4)</f>
        <v>36790.379999999997</v>
      </c>
      <c r="J1240" s="181">
        <f>I1240/D1234</f>
        <v>51</v>
      </c>
      <c r="K1240" s="181">
        <f>47+4</f>
        <v>51</v>
      </c>
    </row>
    <row r="1241" spans="1:212" s="145" customFormat="1" x14ac:dyDescent="0.35">
      <c r="A1241" s="271"/>
      <c r="B1241" s="321"/>
      <c r="C1241" s="286"/>
      <c r="D1241" s="274"/>
      <c r="E1241" s="274"/>
      <c r="F1241" s="283"/>
      <c r="G1241" s="271"/>
      <c r="H1241" s="136" t="s">
        <v>656</v>
      </c>
      <c r="I1241" s="181">
        <f>D1234*K1241</f>
        <v>848342.88</v>
      </c>
      <c r="J1241" s="181">
        <f>I1241/D1234</f>
        <v>1176</v>
      </c>
      <c r="K1241" s="181">
        <v>1176</v>
      </c>
    </row>
    <row r="1242" spans="1:212" s="145" customFormat="1" ht="63.5" customHeight="1" x14ac:dyDescent="0.35">
      <c r="A1242" s="272"/>
      <c r="B1242" s="342"/>
      <c r="C1242" s="286"/>
      <c r="D1242" s="275"/>
      <c r="E1242" s="275"/>
      <c r="F1242" s="284"/>
      <c r="G1242" s="272"/>
      <c r="H1242" s="136" t="s">
        <v>75</v>
      </c>
      <c r="I1242" s="181">
        <v>17944.330000000002</v>
      </c>
      <c r="J1242" s="181">
        <f>I1242/D1234</f>
        <v>24.88</v>
      </c>
      <c r="K1242" s="181">
        <v>25</v>
      </c>
    </row>
    <row r="1243" spans="1:212" s="152" customFormat="1" x14ac:dyDescent="0.35">
      <c r="A1243" s="138" t="s">
        <v>35</v>
      </c>
      <c r="B1243" s="143"/>
      <c r="C1243" s="144"/>
      <c r="D1243" s="166">
        <f>D1244</f>
        <v>329.1</v>
      </c>
      <c r="E1243" s="192"/>
      <c r="F1243" s="192"/>
      <c r="G1243" s="166"/>
      <c r="H1243" s="137"/>
      <c r="I1243" s="181">
        <f>I1244</f>
        <v>2214102.7000000002</v>
      </c>
      <c r="J1243" s="181"/>
      <c r="K1243" s="181"/>
      <c r="L1243" s="123"/>
      <c r="M1243" s="123"/>
      <c r="N1243" s="123"/>
      <c r="O1243" s="123"/>
      <c r="P1243" s="123"/>
      <c r="Q1243" s="123"/>
      <c r="R1243" s="123"/>
      <c r="S1243" s="123"/>
      <c r="T1243" s="123"/>
      <c r="U1243" s="123"/>
      <c r="V1243" s="123"/>
      <c r="W1243" s="123"/>
      <c r="X1243" s="123"/>
      <c r="Y1243" s="123"/>
      <c r="Z1243" s="123"/>
      <c r="AA1243" s="123"/>
      <c r="AB1243" s="123"/>
      <c r="AC1243" s="123"/>
      <c r="AD1243" s="123"/>
      <c r="AE1243" s="123"/>
      <c r="AF1243" s="123"/>
      <c r="AG1243" s="123"/>
      <c r="AH1243" s="123"/>
      <c r="AI1243" s="123"/>
      <c r="AJ1243" s="123"/>
      <c r="AK1243" s="123"/>
      <c r="AL1243" s="123"/>
      <c r="AM1243" s="123"/>
      <c r="AN1243" s="123"/>
      <c r="AO1243" s="123"/>
      <c r="AP1243" s="123"/>
      <c r="AQ1243" s="123"/>
      <c r="AR1243" s="123"/>
      <c r="AS1243" s="123"/>
      <c r="AT1243" s="123"/>
      <c r="AU1243" s="123"/>
      <c r="AV1243" s="123"/>
      <c r="AW1243" s="123"/>
      <c r="AX1243" s="123"/>
      <c r="AY1243" s="123"/>
      <c r="AZ1243" s="123"/>
      <c r="BA1243" s="123"/>
      <c r="BB1243" s="123"/>
      <c r="BC1243" s="123"/>
      <c r="BD1243" s="123"/>
      <c r="BE1243" s="123"/>
      <c r="BF1243" s="123"/>
      <c r="BG1243" s="123"/>
      <c r="BH1243" s="123"/>
      <c r="BI1243" s="123"/>
      <c r="BJ1243" s="123"/>
      <c r="BK1243" s="123"/>
      <c r="BL1243" s="123"/>
      <c r="BM1243" s="123"/>
      <c r="BN1243" s="123"/>
      <c r="BO1243" s="123"/>
      <c r="BP1243" s="123"/>
      <c r="BQ1243" s="123"/>
      <c r="BR1243" s="123"/>
      <c r="BS1243" s="123"/>
      <c r="BT1243" s="123"/>
      <c r="BU1243" s="123"/>
      <c r="BV1243" s="123"/>
      <c r="BW1243" s="123"/>
      <c r="BX1243" s="123"/>
      <c r="BY1243" s="123"/>
      <c r="BZ1243" s="123"/>
      <c r="CA1243" s="123"/>
      <c r="CB1243" s="123"/>
      <c r="CC1243" s="123"/>
      <c r="CD1243" s="123"/>
      <c r="CE1243" s="123"/>
      <c r="CF1243" s="123"/>
      <c r="CG1243" s="123"/>
      <c r="CH1243" s="123"/>
      <c r="CI1243" s="123"/>
      <c r="CJ1243" s="123"/>
      <c r="CK1243" s="123"/>
      <c r="CL1243" s="123"/>
      <c r="CM1243" s="123"/>
      <c r="CN1243" s="123"/>
      <c r="CO1243" s="123"/>
      <c r="CP1243" s="123"/>
      <c r="CQ1243" s="123"/>
      <c r="CR1243" s="123"/>
      <c r="CS1243" s="123"/>
      <c r="CT1243" s="123"/>
      <c r="CU1243" s="123"/>
      <c r="CV1243" s="123"/>
      <c r="CW1243" s="123"/>
      <c r="CX1243" s="123"/>
      <c r="CY1243" s="123"/>
      <c r="CZ1243" s="123"/>
      <c r="DA1243" s="123"/>
      <c r="DB1243" s="123"/>
      <c r="DC1243" s="123"/>
      <c r="DD1243" s="123"/>
      <c r="DE1243" s="123"/>
      <c r="DF1243" s="123"/>
      <c r="DG1243" s="123"/>
      <c r="DH1243" s="123"/>
      <c r="DI1243" s="123"/>
      <c r="DJ1243" s="123"/>
      <c r="DK1243" s="123"/>
      <c r="DL1243" s="123"/>
      <c r="DM1243" s="123"/>
      <c r="DN1243" s="123"/>
      <c r="DO1243" s="123"/>
      <c r="DP1243" s="123"/>
      <c r="DQ1243" s="123"/>
      <c r="DR1243" s="123"/>
      <c r="DS1243" s="123"/>
      <c r="DT1243" s="123"/>
      <c r="DU1243" s="123"/>
      <c r="DV1243" s="123"/>
      <c r="DW1243" s="123"/>
      <c r="DX1243" s="123"/>
      <c r="DY1243" s="123"/>
      <c r="DZ1243" s="123"/>
      <c r="EA1243" s="123"/>
      <c r="EB1243" s="123"/>
      <c r="EC1243" s="123"/>
      <c r="ED1243" s="123"/>
      <c r="EE1243" s="123"/>
      <c r="EF1243" s="123"/>
      <c r="EG1243" s="123"/>
      <c r="EH1243" s="123"/>
      <c r="EI1243" s="123"/>
      <c r="EJ1243" s="123"/>
      <c r="EK1243" s="123"/>
      <c r="EL1243" s="123"/>
      <c r="EM1243" s="123"/>
      <c r="EN1243" s="123"/>
      <c r="EO1243" s="123"/>
      <c r="EP1243" s="123"/>
      <c r="EQ1243" s="123"/>
      <c r="ER1243" s="123"/>
      <c r="ES1243" s="123"/>
      <c r="ET1243" s="123"/>
      <c r="EU1243" s="123"/>
      <c r="EV1243" s="123"/>
      <c r="EW1243" s="123"/>
      <c r="EX1243" s="123"/>
      <c r="EY1243" s="123"/>
      <c r="EZ1243" s="123"/>
      <c r="FA1243" s="123"/>
      <c r="FB1243" s="123"/>
      <c r="FC1243" s="123"/>
      <c r="FD1243" s="123"/>
      <c r="FE1243" s="123"/>
      <c r="FF1243" s="123"/>
      <c r="FG1243" s="123"/>
      <c r="FH1243" s="123"/>
      <c r="FI1243" s="123"/>
      <c r="FJ1243" s="123"/>
      <c r="FK1243" s="123"/>
      <c r="FL1243" s="123"/>
      <c r="FM1243" s="123"/>
      <c r="FN1243" s="123"/>
      <c r="FO1243" s="123"/>
      <c r="FP1243" s="123"/>
      <c r="FQ1243" s="123"/>
      <c r="FR1243" s="123"/>
      <c r="FS1243" s="123"/>
      <c r="FT1243" s="123"/>
      <c r="FU1243" s="123"/>
      <c r="FV1243" s="123"/>
      <c r="FW1243" s="123"/>
      <c r="FX1243" s="123"/>
      <c r="FY1243" s="123"/>
      <c r="FZ1243" s="123"/>
      <c r="GA1243" s="123"/>
      <c r="GB1243" s="123"/>
      <c r="GC1243" s="123"/>
      <c r="GD1243" s="123"/>
      <c r="GE1243" s="123"/>
      <c r="GF1243" s="123"/>
      <c r="GG1243" s="123"/>
      <c r="GH1243" s="123"/>
      <c r="GI1243" s="123"/>
      <c r="GJ1243" s="123"/>
      <c r="GK1243" s="123"/>
      <c r="GL1243" s="123"/>
      <c r="GM1243" s="123"/>
      <c r="GN1243" s="123"/>
      <c r="GO1243" s="123"/>
      <c r="GP1243" s="123"/>
      <c r="GQ1243" s="123"/>
      <c r="GR1243" s="123"/>
      <c r="GS1243" s="123"/>
      <c r="GT1243" s="123"/>
      <c r="GU1243" s="123"/>
      <c r="GV1243" s="123"/>
      <c r="GW1243" s="123"/>
      <c r="GX1243" s="123"/>
      <c r="GY1243" s="123"/>
      <c r="GZ1243" s="123"/>
      <c r="HA1243" s="123"/>
      <c r="HB1243" s="123"/>
      <c r="HC1243" s="123"/>
      <c r="HD1243" s="123"/>
    </row>
    <row r="1244" spans="1:212" s="152" customFormat="1" x14ac:dyDescent="0.35">
      <c r="A1244" s="270">
        <v>1</v>
      </c>
      <c r="B1244" s="278">
        <v>6680</v>
      </c>
      <c r="C1244" s="278" t="s">
        <v>171</v>
      </c>
      <c r="D1244" s="273">
        <v>329.1</v>
      </c>
      <c r="E1244" s="282" t="s">
        <v>633</v>
      </c>
      <c r="F1244" s="282">
        <v>2</v>
      </c>
      <c r="G1244" s="270" t="s">
        <v>71</v>
      </c>
      <c r="H1244" s="136" t="s">
        <v>72</v>
      </c>
      <c r="I1244" s="181">
        <f>I1245+I1246</f>
        <v>2214102.7000000002</v>
      </c>
      <c r="J1244" s="181">
        <f>J1245+J1246</f>
        <v>6727.75</v>
      </c>
      <c r="K1244" s="181">
        <f>K1245+K1246</f>
        <v>7539</v>
      </c>
      <c r="L1244" s="123"/>
      <c r="M1244" s="123"/>
      <c r="N1244" s="123"/>
      <c r="O1244" s="123"/>
      <c r="P1244" s="123"/>
      <c r="Q1244" s="123"/>
      <c r="R1244" s="123"/>
      <c r="S1244" s="123"/>
      <c r="T1244" s="123"/>
      <c r="U1244" s="123"/>
      <c r="V1244" s="123"/>
      <c r="W1244" s="123"/>
      <c r="X1244" s="123"/>
      <c r="Y1244" s="123"/>
      <c r="Z1244" s="123"/>
      <c r="AA1244" s="123"/>
      <c r="AB1244" s="123"/>
      <c r="AC1244" s="123"/>
      <c r="AD1244" s="123"/>
      <c r="AE1244" s="123"/>
      <c r="AF1244" s="123"/>
      <c r="AG1244" s="123"/>
      <c r="AH1244" s="123"/>
      <c r="AI1244" s="123"/>
      <c r="AJ1244" s="123"/>
      <c r="AK1244" s="123"/>
      <c r="AL1244" s="123"/>
      <c r="AM1244" s="123"/>
      <c r="AN1244" s="123"/>
      <c r="AO1244" s="123"/>
      <c r="AP1244" s="123"/>
      <c r="AQ1244" s="123"/>
      <c r="AR1244" s="123"/>
      <c r="AS1244" s="123"/>
      <c r="AT1244" s="123"/>
      <c r="AU1244" s="123"/>
      <c r="AV1244" s="123"/>
      <c r="AW1244" s="123"/>
      <c r="AX1244" s="123"/>
      <c r="AY1244" s="123"/>
      <c r="AZ1244" s="123"/>
      <c r="BA1244" s="123"/>
      <c r="BB1244" s="123"/>
      <c r="BC1244" s="123"/>
      <c r="BD1244" s="123"/>
      <c r="BE1244" s="123"/>
      <c r="BF1244" s="123"/>
      <c r="BG1244" s="123"/>
      <c r="BH1244" s="123"/>
      <c r="BI1244" s="123"/>
      <c r="BJ1244" s="123"/>
      <c r="BK1244" s="123"/>
      <c r="BL1244" s="123"/>
      <c r="BM1244" s="123"/>
      <c r="BN1244" s="123"/>
      <c r="BO1244" s="123"/>
      <c r="BP1244" s="123"/>
      <c r="BQ1244" s="123"/>
      <c r="BR1244" s="123"/>
      <c r="BS1244" s="123"/>
      <c r="BT1244" s="123"/>
      <c r="BU1244" s="123"/>
      <c r="BV1244" s="123"/>
      <c r="BW1244" s="123"/>
      <c r="BX1244" s="123"/>
      <c r="BY1244" s="123"/>
      <c r="BZ1244" s="123"/>
      <c r="CA1244" s="123"/>
      <c r="CB1244" s="123"/>
      <c r="CC1244" s="123"/>
      <c r="CD1244" s="123"/>
      <c r="CE1244" s="123"/>
      <c r="CF1244" s="123"/>
      <c r="CG1244" s="123"/>
      <c r="CH1244" s="123"/>
      <c r="CI1244" s="123"/>
      <c r="CJ1244" s="123"/>
      <c r="CK1244" s="123"/>
      <c r="CL1244" s="123"/>
      <c r="CM1244" s="123"/>
      <c r="CN1244" s="123"/>
      <c r="CO1244" s="123"/>
      <c r="CP1244" s="123"/>
      <c r="CQ1244" s="123"/>
      <c r="CR1244" s="123"/>
      <c r="CS1244" s="123"/>
      <c r="CT1244" s="123"/>
      <c r="CU1244" s="123"/>
      <c r="CV1244" s="123"/>
      <c r="CW1244" s="123"/>
      <c r="CX1244" s="123"/>
      <c r="CY1244" s="123"/>
      <c r="CZ1244" s="123"/>
      <c r="DA1244" s="123"/>
      <c r="DB1244" s="123"/>
      <c r="DC1244" s="123"/>
      <c r="DD1244" s="123"/>
      <c r="DE1244" s="123"/>
      <c r="DF1244" s="123"/>
      <c r="DG1244" s="123"/>
      <c r="DH1244" s="123"/>
      <c r="DI1244" s="123"/>
      <c r="DJ1244" s="123"/>
      <c r="DK1244" s="123"/>
      <c r="DL1244" s="123"/>
      <c r="DM1244" s="123"/>
      <c r="DN1244" s="123"/>
      <c r="DO1244" s="123"/>
      <c r="DP1244" s="123"/>
      <c r="DQ1244" s="123"/>
      <c r="DR1244" s="123"/>
      <c r="DS1244" s="123"/>
      <c r="DT1244" s="123"/>
      <c r="DU1244" s="123"/>
      <c r="DV1244" s="123"/>
      <c r="DW1244" s="123"/>
      <c r="DX1244" s="123"/>
      <c r="DY1244" s="123"/>
      <c r="DZ1244" s="123"/>
      <c r="EA1244" s="123"/>
      <c r="EB1244" s="123"/>
      <c r="EC1244" s="123"/>
      <c r="ED1244" s="123"/>
      <c r="EE1244" s="123"/>
      <c r="EF1244" s="123"/>
      <c r="EG1244" s="123"/>
      <c r="EH1244" s="123"/>
      <c r="EI1244" s="123"/>
      <c r="EJ1244" s="123"/>
      <c r="EK1244" s="123"/>
      <c r="EL1244" s="123"/>
      <c r="EM1244" s="123"/>
      <c r="EN1244" s="123"/>
      <c r="EO1244" s="123"/>
      <c r="EP1244" s="123"/>
      <c r="EQ1244" s="123"/>
      <c r="ER1244" s="123"/>
      <c r="ES1244" s="123"/>
      <c r="ET1244" s="123"/>
      <c r="EU1244" s="123"/>
      <c r="EV1244" s="123"/>
      <c r="EW1244" s="123"/>
      <c r="EX1244" s="123"/>
      <c r="EY1244" s="123"/>
      <c r="EZ1244" s="123"/>
      <c r="FA1244" s="123"/>
      <c r="FB1244" s="123"/>
      <c r="FC1244" s="123"/>
      <c r="FD1244" s="123"/>
      <c r="FE1244" s="123"/>
      <c r="FF1244" s="123"/>
      <c r="FG1244" s="123"/>
      <c r="FH1244" s="123"/>
      <c r="FI1244" s="123"/>
      <c r="FJ1244" s="123"/>
      <c r="FK1244" s="123"/>
      <c r="FL1244" s="123"/>
      <c r="FM1244" s="123"/>
      <c r="FN1244" s="123"/>
      <c r="FO1244" s="123"/>
      <c r="FP1244" s="123"/>
      <c r="FQ1244" s="123"/>
      <c r="FR1244" s="123"/>
      <c r="FS1244" s="123"/>
      <c r="FT1244" s="123"/>
      <c r="FU1244" s="123"/>
      <c r="FV1244" s="123"/>
      <c r="FW1244" s="123"/>
      <c r="FX1244" s="123"/>
      <c r="FY1244" s="123"/>
      <c r="FZ1244" s="123"/>
      <c r="GA1244" s="123"/>
      <c r="GB1244" s="123"/>
      <c r="GC1244" s="123"/>
      <c r="GD1244" s="123"/>
      <c r="GE1244" s="123"/>
      <c r="GF1244" s="123"/>
      <c r="GG1244" s="123"/>
      <c r="GH1244" s="123"/>
      <c r="GI1244" s="123"/>
      <c r="GJ1244" s="123"/>
      <c r="GK1244" s="123"/>
      <c r="GL1244" s="123"/>
      <c r="GM1244" s="123"/>
      <c r="GN1244" s="123"/>
      <c r="GO1244" s="123"/>
      <c r="GP1244" s="123"/>
      <c r="GQ1244" s="123"/>
      <c r="GR1244" s="123"/>
      <c r="GS1244" s="123"/>
      <c r="GT1244" s="123"/>
      <c r="GU1244" s="123"/>
      <c r="GV1244" s="123"/>
      <c r="GW1244" s="123"/>
      <c r="GX1244" s="123"/>
      <c r="GY1244" s="123"/>
      <c r="GZ1244" s="123"/>
      <c r="HA1244" s="123"/>
      <c r="HB1244" s="123"/>
      <c r="HC1244" s="123"/>
      <c r="HD1244" s="123"/>
    </row>
    <row r="1245" spans="1:212" s="152" customFormat="1" x14ac:dyDescent="0.35">
      <c r="A1245" s="271">
        <v>55</v>
      </c>
      <c r="B1245" s="279"/>
      <c r="C1245" s="279"/>
      <c r="D1245" s="274"/>
      <c r="E1245" s="283"/>
      <c r="F1245" s="283"/>
      <c r="G1245" s="271"/>
      <c r="H1245" s="136" t="s">
        <v>635</v>
      </c>
      <c r="I1245" s="181">
        <v>2162364.89</v>
      </c>
      <c r="J1245" s="181">
        <f>I1245/D1244</f>
        <v>6570.54</v>
      </c>
      <c r="K1245" s="181">
        <v>7381</v>
      </c>
      <c r="L1245" s="123"/>
      <c r="M1245" s="123"/>
      <c r="N1245" s="123"/>
      <c r="O1245" s="123"/>
      <c r="P1245" s="123"/>
      <c r="Q1245" s="123"/>
      <c r="R1245" s="123"/>
      <c r="S1245" s="123"/>
      <c r="T1245" s="123"/>
      <c r="U1245" s="123"/>
      <c r="V1245" s="123"/>
      <c r="W1245" s="123"/>
      <c r="X1245" s="123"/>
      <c r="Y1245" s="123"/>
      <c r="Z1245" s="123"/>
      <c r="AA1245" s="123"/>
      <c r="AB1245" s="123"/>
      <c r="AC1245" s="123"/>
      <c r="AD1245" s="123"/>
      <c r="AE1245" s="123"/>
      <c r="AF1245" s="123"/>
      <c r="AG1245" s="123"/>
      <c r="AH1245" s="123"/>
      <c r="AI1245" s="123"/>
      <c r="AJ1245" s="123"/>
      <c r="AK1245" s="123"/>
      <c r="AL1245" s="123"/>
      <c r="AM1245" s="123"/>
      <c r="AN1245" s="123"/>
      <c r="AO1245" s="123"/>
      <c r="AP1245" s="123"/>
      <c r="AQ1245" s="123"/>
      <c r="AR1245" s="123"/>
      <c r="AS1245" s="123"/>
      <c r="AT1245" s="123"/>
      <c r="AU1245" s="123"/>
      <c r="AV1245" s="123"/>
      <c r="AW1245" s="123"/>
      <c r="AX1245" s="123"/>
      <c r="AY1245" s="123"/>
      <c r="AZ1245" s="123"/>
      <c r="BA1245" s="123"/>
      <c r="BB1245" s="123"/>
      <c r="BC1245" s="123"/>
      <c r="BD1245" s="123"/>
      <c r="BE1245" s="123"/>
      <c r="BF1245" s="123"/>
      <c r="BG1245" s="123"/>
      <c r="BH1245" s="123"/>
      <c r="BI1245" s="123"/>
      <c r="BJ1245" s="123"/>
      <c r="BK1245" s="123"/>
      <c r="BL1245" s="123"/>
      <c r="BM1245" s="123"/>
      <c r="BN1245" s="123"/>
      <c r="BO1245" s="123"/>
      <c r="BP1245" s="123"/>
      <c r="BQ1245" s="123"/>
      <c r="BR1245" s="123"/>
      <c r="BS1245" s="123"/>
      <c r="BT1245" s="123"/>
      <c r="BU1245" s="123"/>
      <c r="BV1245" s="123"/>
      <c r="BW1245" s="123"/>
      <c r="BX1245" s="123"/>
      <c r="BY1245" s="123"/>
      <c r="BZ1245" s="123"/>
      <c r="CA1245" s="123"/>
      <c r="CB1245" s="123"/>
      <c r="CC1245" s="123"/>
      <c r="CD1245" s="123"/>
      <c r="CE1245" s="123"/>
      <c r="CF1245" s="123"/>
      <c r="CG1245" s="123"/>
      <c r="CH1245" s="123"/>
      <c r="CI1245" s="123"/>
      <c r="CJ1245" s="123"/>
      <c r="CK1245" s="123"/>
      <c r="CL1245" s="123"/>
      <c r="CM1245" s="123"/>
      <c r="CN1245" s="123"/>
      <c r="CO1245" s="123"/>
      <c r="CP1245" s="123"/>
      <c r="CQ1245" s="123"/>
      <c r="CR1245" s="123"/>
      <c r="CS1245" s="123"/>
      <c r="CT1245" s="123"/>
      <c r="CU1245" s="123"/>
      <c r="CV1245" s="123"/>
      <c r="CW1245" s="123"/>
      <c r="CX1245" s="123"/>
      <c r="CY1245" s="123"/>
      <c r="CZ1245" s="123"/>
      <c r="DA1245" s="123"/>
      <c r="DB1245" s="123"/>
      <c r="DC1245" s="123"/>
      <c r="DD1245" s="123"/>
      <c r="DE1245" s="123"/>
      <c r="DF1245" s="123"/>
      <c r="DG1245" s="123"/>
      <c r="DH1245" s="123"/>
      <c r="DI1245" s="123"/>
      <c r="DJ1245" s="123"/>
      <c r="DK1245" s="123"/>
      <c r="DL1245" s="123"/>
      <c r="DM1245" s="123"/>
      <c r="DN1245" s="123"/>
      <c r="DO1245" s="123"/>
      <c r="DP1245" s="123"/>
      <c r="DQ1245" s="123"/>
      <c r="DR1245" s="123"/>
      <c r="DS1245" s="123"/>
      <c r="DT1245" s="123"/>
      <c r="DU1245" s="123"/>
      <c r="DV1245" s="123"/>
      <c r="DW1245" s="123"/>
      <c r="DX1245" s="123"/>
      <c r="DY1245" s="123"/>
      <c r="DZ1245" s="123"/>
      <c r="EA1245" s="123"/>
      <c r="EB1245" s="123"/>
      <c r="EC1245" s="123"/>
      <c r="ED1245" s="123"/>
      <c r="EE1245" s="123"/>
      <c r="EF1245" s="123"/>
      <c r="EG1245" s="123"/>
      <c r="EH1245" s="123"/>
      <c r="EI1245" s="123"/>
      <c r="EJ1245" s="123"/>
      <c r="EK1245" s="123"/>
      <c r="EL1245" s="123"/>
      <c r="EM1245" s="123"/>
      <c r="EN1245" s="123"/>
      <c r="EO1245" s="123"/>
      <c r="EP1245" s="123"/>
      <c r="EQ1245" s="123"/>
      <c r="ER1245" s="123"/>
      <c r="ES1245" s="123"/>
      <c r="ET1245" s="123"/>
      <c r="EU1245" s="123"/>
      <c r="EV1245" s="123"/>
      <c r="EW1245" s="123"/>
      <c r="EX1245" s="123"/>
      <c r="EY1245" s="123"/>
      <c r="EZ1245" s="123"/>
      <c r="FA1245" s="123"/>
      <c r="FB1245" s="123"/>
      <c r="FC1245" s="123"/>
      <c r="FD1245" s="123"/>
      <c r="FE1245" s="123"/>
      <c r="FF1245" s="123"/>
      <c r="FG1245" s="123"/>
      <c r="FH1245" s="123"/>
      <c r="FI1245" s="123"/>
      <c r="FJ1245" s="123"/>
      <c r="FK1245" s="123"/>
      <c r="FL1245" s="123"/>
      <c r="FM1245" s="123"/>
      <c r="FN1245" s="123"/>
      <c r="FO1245" s="123"/>
      <c r="FP1245" s="123"/>
      <c r="FQ1245" s="123"/>
      <c r="FR1245" s="123"/>
      <c r="FS1245" s="123"/>
      <c r="FT1245" s="123"/>
      <c r="FU1245" s="123"/>
      <c r="FV1245" s="123"/>
      <c r="FW1245" s="123"/>
      <c r="FX1245" s="123"/>
      <c r="FY1245" s="123"/>
      <c r="FZ1245" s="123"/>
      <c r="GA1245" s="123"/>
      <c r="GB1245" s="123"/>
      <c r="GC1245" s="123"/>
      <c r="GD1245" s="123"/>
      <c r="GE1245" s="123"/>
      <c r="GF1245" s="123"/>
      <c r="GG1245" s="123"/>
      <c r="GH1245" s="123"/>
      <c r="GI1245" s="123"/>
      <c r="GJ1245" s="123"/>
      <c r="GK1245" s="123"/>
      <c r="GL1245" s="123"/>
      <c r="GM1245" s="123"/>
      <c r="GN1245" s="123"/>
      <c r="GO1245" s="123"/>
      <c r="GP1245" s="123"/>
      <c r="GQ1245" s="123"/>
      <c r="GR1245" s="123"/>
      <c r="GS1245" s="123"/>
      <c r="GT1245" s="123"/>
      <c r="GU1245" s="123"/>
      <c r="GV1245" s="123"/>
      <c r="GW1245" s="123"/>
      <c r="GX1245" s="123"/>
      <c r="GY1245" s="123"/>
      <c r="GZ1245" s="123"/>
      <c r="HA1245" s="123"/>
      <c r="HB1245" s="123"/>
      <c r="HC1245" s="123"/>
      <c r="HD1245" s="123"/>
    </row>
    <row r="1246" spans="1:212" s="152" customFormat="1" x14ac:dyDescent="0.35">
      <c r="A1246" s="272">
        <v>56</v>
      </c>
      <c r="B1246" s="285"/>
      <c r="C1246" s="285"/>
      <c r="D1246" s="275"/>
      <c r="E1246" s="284"/>
      <c r="F1246" s="284"/>
      <c r="G1246" s="272"/>
      <c r="H1246" s="136" t="s">
        <v>75</v>
      </c>
      <c r="I1246" s="181">
        <v>51737.81</v>
      </c>
      <c r="J1246" s="181">
        <f>I1246/D1244</f>
        <v>157.21</v>
      </c>
      <c r="K1246" s="181">
        <v>158</v>
      </c>
      <c r="L1246" s="123"/>
      <c r="M1246" s="123"/>
      <c r="N1246" s="123"/>
      <c r="O1246" s="123"/>
      <c r="P1246" s="123"/>
      <c r="Q1246" s="123"/>
      <c r="R1246" s="123"/>
      <c r="S1246" s="123"/>
      <c r="T1246" s="123"/>
      <c r="U1246" s="123"/>
      <c r="V1246" s="123"/>
      <c r="W1246" s="123"/>
      <c r="X1246" s="123"/>
      <c r="Y1246" s="123"/>
      <c r="Z1246" s="123"/>
      <c r="AA1246" s="123"/>
      <c r="AB1246" s="123"/>
      <c r="AC1246" s="123"/>
      <c r="AD1246" s="123"/>
      <c r="AE1246" s="123"/>
      <c r="AF1246" s="123"/>
      <c r="AG1246" s="123"/>
      <c r="AH1246" s="123"/>
      <c r="AI1246" s="123"/>
      <c r="AJ1246" s="123"/>
      <c r="AK1246" s="123"/>
      <c r="AL1246" s="123"/>
      <c r="AM1246" s="123"/>
      <c r="AN1246" s="123"/>
      <c r="AO1246" s="123"/>
      <c r="AP1246" s="123"/>
      <c r="AQ1246" s="123"/>
      <c r="AR1246" s="123"/>
      <c r="AS1246" s="123"/>
      <c r="AT1246" s="123"/>
      <c r="AU1246" s="123"/>
      <c r="AV1246" s="123"/>
      <c r="AW1246" s="123"/>
      <c r="AX1246" s="123"/>
      <c r="AY1246" s="123"/>
      <c r="AZ1246" s="123"/>
      <c r="BA1246" s="123"/>
      <c r="BB1246" s="123"/>
      <c r="BC1246" s="123"/>
      <c r="BD1246" s="123"/>
      <c r="BE1246" s="123"/>
      <c r="BF1246" s="123"/>
      <c r="BG1246" s="123"/>
      <c r="BH1246" s="123"/>
      <c r="BI1246" s="123"/>
      <c r="BJ1246" s="123"/>
      <c r="BK1246" s="123"/>
      <c r="BL1246" s="123"/>
      <c r="BM1246" s="123"/>
      <c r="BN1246" s="123"/>
      <c r="BO1246" s="123"/>
      <c r="BP1246" s="123"/>
      <c r="BQ1246" s="123"/>
      <c r="BR1246" s="123"/>
      <c r="BS1246" s="123"/>
      <c r="BT1246" s="123"/>
      <c r="BU1246" s="123"/>
      <c r="BV1246" s="123"/>
      <c r="BW1246" s="123"/>
      <c r="BX1246" s="123"/>
      <c r="BY1246" s="123"/>
      <c r="BZ1246" s="123"/>
      <c r="CA1246" s="123"/>
      <c r="CB1246" s="123"/>
      <c r="CC1246" s="123"/>
      <c r="CD1246" s="123"/>
      <c r="CE1246" s="123"/>
      <c r="CF1246" s="123"/>
      <c r="CG1246" s="123"/>
      <c r="CH1246" s="123"/>
      <c r="CI1246" s="123"/>
      <c r="CJ1246" s="123"/>
      <c r="CK1246" s="123"/>
      <c r="CL1246" s="123"/>
      <c r="CM1246" s="123"/>
      <c r="CN1246" s="123"/>
      <c r="CO1246" s="123"/>
      <c r="CP1246" s="123"/>
      <c r="CQ1246" s="123"/>
      <c r="CR1246" s="123"/>
      <c r="CS1246" s="123"/>
      <c r="CT1246" s="123"/>
      <c r="CU1246" s="123"/>
      <c r="CV1246" s="123"/>
      <c r="CW1246" s="123"/>
      <c r="CX1246" s="123"/>
      <c r="CY1246" s="123"/>
      <c r="CZ1246" s="123"/>
      <c r="DA1246" s="123"/>
      <c r="DB1246" s="123"/>
      <c r="DC1246" s="123"/>
      <c r="DD1246" s="123"/>
      <c r="DE1246" s="123"/>
      <c r="DF1246" s="123"/>
      <c r="DG1246" s="123"/>
      <c r="DH1246" s="123"/>
      <c r="DI1246" s="123"/>
      <c r="DJ1246" s="123"/>
      <c r="DK1246" s="123"/>
      <c r="DL1246" s="123"/>
      <c r="DM1246" s="123"/>
      <c r="DN1246" s="123"/>
      <c r="DO1246" s="123"/>
      <c r="DP1246" s="123"/>
      <c r="DQ1246" s="123"/>
      <c r="DR1246" s="123"/>
      <c r="DS1246" s="123"/>
      <c r="DT1246" s="123"/>
      <c r="DU1246" s="123"/>
      <c r="DV1246" s="123"/>
      <c r="DW1246" s="123"/>
      <c r="DX1246" s="123"/>
      <c r="DY1246" s="123"/>
      <c r="DZ1246" s="123"/>
      <c r="EA1246" s="123"/>
      <c r="EB1246" s="123"/>
      <c r="EC1246" s="123"/>
      <c r="ED1246" s="123"/>
      <c r="EE1246" s="123"/>
      <c r="EF1246" s="123"/>
      <c r="EG1246" s="123"/>
      <c r="EH1246" s="123"/>
      <c r="EI1246" s="123"/>
      <c r="EJ1246" s="123"/>
      <c r="EK1246" s="123"/>
      <c r="EL1246" s="123"/>
      <c r="EM1246" s="123"/>
      <c r="EN1246" s="123"/>
      <c r="EO1246" s="123"/>
      <c r="EP1246" s="123"/>
      <c r="EQ1246" s="123"/>
      <c r="ER1246" s="123"/>
      <c r="ES1246" s="123"/>
      <c r="ET1246" s="123"/>
      <c r="EU1246" s="123"/>
      <c r="EV1246" s="123"/>
      <c r="EW1246" s="123"/>
      <c r="EX1246" s="123"/>
      <c r="EY1246" s="123"/>
      <c r="EZ1246" s="123"/>
      <c r="FA1246" s="123"/>
      <c r="FB1246" s="123"/>
      <c r="FC1246" s="123"/>
      <c r="FD1246" s="123"/>
      <c r="FE1246" s="123"/>
      <c r="FF1246" s="123"/>
      <c r="FG1246" s="123"/>
      <c r="FH1246" s="123"/>
      <c r="FI1246" s="123"/>
      <c r="FJ1246" s="123"/>
      <c r="FK1246" s="123"/>
      <c r="FL1246" s="123"/>
      <c r="FM1246" s="123"/>
      <c r="FN1246" s="123"/>
      <c r="FO1246" s="123"/>
      <c r="FP1246" s="123"/>
      <c r="FQ1246" s="123"/>
      <c r="FR1246" s="123"/>
      <c r="FS1246" s="123"/>
      <c r="FT1246" s="123"/>
      <c r="FU1246" s="123"/>
      <c r="FV1246" s="123"/>
      <c r="FW1246" s="123"/>
      <c r="FX1246" s="123"/>
      <c r="FY1246" s="123"/>
      <c r="FZ1246" s="123"/>
      <c r="GA1246" s="123"/>
      <c r="GB1246" s="123"/>
      <c r="GC1246" s="123"/>
      <c r="GD1246" s="123"/>
      <c r="GE1246" s="123"/>
      <c r="GF1246" s="123"/>
      <c r="GG1246" s="123"/>
      <c r="GH1246" s="123"/>
      <c r="GI1246" s="123"/>
      <c r="GJ1246" s="123"/>
      <c r="GK1246" s="123"/>
      <c r="GL1246" s="123"/>
      <c r="GM1246" s="123"/>
      <c r="GN1246" s="123"/>
      <c r="GO1246" s="123"/>
      <c r="GP1246" s="123"/>
      <c r="GQ1246" s="123"/>
      <c r="GR1246" s="123"/>
      <c r="GS1246" s="123"/>
      <c r="GT1246" s="123"/>
      <c r="GU1246" s="123"/>
      <c r="GV1246" s="123"/>
      <c r="GW1246" s="123"/>
      <c r="GX1246" s="123"/>
      <c r="GY1246" s="123"/>
      <c r="GZ1246" s="123"/>
      <c r="HA1246" s="123"/>
      <c r="HB1246" s="123"/>
      <c r="HC1246" s="123"/>
      <c r="HD1246" s="123"/>
    </row>
    <row r="1247" spans="1:212" s="152" customFormat="1" x14ac:dyDescent="0.35">
      <c r="A1247" s="138" t="s">
        <v>38</v>
      </c>
      <c r="B1247" s="143"/>
      <c r="C1247" s="144"/>
      <c r="D1247" s="166">
        <f>D1248+D1251</f>
        <v>5766.1</v>
      </c>
      <c r="E1247" s="192"/>
      <c r="F1247" s="192"/>
      <c r="G1247" s="146"/>
      <c r="H1247" s="131"/>
      <c r="I1247" s="181">
        <f>I1248+I1251</f>
        <v>2459431.6800000002</v>
      </c>
      <c r="J1247" s="181"/>
      <c r="K1247" s="181"/>
      <c r="L1247" s="123"/>
      <c r="M1247" s="123"/>
      <c r="N1247" s="123"/>
      <c r="O1247" s="123"/>
      <c r="P1247" s="123"/>
      <c r="Q1247" s="123"/>
      <c r="R1247" s="123"/>
      <c r="S1247" s="123"/>
      <c r="T1247" s="123"/>
      <c r="U1247" s="123"/>
      <c r="V1247" s="123"/>
      <c r="W1247" s="123"/>
      <c r="X1247" s="123"/>
      <c r="Y1247" s="123"/>
      <c r="Z1247" s="123"/>
      <c r="AA1247" s="123"/>
      <c r="AB1247" s="123"/>
      <c r="AC1247" s="123"/>
      <c r="AD1247" s="123"/>
      <c r="AE1247" s="123"/>
      <c r="AF1247" s="123"/>
      <c r="AG1247" s="123"/>
      <c r="AH1247" s="123"/>
      <c r="AI1247" s="123"/>
      <c r="AJ1247" s="123"/>
      <c r="AK1247" s="123"/>
      <c r="AL1247" s="123"/>
      <c r="AM1247" s="123"/>
      <c r="AN1247" s="123"/>
      <c r="AO1247" s="123"/>
      <c r="AP1247" s="123"/>
      <c r="AQ1247" s="123"/>
      <c r="AR1247" s="123"/>
      <c r="AS1247" s="123"/>
      <c r="AT1247" s="123"/>
      <c r="AU1247" s="123"/>
      <c r="AV1247" s="123"/>
      <c r="AW1247" s="123"/>
      <c r="AX1247" s="123"/>
      <c r="AY1247" s="123"/>
      <c r="AZ1247" s="123"/>
      <c r="BA1247" s="123"/>
      <c r="BB1247" s="123"/>
      <c r="BC1247" s="123"/>
      <c r="BD1247" s="123"/>
      <c r="BE1247" s="123"/>
      <c r="BF1247" s="123"/>
      <c r="BG1247" s="123"/>
      <c r="BH1247" s="123"/>
      <c r="BI1247" s="123"/>
      <c r="BJ1247" s="123"/>
      <c r="BK1247" s="123"/>
      <c r="BL1247" s="123"/>
      <c r="BM1247" s="123"/>
      <c r="BN1247" s="123"/>
      <c r="BO1247" s="123"/>
      <c r="BP1247" s="123"/>
      <c r="BQ1247" s="123"/>
      <c r="BR1247" s="123"/>
      <c r="BS1247" s="123"/>
      <c r="BT1247" s="123"/>
      <c r="BU1247" s="123"/>
      <c r="BV1247" s="123"/>
      <c r="BW1247" s="123"/>
      <c r="BX1247" s="123"/>
      <c r="BY1247" s="123"/>
      <c r="BZ1247" s="123"/>
      <c r="CA1247" s="123"/>
      <c r="CB1247" s="123"/>
      <c r="CC1247" s="123"/>
      <c r="CD1247" s="123"/>
      <c r="CE1247" s="123"/>
      <c r="CF1247" s="123"/>
      <c r="CG1247" s="123"/>
      <c r="CH1247" s="123"/>
      <c r="CI1247" s="123"/>
      <c r="CJ1247" s="123"/>
      <c r="CK1247" s="123"/>
      <c r="CL1247" s="123"/>
      <c r="CM1247" s="123"/>
      <c r="CN1247" s="123"/>
      <c r="CO1247" s="123"/>
      <c r="CP1247" s="123"/>
      <c r="CQ1247" s="123"/>
      <c r="CR1247" s="123"/>
      <c r="CS1247" s="123"/>
      <c r="CT1247" s="123"/>
      <c r="CU1247" s="123"/>
      <c r="CV1247" s="123"/>
      <c r="CW1247" s="123"/>
      <c r="CX1247" s="123"/>
      <c r="CY1247" s="123"/>
      <c r="CZ1247" s="123"/>
      <c r="DA1247" s="123"/>
      <c r="DB1247" s="123"/>
      <c r="DC1247" s="123"/>
      <c r="DD1247" s="123"/>
      <c r="DE1247" s="123"/>
      <c r="DF1247" s="123"/>
      <c r="DG1247" s="123"/>
      <c r="DH1247" s="123"/>
      <c r="DI1247" s="123"/>
      <c r="DJ1247" s="123"/>
      <c r="DK1247" s="123"/>
      <c r="DL1247" s="123"/>
      <c r="DM1247" s="123"/>
      <c r="DN1247" s="123"/>
      <c r="DO1247" s="123"/>
      <c r="DP1247" s="123"/>
      <c r="DQ1247" s="123"/>
      <c r="DR1247" s="123"/>
      <c r="DS1247" s="123"/>
      <c r="DT1247" s="123"/>
      <c r="DU1247" s="123"/>
      <c r="DV1247" s="123"/>
      <c r="DW1247" s="123"/>
      <c r="DX1247" s="123"/>
      <c r="DY1247" s="123"/>
      <c r="DZ1247" s="123"/>
      <c r="EA1247" s="123"/>
      <c r="EB1247" s="123"/>
      <c r="EC1247" s="123"/>
      <c r="ED1247" s="123"/>
      <c r="EE1247" s="123"/>
      <c r="EF1247" s="123"/>
      <c r="EG1247" s="123"/>
      <c r="EH1247" s="123"/>
      <c r="EI1247" s="123"/>
      <c r="EJ1247" s="123"/>
      <c r="EK1247" s="123"/>
      <c r="EL1247" s="123"/>
      <c r="EM1247" s="123"/>
      <c r="EN1247" s="123"/>
      <c r="EO1247" s="123"/>
      <c r="EP1247" s="123"/>
      <c r="EQ1247" s="123"/>
      <c r="ER1247" s="123"/>
      <c r="ES1247" s="123"/>
      <c r="ET1247" s="123"/>
      <c r="EU1247" s="123"/>
      <c r="EV1247" s="123"/>
      <c r="EW1247" s="123"/>
      <c r="EX1247" s="123"/>
      <c r="EY1247" s="123"/>
      <c r="EZ1247" s="123"/>
      <c r="FA1247" s="123"/>
      <c r="FB1247" s="123"/>
      <c r="FC1247" s="123"/>
      <c r="FD1247" s="123"/>
      <c r="FE1247" s="123"/>
      <c r="FF1247" s="123"/>
      <c r="FG1247" s="123"/>
      <c r="FH1247" s="123"/>
      <c r="FI1247" s="123"/>
      <c r="FJ1247" s="123"/>
      <c r="FK1247" s="123"/>
      <c r="FL1247" s="123"/>
      <c r="FM1247" s="123"/>
      <c r="FN1247" s="123"/>
      <c r="FO1247" s="123"/>
      <c r="FP1247" s="123"/>
      <c r="FQ1247" s="123"/>
      <c r="FR1247" s="123"/>
      <c r="FS1247" s="123"/>
      <c r="FT1247" s="123"/>
      <c r="FU1247" s="123"/>
      <c r="FV1247" s="123"/>
      <c r="FW1247" s="123"/>
      <c r="FX1247" s="123"/>
      <c r="FY1247" s="123"/>
      <c r="FZ1247" s="123"/>
      <c r="GA1247" s="123"/>
      <c r="GB1247" s="123"/>
      <c r="GC1247" s="123"/>
      <c r="GD1247" s="123"/>
      <c r="GE1247" s="123"/>
      <c r="GF1247" s="123"/>
      <c r="GG1247" s="123"/>
      <c r="GH1247" s="123"/>
      <c r="GI1247" s="123"/>
      <c r="GJ1247" s="123"/>
      <c r="GK1247" s="123"/>
      <c r="GL1247" s="123"/>
      <c r="GM1247" s="123"/>
      <c r="GN1247" s="123"/>
      <c r="GO1247" s="123"/>
      <c r="GP1247" s="123"/>
      <c r="GQ1247" s="123"/>
      <c r="GR1247" s="123"/>
      <c r="GS1247" s="123"/>
      <c r="GT1247" s="123"/>
      <c r="GU1247" s="123"/>
      <c r="GV1247" s="123"/>
      <c r="GW1247" s="123"/>
      <c r="GX1247" s="123"/>
      <c r="GY1247" s="123"/>
      <c r="GZ1247" s="123"/>
      <c r="HA1247" s="123"/>
      <c r="HB1247" s="123"/>
      <c r="HC1247" s="123"/>
      <c r="HD1247" s="123"/>
    </row>
    <row r="1248" spans="1:212" s="152" customFormat="1" x14ac:dyDescent="0.35">
      <c r="A1248" s="270">
        <v>1</v>
      </c>
      <c r="B1248" s="270">
        <v>5036</v>
      </c>
      <c r="C1248" s="278" t="s">
        <v>175</v>
      </c>
      <c r="D1248" s="273">
        <v>485.3</v>
      </c>
      <c r="E1248" s="282" t="s">
        <v>633</v>
      </c>
      <c r="F1248" s="282">
        <v>2</v>
      </c>
      <c r="G1248" s="270" t="s">
        <v>71</v>
      </c>
      <c r="H1248" s="136" t="s">
        <v>72</v>
      </c>
      <c r="I1248" s="181">
        <f>I1249+I1250</f>
        <v>2159484.88</v>
      </c>
      <c r="J1248" s="181">
        <f>J1249+J1250</f>
        <v>4449.79</v>
      </c>
      <c r="K1248" s="181">
        <f>K1249+K1250</f>
        <v>7539</v>
      </c>
      <c r="L1248" s="123"/>
      <c r="M1248" s="123"/>
      <c r="N1248" s="123"/>
      <c r="O1248" s="123"/>
      <c r="P1248" s="123"/>
      <c r="Q1248" s="123"/>
      <c r="R1248" s="123"/>
      <c r="S1248" s="123"/>
      <c r="T1248" s="123"/>
      <c r="U1248" s="123"/>
      <c r="V1248" s="123"/>
      <c r="W1248" s="123"/>
      <c r="X1248" s="123"/>
      <c r="Y1248" s="123"/>
      <c r="Z1248" s="123"/>
      <c r="AA1248" s="123"/>
      <c r="AB1248" s="123"/>
      <c r="AC1248" s="123"/>
      <c r="AD1248" s="123"/>
      <c r="AE1248" s="123"/>
      <c r="AF1248" s="123"/>
      <c r="AG1248" s="123"/>
      <c r="AH1248" s="123"/>
      <c r="AI1248" s="123"/>
      <c r="AJ1248" s="123"/>
      <c r="AK1248" s="123"/>
      <c r="AL1248" s="123"/>
      <c r="AM1248" s="123"/>
      <c r="AN1248" s="123"/>
      <c r="AO1248" s="123"/>
      <c r="AP1248" s="123"/>
      <c r="AQ1248" s="123"/>
      <c r="AR1248" s="123"/>
      <c r="AS1248" s="123"/>
      <c r="AT1248" s="123"/>
      <c r="AU1248" s="123"/>
      <c r="AV1248" s="123"/>
      <c r="AW1248" s="123"/>
      <c r="AX1248" s="123"/>
      <c r="AY1248" s="123"/>
      <c r="AZ1248" s="123"/>
      <c r="BA1248" s="123"/>
      <c r="BB1248" s="123"/>
      <c r="BC1248" s="123"/>
      <c r="BD1248" s="123"/>
      <c r="BE1248" s="123"/>
      <c r="BF1248" s="123"/>
      <c r="BG1248" s="123"/>
      <c r="BH1248" s="123"/>
      <c r="BI1248" s="123"/>
      <c r="BJ1248" s="123"/>
      <c r="BK1248" s="123"/>
      <c r="BL1248" s="123"/>
      <c r="BM1248" s="123"/>
      <c r="BN1248" s="123"/>
      <c r="BO1248" s="123"/>
      <c r="BP1248" s="123"/>
      <c r="BQ1248" s="123"/>
      <c r="BR1248" s="123"/>
      <c r="BS1248" s="123"/>
      <c r="BT1248" s="123"/>
      <c r="BU1248" s="123"/>
      <c r="BV1248" s="123"/>
      <c r="BW1248" s="123"/>
      <c r="BX1248" s="123"/>
      <c r="BY1248" s="123"/>
      <c r="BZ1248" s="123"/>
      <c r="CA1248" s="123"/>
      <c r="CB1248" s="123"/>
      <c r="CC1248" s="123"/>
      <c r="CD1248" s="123"/>
      <c r="CE1248" s="123"/>
      <c r="CF1248" s="123"/>
      <c r="CG1248" s="123"/>
      <c r="CH1248" s="123"/>
      <c r="CI1248" s="123"/>
      <c r="CJ1248" s="123"/>
      <c r="CK1248" s="123"/>
      <c r="CL1248" s="123"/>
      <c r="CM1248" s="123"/>
      <c r="CN1248" s="123"/>
      <c r="CO1248" s="123"/>
      <c r="CP1248" s="123"/>
      <c r="CQ1248" s="123"/>
      <c r="CR1248" s="123"/>
      <c r="CS1248" s="123"/>
      <c r="CT1248" s="123"/>
      <c r="CU1248" s="123"/>
      <c r="CV1248" s="123"/>
      <c r="CW1248" s="123"/>
      <c r="CX1248" s="123"/>
      <c r="CY1248" s="123"/>
      <c r="CZ1248" s="123"/>
      <c r="DA1248" s="123"/>
      <c r="DB1248" s="123"/>
      <c r="DC1248" s="123"/>
      <c r="DD1248" s="123"/>
      <c r="DE1248" s="123"/>
      <c r="DF1248" s="123"/>
      <c r="DG1248" s="123"/>
      <c r="DH1248" s="123"/>
      <c r="DI1248" s="123"/>
      <c r="DJ1248" s="123"/>
      <c r="DK1248" s="123"/>
      <c r="DL1248" s="123"/>
      <c r="DM1248" s="123"/>
      <c r="DN1248" s="123"/>
      <c r="DO1248" s="123"/>
      <c r="DP1248" s="123"/>
      <c r="DQ1248" s="123"/>
      <c r="DR1248" s="123"/>
      <c r="DS1248" s="123"/>
      <c r="DT1248" s="123"/>
      <c r="DU1248" s="123"/>
      <c r="DV1248" s="123"/>
      <c r="DW1248" s="123"/>
      <c r="DX1248" s="123"/>
      <c r="DY1248" s="123"/>
      <c r="DZ1248" s="123"/>
      <c r="EA1248" s="123"/>
      <c r="EB1248" s="123"/>
      <c r="EC1248" s="123"/>
      <c r="ED1248" s="123"/>
      <c r="EE1248" s="123"/>
      <c r="EF1248" s="123"/>
      <c r="EG1248" s="123"/>
      <c r="EH1248" s="123"/>
      <c r="EI1248" s="123"/>
      <c r="EJ1248" s="123"/>
      <c r="EK1248" s="123"/>
      <c r="EL1248" s="123"/>
      <c r="EM1248" s="123"/>
      <c r="EN1248" s="123"/>
      <c r="EO1248" s="123"/>
      <c r="EP1248" s="123"/>
      <c r="EQ1248" s="123"/>
      <c r="ER1248" s="123"/>
      <c r="ES1248" s="123"/>
      <c r="ET1248" s="123"/>
      <c r="EU1248" s="123"/>
      <c r="EV1248" s="123"/>
      <c r="EW1248" s="123"/>
      <c r="EX1248" s="123"/>
      <c r="EY1248" s="123"/>
      <c r="EZ1248" s="123"/>
      <c r="FA1248" s="123"/>
      <c r="FB1248" s="123"/>
      <c r="FC1248" s="123"/>
      <c r="FD1248" s="123"/>
      <c r="FE1248" s="123"/>
      <c r="FF1248" s="123"/>
      <c r="FG1248" s="123"/>
      <c r="FH1248" s="123"/>
      <c r="FI1248" s="123"/>
      <c r="FJ1248" s="123"/>
      <c r="FK1248" s="123"/>
      <c r="FL1248" s="123"/>
      <c r="FM1248" s="123"/>
      <c r="FN1248" s="123"/>
      <c r="FO1248" s="123"/>
      <c r="FP1248" s="123"/>
      <c r="FQ1248" s="123"/>
      <c r="FR1248" s="123"/>
      <c r="FS1248" s="123"/>
      <c r="FT1248" s="123"/>
      <c r="FU1248" s="123"/>
      <c r="FV1248" s="123"/>
      <c r="FW1248" s="123"/>
      <c r="FX1248" s="123"/>
      <c r="FY1248" s="123"/>
      <c r="FZ1248" s="123"/>
      <c r="GA1248" s="123"/>
      <c r="GB1248" s="123"/>
      <c r="GC1248" s="123"/>
      <c r="GD1248" s="123"/>
      <c r="GE1248" s="123"/>
      <c r="GF1248" s="123"/>
      <c r="GG1248" s="123"/>
      <c r="GH1248" s="123"/>
      <c r="GI1248" s="123"/>
      <c r="GJ1248" s="123"/>
      <c r="GK1248" s="123"/>
      <c r="GL1248" s="123"/>
      <c r="GM1248" s="123"/>
      <c r="GN1248" s="123"/>
      <c r="GO1248" s="123"/>
      <c r="GP1248" s="123"/>
      <c r="GQ1248" s="123"/>
      <c r="GR1248" s="123"/>
      <c r="GS1248" s="123"/>
      <c r="GT1248" s="123"/>
      <c r="GU1248" s="123"/>
      <c r="GV1248" s="123"/>
      <c r="GW1248" s="123"/>
      <c r="GX1248" s="123"/>
      <c r="GY1248" s="123"/>
      <c r="GZ1248" s="123"/>
      <c r="HA1248" s="123"/>
      <c r="HB1248" s="123"/>
      <c r="HC1248" s="123"/>
      <c r="HD1248" s="123"/>
    </row>
    <row r="1249" spans="1:212" s="152" customFormat="1" x14ac:dyDescent="0.35">
      <c r="A1249" s="271">
        <v>61</v>
      </c>
      <c r="B1249" s="271"/>
      <c r="C1249" s="279"/>
      <c r="D1249" s="274"/>
      <c r="E1249" s="283"/>
      <c r="F1249" s="283"/>
      <c r="G1249" s="271"/>
      <c r="H1249" s="136" t="s">
        <v>635</v>
      </c>
      <c r="I1249" s="181">
        <f>2993463.93*0.7</f>
        <v>2095424.75</v>
      </c>
      <c r="J1249" s="181">
        <f>I1249/D1248</f>
        <v>4317.79</v>
      </c>
      <c r="K1249" s="181">
        <v>7381</v>
      </c>
      <c r="L1249" s="123"/>
      <c r="M1249" s="123"/>
      <c r="N1249" s="123"/>
      <c r="O1249" s="123"/>
      <c r="P1249" s="123"/>
      <c r="Q1249" s="123"/>
      <c r="R1249" s="123"/>
      <c r="S1249" s="123"/>
      <c r="T1249" s="123"/>
      <c r="U1249" s="123"/>
      <c r="V1249" s="123"/>
      <c r="W1249" s="123"/>
      <c r="X1249" s="123"/>
      <c r="Y1249" s="123"/>
      <c r="Z1249" s="123"/>
      <c r="AA1249" s="123"/>
      <c r="AB1249" s="123"/>
      <c r="AC1249" s="123"/>
      <c r="AD1249" s="123"/>
      <c r="AE1249" s="123"/>
      <c r="AF1249" s="123"/>
      <c r="AG1249" s="123"/>
      <c r="AH1249" s="123"/>
      <c r="AI1249" s="123"/>
      <c r="AJ1249" s="123"/>
      <c r="AK1249" s="123"/>
      <c r="AL1249" s="123"/>
      <c r="AM1249" s="123"/>
      <c r="AN1249" s="123"/>
      <c r="AO1249" s="123"/>
      <c r="AP1249" s="123"/>
      <c r="AQ1249" s="123"/>
      <c r="AR1249" s="123"/>
      <c r="AS1249" s="123"/>
      <c r="AT1249" s="123"/>
      <c r="AU1249" s="123"/>
      <c r="AV1249" s="123"/>
      <c r="AW1249" s="123"/>
      <c r="AX1249" s="123"/>
      <c r="AY1249" s="123"/>
      <c r="AZ1249" s="123"/>
      <c r="BA1249" s="123"/>
      <c r="BB1249" s="123"/>
      <c r="BC1249" s="123"/>
      <c r="BD1249" s="123"/>
      <c r="BE1249" s="123"/>
      <c r="BF1249" s="123"/>
      <c r="BG1249" s="123"/>
      <c r="BH1249" s="123"/>
      <c r="BI1249" s="123"/>
      <c r="BJ1249" s="123"/>
      <c r="BK1249" s="123"/>
      <c r="BL1249" s="123"/>
      <c r="BM1249" s="123"/>
      <c r="BN1249" s="123"/>
      <c r="BO1249" s="123"/>
      <c r="BP1249" s="123"/>
      <c r="BQ1249" s="123"/>
      <c r="BR1249" s="123"/>
      <c r="BS1249" s="123"/>
      <c r="BT1249" s="123"/>
      <c r="BU1249" s="123"/>
      <c r="BV1249" s="123"/>
      <c r="BW1249" s="123"/>
      <c r="BX1249" s="123"/>
      <c r="BY1249" s="123"/>
      <c r="BZ1249" s="123"/>
      <c r="CA1249" s="123"/>
      <c r="CB1249" s="123"/>
      <c r="CC1249" s="123"/>
      <c r="CD1249" s="123"/>
      <c r="CE1249" s="123"/>
      <c r="CF1249" s="123"/>
      <c r="CG1249" s="123"/>
      <c r="CH1249" s="123"/>
      <c r="CI1249" s="123"/>
      <c r="CJ1249" s="123"/>
      <c r="CK1249" s="123"/>
      <c r="CL1249" s="123"/>
      <c r="CM1249" s="123"/>
      <c r="CN1249" s="123"/>
      <c r="CO1249" s="123"/>
      <c r="CP1249" s="123"/>
      <c r="CQ1249" s="123"/>
      <c r="CR1249" s="123"/>
      <c r="CS1249" s="123"/>
      <c r="CT1249" s="123"/>
      <c r="CU1249" s="123"/>
      <c r="CV1249" s="123"/>
      <c r="CW1249" s="123"/>
      <c r="CX1249" s="123"/>
      <c r="CY1249" s="123"/>
      <c r="CZ1249" s="123"/>
      <c r="DA1249" s="123"/>
      <c r="DB1249" s="123"/>
      <c r="DC1249" s="123"/>
      <c r="DD1249" s="123"/>
      <c r="DE1249" s="123"/>
      <c r="DF1249" s="123"/>
      <c r="DG1249" s="123"/>
      <c r="DH1249" s="123"/>
      <c r="DI1249" s="123"/>
      <c r="DJ1249" s="123"/>
      <c r="DK1249" s="123"/>
      <c r="DL1249" s="123"/>
      <c r="DM1249" s="123"/>
      <c r="DN1249" s="123"/>
      <c r="DO1249" s="123"/>
      <c r="DP1249" s="123"/>
      <c r="DQ1249" s="123"/>
      <c r="DR1249" s="123"/>
      <c r="DS1249" s="123"/>
      <c r="DT1249" s="123"/>
      <c r="DU1249" s="123"/>
      <c r="DV1249" s="123"/>
      <c r="DW1249" s="123"/>
      <c r="DX1249" s="123"/>
      <c r="DY1249" s="123"/>
      <c r="DZ1249" s="123"/>
      <c r="EA1249" s="123"/>
      <c r="EB1249" s="123"/>
      <c r="EC1249" s="123"/>
      <c r="ED1249" s="123"/>
      <c r="EE1249" s="123"/>
      <c r="EF1249" s="123"/>
      <c r="EG1249" s="123"/>
      <c r="EH1249" s="123"/>
      <c r="EI1249" s="123"/>
      <c r="EJ1249" s="123"/>
      <c r="EK1249" s="123"/>
      <c r="EL1249" s="123"/>
      <c r="EM1249" s="123"/>
      <c r="EN1249" s="123"/>
      <c r="EO1249" s="123"/>
      <c r="EP1249" s="123"/>
      <c r="EQ1249" s="123"/>
      <c r="ER1249" s="123"/>
      <c r="ES1249" s="123"/>
      <c r="ET1249" s="123"/>
      <c r="EU1249" s="123"/>
      <c r="EV1249" s="123"/>
      <c r="EW1249" s="123"/>
      <c r="EX1249" s="123"/>
      <c r="EY1249" s="123"/>
      <c r="EZ1249" s="123"/>
      <c r="FA1249" s="123"/>
      <c r="FB1249" s="123"/>
      <c r="FC1249" s="123"/>
      <c r="FD1249" s="123"/>
      <c r="FE1249" s="123"/>
      <c r="FF1249" s="123"/>
      <c r="FG1249" s="123"/>
      <c r="FH1249" s="123"/>
      <c r="FI1249" s="123"/>
      <c r="FJ1249" s="123"/>
      <c r="FK1249" s="123"/>
      <c r="FL1249" s="123"/>
      <c r="FM1249" s="123"/>
      <c r="FN1249" s="123"/>
      <c r="FO1249" s="123"/>
      <c r="FP1249" s="123"/>
      <c r="FQ1249" s="123"/>
      <c r="FR1249" s="123"/>
      <c r="FS1249" s="123"/>
      <c r="FT1249" s="123"/>
      <c r="FU1249" s="123"/>
      <c r="FV1249" s="123"/>
      <c r="FW1249" s="123"/>
      <c r="FX1249" s="123"/>
      <c r="FY1249" s="123"/>
      <c r="FZ1249" s="123"/>
      <c r="GA1249" s="123"/>
      <c r="GB1249" s="123"/>
      <c r="GC1249" s="123"/>
      <c r="GD1249" s="123"/>
      <c r="GE1249" s="123"/>
      <c r="GF1249" s="123"/>
      <c r="GG1249" s="123"/>
      <c r="GH1249" s="123"/>
      <c r="GI1249" s="123"/>
      <c r="GJ1249" s="123"/>
      <c r="GK1249" s="123"/>
      <c r="GL1249" s="123"/>
      <c r="GM1249" s="123"/>
      <c r="GN1249" s="123"/>
      <c r="GO1249" s="123"/>
      <c r="GP1249" s="123"/>
      <c r="GQ1249" s="123"/>
      <c r="GR1249" s="123"/>
      <c r="GS1249" s="123"/>
      <c r="GT1249" s="123"/>
      <c r="GU1249" s="123"/>
      <c r="GV1249" s="123"/>
      <c r="GW1249" s="123"/>
      <c r="GX1249" s="123"/>
      <c r="GY1249" s="123"/>
      <c r="GZ1249" s="123"/>
      <c r="HA1249" s="123"/>
      <c r="HB1249" s="123"/>
      <c r="HC1249" s="123"/>
      <c r="HD1249" s="123"/>
    </row>
    <row r="1250" spans="1:212" s="152" customFormat="1" x14ac:dyDescent="0.35">
      <c r="A1250" s="272">
        <v>62</v>
      </c>
      <c r="B1250" s="272"/>
      <c r="C1250" s="285"/>
      <c r="D1250" s="275"/>
      <c r="E1250" s="284"/>
      <c r="F1250" s="284"/>
      <c r="G1250" s="272"/>
      <c r="H1250" s="136" t="s">
        <v>75</v>
      </c>
      <c r="I1250" s="181">
        <f>2993463.93*0.0214</f>
        <v>64060.13</v>
      </c>
      <c r="J1250" s="181">
        <f>I1250/D1248</f>
        <v>132</v>
      </c>
      <c r="K1250" s="181">
        <v>158</v>
      </c>
      <c r="L1250" s="123"/>
      <c r="M1250" s="123"/>
      <c r="N1250" s="123"/>
      <c r="O1250" s="123"/>
      <c r="P1250" s="123"/>
      <c r="Q1250" s="123"/>
      <c r="R1250" s="123"/>
      <c r="S1250" s="123"/>
      <c r="T1250" s="123"/>
      <c r="U1250" s="123"/>
      <c r="V1250" s="123"/>
      <c r="W1250" s="123"/>
      <c r="X1250" s="123"/>
      <c r="Y1250" s="123"/>
      <c r="Z1250" s="123"/>
      <c r="AA1250" s="123"/>
      <c r="AB1250" s="123"/>
      <c r="AC1250" s="123"/>
      <c r="AD1250" s="123"/>
      <c r="AE1250" s="123"/>
      <c r="AF1250" s="123"/>
      <c r="AG1250" s="123"/>
      <c r="AH1250" s="123"/>
      <c r="AI1250" s="123"/>
      <c r="AJ1250" s="123"/>
      <c r="AK1250" s="123"/>
      <c r="AL1250" s="123"/>
      <c r="AM1250" s="123"/>
      <c r="AN1250" s="123"/>
      <c r="AO1250" s="123"/>
      <c r="AP1250" s="123"/>
      <c r="AQ1250" s="123"/>
      <c r="AR1250" s="123"/>
      <c r="AS1250" s="123"/>
      <c r="AT1250" s="123"/>
      <c r="AU1250" s="123"/>
      <c r="AV1250" s="123"/>
      <c r="AW1250" s="123"/>
      <c r="AX1250" s="123"/>
      <c r="AY1250" s="123"/>
      <c r="AZ1250" s="123"/>
      <c r="BA1250" s="123"/>
      <c r="BB1250" s="123"/>
      <c r="BC1250" s="123"/>
      <c r="BD1250" s="123"/>
      <c r="BE1250" s="123"/>
      <c r="BF1250" s="123"/>
      <c r="BG1250" s="123"/>
      <c r="BH1250" s="123"/>
      <c r="BI1250" s="123"/>
      <c r="BJ1250" s="123"/>
      <c r="BK1250" s="123"/>
      <c r="BL1250" s="123"/>
      <c r="BM1250" s="123"/>
      <c r="BN1250" s="123"/>
      <c r="BO1250" s="123"/>
      <c r="BP1250" s="123"/>
      <c r="BQ1250" s="123"/>
      <c r="BR1250" s="123"/>
      <c r="BS1250" s="123"/>
      <c r="BT1250" s="123"/>
      <c r="BU1250" s="123"/>
      <c r="BV1250" s="123"/>
      <c r="BW1250" s="123"/>
      <c r="BX1250" s="123"/>
      <c r="BY1250" s="123"/>
      <c r="BZ1250" s="123"/>
      <c r="CA1250" s="123"/>
      <c r="CB1250" s="123"/>
      <c r="CC1250" s="123"/>
      <c r="CD1250" s="123"/>
      <c r="CE1250" s="123"/>
      <c r="CF1250" s="123"/>
      <c r="CG1250" s="123"/>
      <c r="CH1250" s="123"/>
      <c r="CI1250" s="123"/>
      <c r="CJ1250" s="123"/>
      <c r="CK1250" s="123"/>
      <c r="CL1250" s="123"/>
      <c r="CM1250" s="123"/>
      <c r="CN1250" s="123"/>
      <c r="CO1250" s="123"/>
      <c r="CP1250" s="123"/>
      <c r="CQ1250" s="123"/>
      <c r="CR1250" s="123"/>
      <c r="CS1250" s="123"/>
      <c r="CT1250" s="123"/>
      <c r="CU1250" s="123"/>
      <c r="CV1250" s="123"/>
      <c r="CW1250" s="123"/>
      <c r="CX1250" s="123"/>
      <c r="CY1250" s="123"/>
      <c r="CZ1250" s="123"/>
      <c r="DA1250" s="123"/>
      <c r="DB1250" s="123"/>
      <c r="DC1250" s="123"/>
      <c r="DD1250" s="123"/>
      <c r="DE1250" s="123"/>
      <c r="DF1250" s="123"/>
      <c r="DG1250" s="123"/>
      <c r="DH1250" s="123"/>
      <c r="DI1250" s="123"/>
      <c r="DJ1250" s="123"/>
      <c r="DK1250" s="123"/>
      <c r="DL1250" s="123"/>
      <c r="DM1250" s="123"/>
      <c r="DN1250" s="123"/>
      <c r="DO1250" s="123"/>
      <c r="DP1250" s="123"/>
      <c r="DQ1250" s="123"/>
      <c r="DR1250" s="123"/>
      <c r="DS1250" s="123"/>
      <c r="DT1250" s="123"/>
      <c r="DU1250" s="123"/>
      <c r="DV1250" s="123"/>
      <c r="DW1250" s="123"/>
      <c r="DX1250" s="123"/>
      <c r="DY1250" s="123"/>
      <c r="DZ1250" s="123"/>
      <c r="EA1250" s="123"/>
      <c r="EB1250" s="123"/>
      <c r="EC1250" s="123"/>
      <c r="ED1250" s="123"/>
      <c r="EE1250" s="123"/>
      <c r="EF1250" s="123"/>
      <c r="EG1250" s="123"/>
      <c r="EH1250" s="123"/>
      <c r="EI1250" s="123"/>
      <c r="EJ1250" s="123"/>
      <c r="EK1250" s="123"/>
      <c r="EL1250" s="123"/>
      <c r="EM1250" s="123"/>
      <c r="EN1250" s="123"/>
      <c r="EO1250" s="123"/>
      <c r="EP1250" s="123"/>
      <c r="EQ1250" s="123"/>
      <c r="ER1250" s="123"/>
      <c r="ES1250" s="123"/>
      <c r="ET1250" s="123"/>
      <c r="EU1250" s="123"/>
      <c r="EV1250" s="123"/>
      <c r="EW1250" s="123"/>
      <c r="EX1250" s="123"/>
      <c r="EY1250" s="123"/>
      <c r="EZ1250" s="123"/>
      <c r="FA1250" s="123"/>
      <c r="FB1250" s="123"/>
      <c r="FC1250" s="123"/>
      <c r="FD1250" s="123"/>
      <c r="FE1250" s="123"/>
      <c r="FF1250" s="123"/>
      <c r="FG1250" s="123"/>
      <c r="FH1250" s="123"/>
      <c r="FI1250" s="123"/>
      <c r="FJ1250" s="123"/>
      <c r="FK1250" s="123"/>
      <c r="FL1250" s="123"/>
      <c r="FM1250" s="123"/>
      <c r="FN1250" s="123"/>
      <c r="FO1250" s="123"/>
      <c r="FP1250" s="123"/>
      <c r="FQ1250" s="123"/>
      <c r="FR1250" s="123"/>
      <c r="FS1250" s="123"/>
      <c r="FT1250" s="123"/>
      <c r="FU1250" s="123"/>
      <c r="FV1250" s="123"/>
      <c r="FW1250" s="123"/>
      <c r="FX1250" s="123"/>
      <c r="FY1250" s="123"/>
      <c r="FZ1250" s="123"/>
      <c r="GA1250" s="123"/>
      <c r="GB1250" s="123"/>
      <c r="GC1250" s="123"/>
      <c r="GD1250" s="123"/>
      <c r="GE1250" s="123"/>
      <c r="GF1250" s="123"/>
      <c r="GG1250" s="123"/>
      <c r="GH1250" s="123"/>
      <c r="GI1250" s="123"/>
      <c r="GJ1250" s="123"/>
      <c r="GK1250" s="123"/>
      <c r="GL1250" s="123"/>
      <c r="GM1250" s="123"/>
      <c r="GN1250" s="123"/>
      <c r="GO1250" s="123"/>
      <c r="GP1250" s="123"/>
      <c r="GQ1250" s="123"/>
      <c r="GR1250" s="123"/>
      <c r="GS1250" s="123"/>
      <c r="GT1250" s="123"/>
      <c r="GU1250" s="123"/>
      <c r="GV1250" s="123"/>
      <c r="GW1250" s="123"/>
      <c r="GX1250" s="123"/>
      <c r="GY1250" s="123"/>
      <c r="GZ1250" s="123"/>
      <c r="HA1250" s="123"/>
      <c r="HB1250" s="123"/>
      <c r="HC1250" s="123"/>
      <c r="HD1250" s="123"/>
    </row>
    <row r="1251" spans="1:212" s="152" customFormat="1" x14ac:dyDescent="0.35">
      <c r="A1251" s="270">
        <f>A1248+1</f>
        <v>2</v>
      </c>
      <c r="B1251" s="270">
        <v>5054</v>
      </c>
      <c r="C1251" s="278" t="s">
        <v>488</v>
      </c>
      <c r="D1251" s="273">
        <v>5280.8</v>
      </c>
      <c r="E1251" s="282" t="s">
        <v>70</v>
      </c>
      <c r="F1251" s="282">
        <v>5</v>
      </c>
      <c r="G1251" s="270" t="s">
        <v>71</v>
      </c>
      <c r="H1251" s="136" t="s">
        <v>72</v>
      </c>
      <c r="I1251" s="181">
        <f>I1252</f>
        <v>299946.8</v>
      </c>
      <c r="J1251" s="181">
        <f>J1252</f>
        <v>56.8</v>
      </c>
      <c r="K1251" s="181">
        <f>K1252</f>
        <v>172</v>
      </c>
      <c r="L1251" s="145"/>
      <c r="M1251" s="145"/>
      <c r="N1251" s="145"/>
      <c r="O1251" s="145"/>
      <c r="P1251" s="145"/>
      <c r="Q1251" s="145"/>
      <c r="R1251" s="145"/>
      <c r="S1251" s="145"/>
      <c r="T1251" s="145"/>
      <c r="U1251" s="145"/>
      <c r="V1251" s="145"/>
      <c r="W1251" s="145"/>
      <c r="X1251" s="145"/>
      <c r="Y1251" s="145"/>
      <c r="Z1251" s="145"/>
      <c r="AA1251" s="145"/>
      <c r="AB1251" s="145"/>
      <c r="AC1251" s="145"/>
      <c r="AD1251" s="145"/>
      <c r="AE1251" s="145"/>
      <c r="AF1251" s="145"/>
      <c r="AG1251" s="145"/>
      <c r="AH1251" s="145"/>
      <c r="AI1251" s="145"/>
      <c r="AJ1251" s="145"/>
      <c r="AK1251" s="145"/>
      <c r="AL1251" s="145"/>
      <c r="AM1251" s="145"/>
      <c r="AN1251" s="145"/>
      <c r="AO1251" s="145"/>
      <c r="AP1251" s="145"/>
      <c r="AQ1251" s="145"/>
      <c r="AR1251" s="145"/>
      <c r="AS1251" s="145"/>
      <c r="AT1251" s="145"/>
      <c r="AU1251" s="145"/>
      <c r="AV1251" s="145"/>
      <c r="AW1251" s="145"/>
      <c r="AX1251" s="145"/>
      <c r="AY1251" s="145"/>
      <c r="AZ1251" s="145"/>
      <c r="BA1251" s="145"/>
      <c r="BB1251" s="145"/>
      <c r="BC1251" s="145"/>
      <c r="BD1251" s="145"/>
      <c r="BE1251" s="145"/>
      <c r="BF1251" s="145"/>
      <c r="BG1251" s="145"/>
      <c r="BH1251" s="145"/>
      <c r="BI1251" s="145"/>
      <c r="BJ1251" s="145"/>
      <c r="BK1251" s="145"/>
      <c r="BL1251" s="145"/>
      <c r="BM1251" s="145"/>
      <c r="BN1251" s="145"/>
      <c r="BO1251" s="145"/>
      <c r="BP1251" s="145"/>
      <c r="BQ1251" s="145"/>
      <c r="BR1251" s="145"/>
      <c r="BS1251" s="145"/>
      <c r="BT1251" s="145"/>
      <c r="BU1251" s="145"/>
      <c r="BV1251" s="145"/>
      <c r="BW1251" s="145"/>
      <c r="BX1251" s="145"/>
      <c r="BY1251" s="145"/>
      <c r="BZ1251" s="145"/>
      <c r="CA1251" s="145"/>
      <c r="CB1251" s="145"/>
      <c r="CC1251" s="145"/>
      <c r="CD1251" s="145"/>
      <c r="CE1251" s="145"/>
      <c r="CF1251" s="145"/>
      <c r="CG1251" s="145"/>
      <c r="CH1251" s="145"/>
      <c r="CI1251" s="145"/>
      <c r="CJ1251" s="145"/>
      <c r="CK1251" s="145"/>
      <c r="CL1251" s="145"/>
      <c r="CM1251" s="145"/>
      <c r="CN1251" s="145"/>
      <c r="CO1251" s="145"/>
      <c r="CP1251" s="145"/>
      <c r="CQ1251" s="145"/>
      <c r="CR1251" s="145"/>
      <c r="CS1251" s="145"/>
      <c r="CT1251" s="145"/>
      <c r="CU1251" s="145"/>
      <c r="CV1251" s="145"/>
      <c r="CW1251" s="145"/>
      <c r="CX1251" s="145"/>
      <c r="CY1251" s="145"/>
      <c r="CZ1251" s="145"/>
      <c r="DA1251" s="145"/>
      <c r="DB1251" s="145"/>
      <c r="DC1251" s="145"/>
      <c r="DD1251" s="145"/>
      <c r="DE1251" s="145"/>
      <c r="DF1251" s="145"/>
      <c r="DG1251" s="145"/>
      <c r="DH1251" s="145"/>
      <c r="DI1251" s="145"/>
      <c r="DJ1251" s="145"/>
      <c r="DK1251" s="145"/>
      <c r="DL1251" s="145"/>
      <c r="DM1251" s="145"/>
      <c r="DN1251" s="145"/>
      <c r="DO1251" s="145"/>
      <c r="DP1251" s="145"/>
      <c r="DQ1251" s="145"/>
      <c r="DR1251" s="145"/>
      <c r="DS1251" s="145"/>
      <c r="DT1251" s="145"/>
      <c r="DU1251" s="145"/>
      <c r="DV1251" s="145"/>
      <c r="DW1251" s="145"/>
      <c r="DX1251" s="145"/>
      <c r="DY1251" s="145"/>
      <c r="DZ1251" s="145"/>
      <c r="EA1251" s="145"/>
      <c r="EB1251" s="145"/>
      <c r="EC1251" s="145"/>
      <c r="ED1251" s="145"/>
      <c r="EE1251" s="145"/>
      <c r="EF1251" s="145"/>
      <c r="EG1251" s="145"/>
      <c r="EH1251" s="145"/>
      <c r="EI1251" s="145"/>
      <c r="EJ1251" s="145"/>
      <c r="EK1251" s="145"/>
      <c r="EL1251" s="145"/>
      <c r="EM1251" s="145"/>
      <c r="EN1251" s="145"/>
      <c r="EO1251" s="145"/>
      <c r="EP1251" s="145"/>
      <c r="EQ1251" s="145"/>
      <c r="ER1251" s="145"/>
      <c r="ES1251" s="145"/>
      <c r="ET1251" s="145"/>
      <c r="EU1251" s="145"/>
      <c r="EV1251" s="145"/>
      <c r="EW1251" s="145"/>
      <c r="EX1251" s="145"/>
      <c r="EY1251" s="145"/>
      <c r="EZ1251" s="145"/>
      <c r="FA1251" s="145"/>
      <c r="FB1251" s="145"/>
      <c r="FC1251" s="145"/>
      <c r="FD1251" s="145"/>
      <c r="FE1251" s="145"/>
      <c r="FF1251" s="145"/>
      <c r="FG1251" s="145"/>
      <c r="FH1251" s="145"/>
      <c r="FI1251" s="145"/>
      <c r="FJ1251" s="145"/>
      <c r="FK1251" s="145"/>
      <c r="FL1251" s="145"/>
      <c r="FM1251" s="145"/>
      <c r="FN1251" s="145"/>
      <c r="FO1251" s="145"/>
      <c r="FP1251" s="145"/>
      <c r="FQ1251" s="145"/>
      <c r="FR1251" s="145"/>
      <c r="FS1251" s="145"/>
      <c r="FT1251" s="145"/>
      <c r="FU1251" s="145"/>
      <c r="FV1251" s="145"/>
      <c r="FW1251" s="145"/>
      <c r="FX1251" s="145"/>
      <c r="FY1251" s="145"/>
      <c r="FZ1251" s="145"/>
      <c r="GA1251" s="145"/>
      <c r="GB1251" s="145"/>
      <c r="GC1251" s="145"/>
      <c r="GD1251" s="145"/>
      <c r="GE1251" s="145"/>
      <c r="GF1251" s="145"/>
      <c r="GG1251" s="145"/>
      <c r="GH1251" s="145"/>
      <c r="GI1251" s="145"/>
      <c r="GJ1251" s="145"/>
      <c r="GK1251" s="145"/>
      <c r="GL1251" s="145"/>
      <c r="GM1251" s="145"/>
      <c r="GN1251" s="145"/>
      <c r="GO1251" s="145"/>
      <c r="GP1251" s="145"/>
      <c r="GQ1251" s="145"/>
      <c r="GR1251" s="145"/>
      <c r="GS1251" s="145"/>
      <c r="GT1251" s="145"/>
      <c r="GU1251" s="145"/>
      <c r="GV1251" s="145"/>
      <c r="GW1251" s="145"/>
      <c r="GX1251" s="145"/>
      <c r="GY1251" s="145"/>
      <c r="GZ1251" s="145"/>
      <c r="HA1251" s="145"/>
      <c r="HB1251" s="145"/>
      <c r="HC1251" s="145"/>
      <c r="HD1251" s="145"/>
    </row>
    <row r="1252" spans="1:212" s="152" customFormat="1" ht="46.5" x14ac:dyDescent="0.35">
      <c r="A1252" s="271">
        <v>61</v>
      </c>
      <c r="B1252" s="272"/>
      <c r="C1252" s="279"/>
      <c r="D1252" s="274"/>
      <c r="E1252" s="283"/>
      <c r="F1252" s="283"/>
      <c r="G1252" s="271"/>
      <c r="H1252" s="136" t="s">
        <v>673</v>
      </c>
      <c r="I1252" s="181">
        <v>299946.8</v>
      </c>
      <c r="J1252" s="181">
        <f>I1252/D1251</f>
        <v>56.8</v>
      </c>
      <c r="K1252" s="181">
        <f>154+18</f>
        <v>172</v>
      </c>
      <c r="L1252" s="145"/>
      <c r="M1252" s="145"/>
      <c r="N1252" s="145"/>
      <c r="O1252" s="145"/>
      <c r="P1252" s="145"/>
      <c r="Q1252" s="145"/>
      <c r="R1252" s="145"/>
      <c r="S1252" s="145"/>
      <c r="T1252" s="145"/>
      <c r="U1252" s="145"/>
      <c r="V1252" s="145"/>
      <c r="W1252" s="145"/>
      <c r="X1252" s="145"/>
      <c r="Y1252" s="145"/>
      <c r="Z1252" s="145"/>
      <c r="AA1252" s="145"/>
      <c r="AB1252" s="145"/>
      <c r="AC1252" s="145"/>
      <c r="AD1252" s="145"/>
      <c r="AE1252" s="145"/>
      <c r="AF1252" s="145"/>
      <c r="AG1252" s="145"/>
      <c r="AH1252" s="145"/>
      <c r="AI1252" s="145"/>
      <c r="AJ1252" s="145"/>
      <c r="AK1252" s="145"/>
      <c r="AL1252" s="145"/>
      <c r="AM1252" s="145"/>
      <c r="AN1252" s="145"/>
      <c r="AO1252" s="145"/>
      <c r="AP1252" s="145"/>
      <c r="AQ1252" s="145"/>
      <c r="AR1252" s="145"/>
      <c r="AS1252" s="145"/>
      <c r="AT1252" s="145"/>
      <c r="AU1252" s="145"/>
      <c r="AV1252" s="145"/>
      <c r="AW1252" s="145"/>
      <c r="AX1252" s="145"/>
      <c r="AY1252" s="145"/>
      <c r="AZ1252" s="145"/>
      <c r="BA1252" s="145"/>
      <c r="BB1252" s="145"/>
      <c r="BC1252" s="145"/>
      <c r="BD1252" s="145"/>
      <c r="BE1252" s="145"/>
      <c r="BF1252" s="145"/>
      <c r="BG1252" s="145"/>
      <c r="BH1252" s="145"/>
      <c r="BI1252" s="145"/>
      <c r="BJ1252" s="145"/>
      <c r="BK1252" s="145"/>
      <c r="BL1252" s="145"/>
      <c r="BM1252" s="145"/>
      <c r="BN1252" s="145"/>
      <c r="BO1252" s="145"/>
      <c r="BP1252" s="145"/>
      <c r="BQ1252" s="145"/>
      <c r="BR1252" s="145"/>
      <c r="BS1252" s="145"/>
      <c r="BT1252" s="145"/>
      <c r="BU1252" s="145"/>
      <c r="BV1252" s="145"/>
      <c r="BW1252" s="145"/>
      <c r="BX1252" s="145"/>
      <c r="BY1252" s="145"/>
      <c r="BZ1252" s="145"/>
      <c r="CA1252" s="145"/>
      <c r="CB1252" s="145"/>
      <c r="CC1252" s="145"/>
      <c r="CD1252" s="145"/>
      <c r="CE1252" s="145"/>
      <c r="CF1252" s="145"/>
      <c r="CG1252" s="145"/>
      <c r="CH1252" s="145"/>
      <c r="CI1252" s="145"/>
      <c r="CJ1252" s="145"/>
      <c r="CK1252" s="145"/>
      <c r="CL1252" s="145"/>
      <c r="CM1252" s="145"/>
      <c r="CN1252" s="145"/>
      <c r="CO1252" s="145"/>
      <c r="CP1252" s="145"/>
      <c r="CQ1252" s="145"/>
      <c r="CR1252" s="145"/>
      <c r="CS1252" s="145"/>
      <c r="CT1252" s="145"/>
      <c r="CU1252" s="145"/>
      <c r="CV1252" s="145"/>
      <c r="CW1252" s="145"/>
      <c r="CX1252" s="145"/>
      <c r="CY1252" s="145"/>
      <c r="CZ1252" s="145"/>
      <c r="DA1252" s="145"/>
      <c r="DB1252" s="145"/>
      <c r="DC1252" s="145"/>
      <c r="DD1252" s="145"/>
      <c r="DE1252" s="145"/>
      <c r="DF1252" s="145"/>
      <c r="DG1252" s="145"/>
      <c r="DH1252" s="145"/>
      <c r="DI1252" s="145"/>
      <c r="DJ1252" s="145"/>
      <c r="DK1252" s="145"/>
      <c r="DL1252" s="145"/>
      <c r="DM1252" s="145"/>
      <c r="DN1252" s="145"/>
      <c r="DO1252" s="145"/>
      <c r="DP1252" s="145"/>
      <c r="DQ1252" s="145"/>
      <c r="DR1252" s="145"/>
      <c r="DS1252" s="145"/>
      <c r="DT1252" s="145"/>
      <c r="DU1252" s="145"/>
      <c r="DV1252" s="145"/>
      <c r="DW1252" s="145"/>
      <c r="DX1252" s="145"/>
      <c r="DY1252" s="145"/>
      <c r="DZ1252" s="145"/>
      <c r="EA1252" s="145"/>
      <c r="EB1252" s="145"/>
      <c r="EC1252" s="145"/>
      <c r="ED1252" s="145"/>
      <c r="EE1252" s="145"/>
      <c r="EF1252" s="145"/>
      <c r="EG1252" s="145"/>
      <c r="EH1252" s="145"/>
      <c r="EI1252" s="145"/>
      <c r="EJ1252" s="145"/>
      <c r="EK1252" s="145"/>
      <c r="EL1252" s="145"/>
      <c r="EM1252" s="145"/>
      <c r="EN1252" s="145"/>
      <c r="EO1252" s="145"/>
      <c r="EP1252" s="145"/>
      <c r="EQ1252" s="145"/>
      <c r="ER1252" s="145"/>
      <c r="ES1252" s="145"/>
      <c r="ET1252" s="145"/>
      <c r="EU1252" s="145"/>
      <c r="EV1252" s="145"/>
      <c r="EW1252" s="145"/>
      <c r="EX1252" s="145"/>
      <c r="EY1252" s="145"/>
      <c r="EZ1252" s="145"/>
      <c r="FA1252" s="145"/>
      <c r="FB1252" s="145"/>
      <c r="FC1252" s="145"/>
      <c r="FD1252" s="145"/>
      <c r="FE1252" s="145"/>
      <c r="FF1252" s="145"/>
      <c r="FG1252" s="145"/>
      <c r="FH1252" s="145"/>
      <c r="FI1252" s="145"/>
      <c r="FJ1252" s="145"/>
      <c r="FK1252" s="145"/>
      <c r="FL1252" s="145"/>
      <c r="FM1252" s="145"/>
      <c r="FN1252" s="145"/>
      <c r="FO1252" s="145"/>
      <c r="FP1252" s="145"/>
      <c r="FQ1252" s="145"/>
      <c r="FR1252" s="145"/>
      <c r="FS1252" s="145"/>
      <c r="FT1252" s="145"/>
      <c r="FU1252" s="145"/>
      <c r="FV1252" s="145"/>
      <c r="FW1252" s="145"/>
      <c r="FX1252" s="145"/>
      <c r="FY1252" s="145"/>
      <c r="FZ1252" s="145"/>
      <c r="GA1252" s="145"/>
      <c r="GB1252" s="145"/>
      <c r="GC1252" s="145"/>
      <c r="GD1252" s="145"/>
      <c r="GE1252" s="145"/>
      <c r="GF1252" s="145"/>
      <c r="GG1252" s="145"/>
      <c r="GH1252" s="145"/>
      <c r="GI1252" s="145"/>
      <c r="GJ1252" s="145"/>
      <c r="GK1252" s="145"/>
      <c r="GL1252" s="145"/>
      <c r="GM1252" s="145"/>
      <c r="GN1252" s="145"/>
      <c r="GO1252" s="145"/>
      <c r="GP1252" s="145"/>
      <c r="GQ1252" s="145"/>
      <c r="GR1252" s="145"/>
      <c r="GS1252" s="145"/>
      <c r="GT1252" s="145"/>
      <c r="GU1252" s="145"/>
      <c r="GV1252" s="145"/>
      <c r="GW1252" s="145"/>
      <c r="GX1252" s="145"/>
      <c r="GY1252" s="145"/>
      <c r="GZ1252" s="145"/>
      <c r="HA1252" s="145"/>
      <c r="HB1252" s="145"/>
      <c r="HC1252" s="145"/>
      <c r="HD1252" s="145"/>
    </row>
    <row r="1253" spans="1:212" s="152" customFormat="1" x14ac:dyDescent="0.35">
      <c r="A1253" s="138" t="s">
        <v>45</v>
      </c>
      <c r="B1253" s="143"/>
      <c r="C1253" s="144"/>
      <c r="D1253" s="154">
        <f>D1254+D1261+D1264+D1289+D1296+D1299+D1301+D1304+D1307+D1318+D1321+D1323+D1325+D1332+D1335+D1340+D1343+D1346+D1353+D1355+D1358+D1377+D1380+D1383+D1386+D1394+D1397+D1400+D1403+D1413+D1416+D1419+D1421+D1425+D1427+D1431+D1441+D1444+D1451+D1458+D1461+D1468+D1470+D1472+D1474+D1476+D1479+D1483+D1485+D1488+D1490+D1497+D1500+D1503+D1505+D1508++D1515+D1518+D1520+D1522+D1525+D1528+D1530+D1532+D1534+D1536+D1539+D1548+D1550+D1553+D1560+D1567+D1574</f>
        <v>184331.73</v>
      </c>
      <c r="E1253" s="154"/>
      <c r="F1253" s="185"/>
      <c r="G1253" s="153"/>
      <c r="H1253" s="184"/>
      <c r="I1253" s="149">
        <f>I1254+I1261+I1264+I1289+I1296+I1299+I1301+I1304+I1307+I1318+I1321+I1323+I1325+I1332+I1335+I1340+I1343+I1346+I1353+I1355+I1358+I1377+I1380+I1383+I1386+I1394+I1397+I1400+I1403+I1413+I1416+I1419+I1421+I1425+I1427+I1431+I1441+I1444+I1451+I1458+I1461+I1468+I1470+I1472+I1474+I1476+I1479+I1483+I1485+I1488+I1490+I1497+I1500+I1503+I1505+I1508++I1515+I1518+I1520+I1522+I1525+I1528+I1530+I1532+I1534+I1536+I1539+I1548+I1550+I1553+I1560+I1567+I1574</f>
        <v>212595874.88999999</v>
      </c>
      <c r="J1253" s="149"/>
      <c r="K1253" s="149"/>
    </row>
    <row r="1254" spans="1:212" s="152" customFormat="1" x14ac:dyDescent="0.35">
      <c r="A1254" s="259">
        <v>1</v>
      </c>
      <c r="B1254" s="259">
        <v>5981</v>
      </c>
      <c r="C1254" s="262" t="s">
        <v>177</v>
      </c>
      <c r="D1254" s="256">
        <v>3619.5</v>
      </c>
      <c r="E1254" s="280" t="s">
        <v>74</v>
      </c>
      <c r="F1254" s="280">
        <v>4</v>
      </c>
      <c r="G1254" s="156"/>
      <c r="H1254" s="151" t="s">
        <v>72</v>
      </c>
      <c r="I1254" s="149">
        <f>I1255+I1256+I1257+I1258+I1259+I1260</f>
        <v>5088986.1500000004</v>
      </c>
      <c r="J1254" s="149">
        <f>J1255+J1256+J1257+J1258+J1259+J1260</f>
        <v>1405.99</v>
      </c>
      <c r="K1254" s="149">
        <f>K1255+K1256+K1257+K1258+K1259+K1260</f>
        <v>3055</v>
      </c>
    </row>
    <row r="1255" spans="1:212" s="152" customFormat="1" x14ac:dyDescent="0.35">
      <c r="A1255" s="260"/>
      <c r="B1255" s="260"/>
      <c r="C1255" s="263"/>
      <c r="D1255" s="257"/>
      <c r="E1255" s="281"/>
      <c r="F1255" s="281"/>
      <c r="G1255" s="259" t="s">
        <v>77</v>
      </c>
      <c r="H1255" s="151" t="s">
        <v>635</v>
      </c>
      <c r="I1255" s="149">
        <f>889166.31*0.7</f>
        <v>622416.42000000004</v>
      </c>
      <c r="J1255" s="149">
        <f>I1255/D1254</f>
        <v>171.96</v>
      </c>
      <c r="K1255" s="149">
        <v>463</v>
      </c>
    </row>
    <row r="1256" spans="1:212" s="152" customFormat="1" x14ac:dyDescent="0.35">
      <c r="A1256" s="260"/>
      <c r="B1256" s="260"/>
      <c r="C1256" s="263"/>
      <c r="D1256" s="257"/>
      <c r="E1256" s="281"/>
      <c r="F1256" s="281"/>
      <c r="G1256" s="261"/>
      <c r="H1256" s="151" t="s">
        <v>75</v>
      </c>
      <c r="I1256" s="149">
        <v>0</v>
      </c>
      <c r="J1256" s="149">
        <v>0</v>
      </c>
      <c r="K1256" s="149">
        <v>10</v>
      </c>
    </row>
    <row r="1257" spans="1:212" s="152" customFormat="1" x14ac:dyDescent="0.35">
      <c r="A1257" s="260"/>
      <c r="B1257" s="260"/>
      <c r="C1257" s="263"/>
      <c r="D1257" s="257"/>
      <c r="E1257" s="281"/>
      <c r="F1257" s="281"/>
      <c r="G1257" s="259" t="s">
        <v>78</v>
      </c>
      <c r="H1257" s="151" t="s">
        <v>635</v>
      </c>
      <c r="I1257" s="149">
        <f>879940.14*0.7</f>
        <v>615958.1</v>
      </c>
      <c r="J1257" s="149">
        <f>I1257/D1254</f>
        <v>170.18</v>
      </c>
      <c r="K1257" s="149">
        <v>409</v>
      </c>
    </row>
    <row r="1258" spans="1:212" s="152" customFormat="1" x14ac:dyDescent="0.35">
      <c r="A1258" s="260"/>
      <c r="B1258" s="260"/>
      <c r="C1258" s="263"/>
      <c r="D1258" s="257"/>
      <c r="E1258" s="281"/>
      <c r="F1258" s="281"/>
      <c r="G1258" s="261"/>
      <c r="H1258" s="151" t="s">
        <v>75</v>
      </c>
      <c r="I1258" s="149">
        <v>0</v>
      </c>
      <c r="J1258" s="149">
        <v>0</v>
      </c>
      <c r="K1258" s="149">
        <v>9</v>
      </c>
    </row>
    <row r="1259" spans="1:212" s="152" customFormat="1" x14ac:dyDescent="0.35">
      <c r="A1259" s="260"/>
      <c r="B1259" s="260"/>
      <c r="C1259" s="263"/>
      <c r="D1259" s="257"/>
      <c r="E1259" s="281"/>
      <c r="F1259" s="281"/>
      <c r="G1259" s="259" t="s">
        <v>76</v>
      </c>
      <c r="H1259" s="151" t="s">
        <v>635</v>
      </c>
      <c r="I1259" s="149">
        <f>5500873.76*0.7</f>
        <v>3850611.63</v>
      </c>
      <c r="J1259" s="149">
        <f>I1259/D1254</f>
        <v>1063.8499999999999</v>
      </c>
      <c r="K1259" s="149">
        <v>2119</v>
      </c>
    </row>
    <row r="1260" spans="1:212" s="152" customFormat="1" x14ac:dyDescent="0.35">
      <c r="A1260" s="261"/>
      <c r="B1260" s="261"/>
      <c r="C1260" s="264"/>
      <c r="D1260" s="258"/>
      <c r="E1260" s="294"/>
      <c r="F1260" s="294"/>
      <c r="G1260" s="261"/>
      <c r="H1260" s="151" t="s">
        <v>75</v>
      </c>
      <c r="I1260" s="149">
        <v>0</v>
      </c>
      <c r="J1260" s="149">
        <v>0</v>
      </c>
      <c r="K1260" s="149">
        <v>45</v>
      </c>
    </row>
    <row r="1261" spans="1:212" s="152" customFormat="1" x14ac:dyDescent="0.35">
      <c r="A1261" s="280">
        <f>A1254+1</f>
        <v>2</v>
      </c>
      <c r="B1261" s="280">
        <v>6011</v>
      </c>
      <c r="C1261" s="297" t="s">
        <v>687</v>
      </c>
      <c r="D1261" s="256">
        <v>2626.5</v>
      </c>
      <c r="E1261" s="280" t="s">
        <v>74</v>
      </c>
      <c r="F1261" s="280">
        <v>9</v>
      </c>
      <c r="G1261" s="259" t="s">
        <v>71</v>
      </c>
      <c r="H1261" s="151" t="s">
        <v>72</v>
      </c>
      <c r="I1261" s="149">
        <f>I1262+I1263</f>
        <v>5893866</v>
      </c>
      <c r="J1261" s="149">
        <f>J1262+J1263</f>
        <v>2244</v>
      </c>
      <c r="K1261" s="149">
        <f>K1262+K1263</f>
        <v>2292</v>
      </c>
    </row>
    <row r="1262" spans="1:212" s="152" customFormat="1" x14ac:dyDescent="0.35">
      <c r="A1262" s="281">
        <v>67</v>
      </c>
      <c r="B1262" s="281"/>
      <c r="C1262" s="298"/>
      <c r="D1262" s="257"/>
      <c r="E1262" s="281"/>
      <c r="F1262" s="281"/>
      <c r="G1262" s="260"/>
      <c r="H1262" s="151" t="s">
        <v>73</v>
      </c>
      <c r="I1262" s="149">
        <f>K1262*D1261</f>
        <v>5893866</v>
      </c>
      <c r="J1262" s="149">
        <f>I1262/D1261</f>
        <v>2244</v>
      </c>
      <c r="K1262" s="149">
        <v>2244</v>
      </c>
    </row>
    <row r="1263" spans="1:212" s="152" customFormat="1" x14ac:dyDescent="0.35">
      <c r="A1263" s="294"/>
      <c r="B1263" s="294"/>
      <c r="C1263" s="299"/>
      <c r="D1263" s="258"/>
      <c r="E1263" s="294"/>
      <c r="F1263" s="294"/>
      <c r="G1263" s="261"/>
      <c r="H1263" s="151" t="s">
        <v>75</v>
      </c>
      <c r="I1263" s="149">
        <v>0</v>
      </c>
      <c r="J1263" s="149">
        <v>0</v>
      </c>
      <c r="K1263" s="149">
        <v>48</v>
      </c>
    </row>
    <row r="1264" spans="1:212" s="152" customFormat="1" x14ac:dyDescent="0.35">
      <c r="A1264" s="259">
        <f>A1261+1</f>
        <v>3</v>
      </c>
      <c r="B1264" s="259">
        <v>6041</v>
      </c>
      <c r="C1264" s="262" t="s">
        <v>490</v>
      </c>
      <c r="D1264" s="256">
        <v>18052.599999999999</v>
      </c>
      <c r="E1264" s="259" t="s">
        <v>74</v>
      </c>
      <c r="F1264" s="259">
        <v>9</v>
      </c>
      <c r="G1264" s="153"/>
      <c r="H1264" s="151" t="s">
        <v>72</v>
      </c>
      <c r="I1264" s="149">
        <f>SUM(I1265:I1288)</f>
        <v>13527604.48</v>
      </c>
      <c r="J1264" s="149">
        <f>SUM(J1265:J1288)</f>
        <v>749.34</v>
      </c>
      <c r="K1264" s="149">
        <f>SUM(K1265:K1288)</f>
        <v>784.37</v>
      </c>
    </row>
    <row r="1265" spans="1:11" s="152" customFormat="1" ht="56.5" customHeight="1" x14ac:dyDescent="0.35">
      <c r="A1265" s="260"/>
      <c r="B1265" s="260"/>
      <c r="C1265" s="263"/>
      <c r="D1265" s="257"/>
      <c r="E1265" s="260"/>
      <c r="F1265" s="260"/>
      <c r="G1265" s="265" t="s">
        <v>641</v>
      </c>
      <c r="H1265" s="151" t="s">
        <v>634</v>
      </c>
      <c r="I1265" s="149">
        <v>0</v>
      </c>
      <c r="J1265" s="149">
        <f>I1265/D1264</f>
        <v>0</v>
      </c>
      <c r="K1265" s="149">
        <f>24580/D1264</f>
        <v>1.36</v>
      </c>
    </row>
    <row r="1266" spans="1:11" s="152" customFormat="1" x14ac:dyDescent="0.35">
      <c r="A1266" s="260"/>
      <c r="B1266" s="260"/>
      <c r="C1266" s="263"/>
      <c r="D1266" s="257"/>
      <c r="E1266" s="260"/>
      <c r="F1266" s="260"/>
      <c r="G1266" s="265"/>
      <c r="H1266" s="151" t="s">
        <v>642</v>
      </c>
      <c r="I1266" s="149">
        <f>1690950.55+0.01</f>
        <v>1690950.56</v>
      </c>
      <c r="J1266" s="149">
        <f>I1266/D1264-0.01</f>
        <v>93.66</v>
      </c>
      <c r="K1266" s="149">
        <f>1708823/D1264</f>
        <v>94.66</v>
      </c>
    </row>
    <row r="1267" spans="1:11" s="152" customFormat="1" x14ac:dyDescent="0.35">
      <c r="A1267" s="260"/>
      <c r="B1267" s="260"/>
      <c r="C1267" s="263"/>
      <c r="D1267" s="257"/>
      <c r="E1267" s="260"/>
      <c r="F1267" s="260"/>
      <c r="G1267" s="265"/>
      <c r="H1267" s="151" t="s">
        <v>75</v>
      </c>
      <c r="I1267" s="149">
        <v>0</v>
      </c>
      <c r="J1267" s="149">
        <v>0</v>
      </c>
      <c r="K1267" s="149">
        <f>36569/D1264-0.01</f>
        <v>2.02</v>
      </c>
    </row>
    <row r="1268" spans="1:11" s="152" customFormat="1" ht="55" customHeight="1" x14ac:dyDescent="0.35">
      <c r="A1268" s="260"/>
      <c r="B1268" s="260"/>
      <c r="C1268" s="263"/>
      <c r="D1268" s="257"/>
      <c r="E1268" s="260"/>
      <c r="F1268" s="260"/>
      <c r="G1268" s="265" t="s">
        <v>647</v>
      </c>
      <c r="H1268" s="151" t="s">
        <v>634</v>
      </c>
      <c r="I1268" s="149">
        <v>0</v>
      </c>
      <c r="J1268" s="149">
        <f>I1268/D1264</f>
        <v>0</v>
      </c>
      <c r="K1268" s="149">
        <f>24580/D1264</f>
        <v>1.36</v>
      </c>
    </row>
    <row r="1269" spans="1:11" s="152" customFormat="1" x14ac:dyDescent="0.35">
      <c r="A1269" s="260"/>
      <c r="B1269" s="260"/>
      <c r="C1269" s="263"/>
      <c r="D1269" s="257"/>
      <c r="E1269" s="260"/>
      <c r="F1269" s="260"/>
      <c r="G1269" s="265"/>
      <c r="H1269" s="151" t="s">
        <v>642</v>
      </c>
      <c r="I1269" s="149">
        <f>1690950.55+0.01</f>
        <v>1690950.56</v>
      </c>
      <c r="J1269" s="149">
        <f>I1269/D1264-0.01</f>
        <v>93.66</v>
      </c>
      <c r="K1269" s="149">
        <f>1708823/D1264</f>
        <v>94.66</v>
      </c>
    </row>
    <row r="1270" spans="1:11" s="152" customFormat="1" x14ac:dyDescent="0.35">
      <c r="A1270" s="260"/>
      <c r="B1270" s="260"/>
      <c r="C1270" s="263"/>
      <c r="D1270" s="257"/>
      <c r="E1270" s="260"/>
      <c r="F1270" s="260"/>
      <c r="G1270" s="265"/>
      <c r="H1270" s="151" t="s">
        <v>75</v>
      </c>
      <c r="I1270" s="149">
        <v>0</v>
      </c>
      <c r="J1270" s="149">
        <v>0</v>
      </c>
      <c r="K1270" s="149">
        <f>36569/D1264</f>
        <v>2.0299999999999998</v>
      </c>
    </row>
    <row r="1271" spans="1:11" s="152" customFormat="1" ht="46.5" x14ac:dyDescent="0.35">
      <c r="A1271" s="260"/>
      <c r="B1271" s="260"/>
      <c r="C1271" s="263"/>
      <c r="D1271" s="257"/>
      <c r="E1271" s="260"/>
      <c r="F1271" s="260"/>
      <c r="G1271" s="265" t="s">
        <v>648</v>
      </c>
      <c r="H1271" s="151" t="s">
        <v>634</v>
      </c>
      <c r="I1271" s="149">
        <v>0</v>
      </c>
      <c r="J1271" s="149">
        <f>I1271/D1264</f>
        <v>0</v>
      </c>
      <c r="K1271" s="149">
        <f>24580/D1264</f>
        <v>1.36</v>
      </c>
    </row>
    <row r="1272" spans="1:11" s="152" customFormat="1" x14ac:dyDescent="0.35">
      <c r="A1272" s="260"/>
      <c r="B1272" s="260"/>
      <c r="C1272" s="263"/>
      <c r="D1272" s="257"/>
      <c r="E1272" s="260"/>
      <c r="F1272" s="260"/>
      <c r="G1272" s="265"/>
      <c r="H1272" s="151" t="s">
        <v>642</v>
      </c>
      <c r="I1272" s="149">
        <f>1690950.55+0.01</f>
        <v>1690950.56</v>
      </c>
      <c r="J1272" s="149">
        <f>I1272/D1264</f>
        <v>93.67</v>
      </c>
      <c r="K1272" s="149">
        <f>1708823/D1264</f>
        <v>94.66</v>
      </c>
    </row>
    <row r="1273" spans="1:11" s="152" customFormat="1" x14ac:dyDescent="0.35">
      <c r="A1273" s="260"/>
      <c r="B1273" s="260"/>
      <c r="C1273" s="263"/>
      <c r="D1273" s="257"/>
      <c r="E1273" s="260"/>
      <c r="F1273" s="260"/>
      <c r="G1273" s="265"/>
      <c r="H1273" s="151" t="s">
        <v>75</v>
      </c>
      <c r="I1273" s="149">
        <v>0</v>
      </c>
      <c r="J1273" s="149">
        <v>0</v>
      </c>
      <c r="K1273" s="149">
        <f>36569/D1264-0.01</f>
        <v>2.02</v>
      </c>
    </row>
    <row r="1274" spans="1:11" s="152" customFormat="1" ht="46.5" x14ac:dyDescent="0.35">
      <c r="A1274" s="260"/>
      <c r="B1274" s="260"/>
      <c r="C1274" s="263"/>
      <c r="D1274" s="257"/>
      <c r="E1274" s="260"/>
      <c r="F1274" s="260"/>
      <c r="G1274" s="265" t="s">
        <v>649</v>
      </c>
      <c r="H1274" s="151" t="s">
        <v>634</v>
      </c>
      <c r="I1274" s="149">
        <v>0</v>
      </c>
      <c r="J1274" s="149">
        <f>I1274/D1264</f>
        <v>0</v>
      </c>
      <c r="K1274" s="149">
        <f>24580/D1264</f>
        <v>1.36</v>
      </c>
    </row>
    <row r="1275" spans="1:11" s="152" customFormat="1" ht="14" customHeight="1" x14ac:dyDescent="0.35">
      <c r="A1275" s="260"/>
      <c r="B1275" s="260"/>
      <c r="C1275" s="263"/>
      <c r="D1275" s="257"/>
      <c r="E1275" s="260"/>
      <c r="F1275" s="260"/>
      <c r="G1275" s="265"/>
      <c r="H1275" s="151" t="s">
        <v>642</v>
      </c>
      <c r="I1275" s="149">
        <f>1690950.55+0.01</f>
        <v>1690950.56</v>
      </c>
      <c r="J1275" s="149">
        <f>I1275/D1264</f>
        <v>93.67</v>
      </c>
      <c r="K1275" s="149">
        <f>1708823/D1264</f>
        <v>94.66</v>
      </c>
    </row>
    <row r="1276" spans="1:11" s="152" customFormat="1" x14ac:dyDescent="0.35">
      <c r="A1276" s="260"/>
      <c r="B1276" s="260"/>
      <c r="C1276" s="263"/>
      <c r="D1276" s="257"/>
      <c r="E1276" s="260"/>
      <c r="F1276" s="260"/>
      <c r="G1276" s="265"/>
      <c r="H1276" s="151" t="s">
        <v>75</v>
      </c>
      <c r="I1276" s="149">
        <v>0</v>
      </c>
      <c r="J1276" s="149">
        <v>0</v>
      </c>
      <c r="K1276" s="149">
        <f>36569/D1264</f>
        <v>2.0299999999999998</v>
      </c>
    </row>
    <row r="1277" spans="1:11" s="152" customFormat="1" ht="46.5" x14ac:dyDescent="0.35">
      <c r="A1277" s="260"/>
      <c r="B1277" s="260"/>
      <c r="C1277" s="263"/>
      <c r="D1277" s="257"/>
      <c r="E1277" s="260"/>
      <c r="F1277" s="260"/>
      <c r="G1277" s="265" t="s">
        <v>646</v>
      </c>
      <c r="H1277" s="151" t="s">
        <v>634</v>
      </c>
      <c r="I1277" s="149">
        <v>0</v>
      </c>
      <c r="J1277" s="149">
        <f>I1277/D1264</f>
        <v>0</v>
      </c>
      <c r="K1277" s="149">
        <f>24580/D1264</f>
        <v>1.36</v>
      </c>
    </row>
    <row r="1278" spans="1:11" s="152" customFormat="1" ht="15" customHeight="1" x14ac:dyDescent="0.35">
      <c r="A1278" s="260"/>
      <c r="B1278" s="260"/>
      <c r="C1278" s="263"/>
      <c r="D1278" s="257"/>
      <c r="E1278" s="260"/>
      <c r="F1278" s="260"/>
      <c r="G1278" s="265"/>
      <c r="H1278" s="151" t="s">
        <v>642</v>
      </c>
      <c r="I1278" s="149">
        <v>1690950.56</v>
      </c>
      <c r="J1278" s="149">
        <f>I1278/D1264</f>
        <v>93.67</v>
      </c>
      <c r="K1278" s="149">
        <f>1708823/D1264</f>
        <v>94.66</v>
      </c>
    </row>
    <row r="1279" spans="1:11" s="152" customFormat="1" x14ac:dyDescent="0.35">
      <c r="A1279" s="260"/>
      <c r="B1279" s="260"/>
      <c r="C1279" s="263"/>
      <c r="D1279" s="257"/>
      <c r="E1279" s="260"/>
      <c r="F1279" s="260"/>
      <c r="G1279" s="265"/>
      <c r="H1279" s="151" t="s">
        <v>75</v>
      </c>
      <c r="I1279" s="149">
        <v>0</v>
      </c>
      <c r="J1279" s="149">
        <v>0</v>
      </c>
      <c r="K1279" s="149">
        <f>36569/D1264-0.01</f>
        <v>2.02</v>
      </c>
    </row>
    <row r="1280" spans="1:11" s="152" customFormat="1" ht="46.5" x14ac:dyDescent="0.35">
      <c r="A1280" s="260"/>
      <c r="B1280" s="260"/>
      <c r="C1280" s="263"/>
      <c r="D1280" s="257"/>
      <c r="E1280" s="260"/>
      <c r="F1280" s="260"/>
      <c r="G1280" s="265" t="s">
        <v>650</v>
      </c>
      <c r="H1280" s="151" t="s">
        <v>634</v>
      </c>
      <c r="I1280" s="149">
        <v>0</v>
      </c>
      <c r="J1280" s="149">
        <f>I1280/D1264</f>
        <v>0</v>
      </c>
      <c r="K1280" s="149">
        <f>24580/D1264</f>
        <v>1.36</v>
      </c>
    </row>
    <row r="1281" spans="1:11" s="152" customFormat="1" x14ac:dyDescent="0.35">
      <c r="A1281" s="260"/>
      <c r="B1281" s="260"/>
      <c r="C1281" s="263"/>
      <c r="D1281" s="257"/>
      <c r="E1281" s="260"/>
      <c r="F1281" s="260"/>
      <c r="G1281" s="265"/>
      <c r="H1281" s="151" t="s">
        <v>642</v>
      </c>
      <c r="I1281" s="149">
        <v>1690950.56</v>
      </c>
      <c r="J1281" s="149">
        <f>I1281/D1264</f>
        <v>93.67</v>
      </c>
      <c r="K1281" s="149">
        <f>1708823/D1264</f>
        <v>94.66</v>
      </c>
    </row>
    <row r="1282" spans="1:11" s="152" customFormat="1" x14ac:dyDescent="0.35">
      <c r="A1282" s="260"/>
      <c r="B1282" s="260"/>
      <c r="C1282" s="263"/>
      <c r="D1282" s="257"/>
      <c r="E1282" s="260"/>
      <c r="F1282" s="260"/>
      <c r="G1282" s="265"/>
      <c r="H1282" s="151" t="s">
        <v>75</v>
      </c>
      <c r="I1282" s="149">
        <v>0</v>
      </c>
      <c r="J1282" s="149">
        <v>0</v>
      </c>
      <c r="K1282" s="149">
        <f>36569/D1264</f>
        <v>2.0299999999999998</v>
      </c>
    </row>
    <row r="1283" spans="1:11" s="152" customFormat="1" ht="46.5" x14ac:dyDescent="0.35">
      <c r="A1283" s="260"/>
      <c r="B1283" s="260"/>
      <c r="C1283" s="263"/>
      <c r="D1283" s="257"/>
      <c r="E1283" s="260"/>
      <c r="F1283" s="260"/>
      <c r="G1283" s="265" t="s">
        <v>651</v>
      </c>
      <c r="H1283" s="151" t="s">
        <v>634</v>
      </c>
      <c r="I1283" s="149">
        <v>0</v>
      </c>
      <c r="J1283" s="149">
        <f>I1283/D1264</f>
        <v>0</v>
      </c>
      <c r="K1283" s="149">
        <f>24580/D1264</f>
        <v>1.36</v>
      </c>
    </row>
    <row r="1284" spans="1:11" s="152" customFormat="1" x14ac:dyDescent="0.35">
      <c r="A1284" s="260"/>
      <c r="B1284" s="260"/>
      <c r="C1284" s="263"/>
      <c r="D1284" s="257"/>
      <c r="E1284" s="260"/>
      <c r="F1284" s="260"/>
      <c r="G1284" s="265"/>
      <c r="H1284" s="151" t="s">
        <v>642</v>
      </c>
      <c r="I1284" s="149">
        <v>1690950.56</v>
      </c>
      <c r="J1284" s="149">
        <f>I1284/D1264</f>
        <v>93.67</v>
      </c>
      <c r="K1284" s="149">
        <f>1708823/D1264</f>
        <v>94.66</v>
      </c>
    </row>
    <row r="1285" spans="1:11" s="152" customFormat="1" x14ac:dyDescent="0.35">
      <c r="A1285" s="260"/>
      <c r="B1285" s="260"/>
      <c r="C1285" s="263"/>
      <c r="D1285" s="257"/>
      <c r="E1285" s="260"/>
      <c r="F1285" s="260"/>
      <c r="G1285" s="265"/>
      <c r="H1285" s="151" t="s">
        <v>75</v>
      </c>
      <c r="I1285" s="149">
        <v>0</v>
      </c>
      <c r="J1285" s="149">
        <v>0</v>
      </c>
      <c r="K1285" s="149">
        <f>36569/D1264</f>
        <v>2.0299999999999998</v>
      </c>
    </row>
    <row r="1286" spans="1:11" s="152" customFormat="1" ht="46.5" x14ac:dyDescent="0.35">
      <c r="A1286" s="260"/>
      <c r="B1286" s="260"/>
      <c r="C1286" s="263"/>
      <c r="D1286" s="257"/>
      <c r="E1286" s="260"/>
      <c r="F1286" s="260"/>
      <c r="G1286" s="265" t="s">
        <v>652</v>
      </c>
      <c r="H1286" s="151" t="s">
        <v>634</v>
      </c>
      <c r="I1286" s="149">
        <v>0</v>
      </c>
      <c r="J1286" s="149">
        <f>I1286/D1264</f>
        <v>0</v>
      </c>
      <c r="K1286" s="149">
        <f>24580/D1264</f>
        <v>1.36</v>
      </c>
    </row>
    <row r="1287" spans="1:11" s="152" customFormat="1" x14ac:dyDescent="0.35">
      <c r="A1287" s="260"/>
      <c r="B1287" s="260"/>
      <c r="C1287" s="263"/>
      <c r="D1287" s="257"/>
      <c r="E1287" s="260"/>
      <c r="F1287" s="260"/>
      <c r="G1287" s="265"/>
      <c r="H1287" s="151" t="s">
        <v>642</v>
      </c>
      <c r="I1287" s="149">
        <v>1690950.56</v>
      </c>
      <c r="J1287" s="149">
        <f>I1287/D1264</f>
        <v>93.67</v>
      </c>
      <c r="K1287" s="149">
        <f>1708823/D1264</f>
        <v>94.66</v>
      </c>
    </row>
    <row r="1288" spans="1:11" s="152" customFormat="1" x14ac:dyDescent="0.35">
      <c r="A1288" s="261"/>
      <c r="B1288" s="261"/>
      <c r="C1288" s="264"/>
      <c r="D1288" s="258"/>
      <c r="E1288" s="261"/>
      <c r="F1288" s="261"/>
      <c r="G1288" s="265"/>
      <c r="H1288" s="151" t="s">
        <v>75</v>
      </c>
      <c r="I1288" s="149">
        <v>0</v>
      </c>
      <c r="J1288" s="149">
        <v>0</v>
      </c>
      <c r="K1288" s="149">
        <f>36569/D1264</f>
        <v>2.0299999999999998</v>
      </c>
    </row>
    <row r="1289" spans="1:11" s="152" customFormat="1" ht="15.5" customHeight="1" x14ac:dyDescent="0.35">
      <c r="A1289" s="259">
        <f>A1264+1</f>
        <v>4</v>
      </c>
      <c r="B1289" s="259">
        <v>6056</v>
      </c>
      <c r="C1289" s="262" t="s">
        <v>819</v>
      </c>
      <c r="D1289" s="256">
        <v>3817</v>
      </c>
      <c r="E1289" s="256" t="s">
        <v>74</v>
      </c>
      <c r="F1289" s="300">
        <v>12</v>
      </c>
      <c r="G1289" s="155"/>
      <c r="H1289" s="186" t="s">
        <v>72</v>
      </c>
      <c r="I1289" s="149">
        <f>I1290+I1291+I1292+I1293+I1294+I1295</f>
        <v>5304678</v>
      </c>
      <c r="J1289" s="149">
        <f>J1290+J1291+J1292+J1293+J1294+J1295</f>
        <v>1389.75</v>
      </c>
      <c r="K1289" s="149">
        <f>K1290+K1291+K1292+K1293+K1294+K1295</f>
        <v>1419.13</v>
      </c>
    </row>
    <row r="1290" spans="1:11" s="152" customFormat="1" ht="66" customHeight="1" x14ac:dyDescent="0.35">
      <c r="A1290" s="260"/>
      <c r="B1290" s="260"/>
      <c r="C1290" s="263"/>
      <c r="D1290" s="257"/>
      <c r="E1290" s="257"/>
      <c r="F1290" s="301"/>
      <c r="G1290" s="259" t="s">
        <v>641</v>
      </c>
      <c r="H1290" s="151" t="s">
        <v>634</v>
      </c>
      <c r="I1290" s="149">
        <f>(22681+9600)</f>
        <v>32281</v>
      </c>
      <c r="J1290" s="149">
        <f>I1290/D1289</f>
        <v>8.4600000000000009</v>
      </c>
      <c r="K1290" s="149">
        <f>(22681+9600)/D1289</f>
        <v>8.4600000000000009</v>
      </c>
    </row>
    <row r="1291" spans="1:11" s="152" customFormat="1" x14ac:dyDescent="0.35">
      <c r="A1291" s="260"/>
      <c r="B1291" s="260"/>
      <c r="C1291" s="263"/>
      <c r="D1291" s="257"/>
      <c r="E1291" s="257"/>
      <c r="F1291" s="301"/>
      <c r="G1291" s="260"/>
      <c r="H1291" s="186" t="s">
        <v>642</v>
      </c>
      <c r="I1291" s="149">
        <f>2329716</f>
        <v>2329716</v>
      </c>
      <c r="J1291" s="149">
        <f>I1291/D1289</f>
        <v>610.35</v>
      </c>
      <c r="K1291" s="149">
        <f>2329716/D1289</f>
        <v>610.35</v>
      </c>
    </row>
    <row r="1292" spans="1:11" s="152" customFormat="1" x14ac:dyDescent="0.35">
      <c r="A1292" s="260"/>
      <c r="B1292" s="260"/>
      <c r="C1292" s="263"/>
      <c r="D1292" s="257"/>
      <c r="E1292" s="257"/>
      <c r="F1292" s="301"/>
      <c r="G1292" s="261"/>
      <c r="H1292" s="186" t="s">
        <v>75</v>
      </c>
      <c r="I1292" s="149">
        <v>0</v>
      </c>
      <c r="J1292" s="149">
        <f>I1292/D1289</f>
        <v>0</v>
      </c>
      <c r="K1292" s="149">
        <f>49856/D1289</f>
        <v>13.06</v>
      </c>
    </row>
    <row r="1293" spans="1:11" s="152" customFormat="1" ht="61" customHeight="1" x14ac:dyDescent="0.35">
      <c r="A1293" s="260"/>
      <c r="B1293" s="260"/>
      <c r="C1293" s="263"/>
      <c r="D1293" s="257"/>
      <c r="E1293" s="257"/>
      <c r="F1293" s="301"/>
      <c r="G1293" s="259" t="s">
        <v>641</v>
      </c>
      <c r="H1293" s="151" t="s">
        <v>634</v>
      </c>
      <c r="I1293" s="149">
        <f>(22681+9600)</f>
        <v>32281</v>
      </c>
      <c r="J1293" s="149">
        <f>I1293/D1289</f>
        <v>8.4600000000000009</v>
      </c>
      <c r="K1293" s="149">
        <f>(22681+9600)/D1289</f>
        <v>8.4600000000000009</v>
      </c>
    </row>
    <row r="1294" spans="1:11" s="152" customFormat="1" x14ac:dyDescent="0.35">
      <c r="A1294" s="260"/>
      <c r="B1294" s="260"/>
      <c r="C1294" s="263"/>
      <c r="D1294" s="257"/>
      <c r="E1294" s="257"/>
      <c r="F1294" s="301"/>
      <c r="G1294" s="260"/>
      <c r="H1294" s="186" t="s">
        <v>642</v>
      </c>
      <c r="I1294" s="149">
        <f>2910400</f>
        <v>2910400</v>
      </c>
      <c r="J1294" s="149">
        <f>I1294/D1289</f>
        <v>762.48</v>
      </c>
      <c r="K1294" s="149">
        <f>2910400/D1289</f>
        <v>762.48</v>
      </c>
    </row>
    <row r="1295" spans="1:11" s="152" customFormat="1" x14ac:dyDescent="0.35">
      <c r="A1295" s="261"/>
      <c r="B1295" s="261"/>
      <c r="C1295" s="264"/>
      <c r="D1295" s="258"/>
      <c r="E1295" s="258"/>
      <c r="F1295" s="302"/>
      <c r="G1295" s="261"/>
      <c r="H1295" s="186" t="s">
        <v>75</v>
      </c>
      <c r="I1295" s="149">
        <v>0</v>
      </c>
      <c r="J1295" s="149">
        <f>I1295/D1289</f>
        <v>0</v>
      </c>
      <c r="K1295" s="149">
        <f>62283/D1289</f>
        <v>16.32</v>
      </c>
    </row>
    <row r="1296" spans="1:11" s="152" customFormat="1" x14ac:dyDescent="0.35">
      <c r="A1296" s="259">
        <f>A1289+1</f>
        <v>5</v>
      </c>
      <c r="B1296" s="280">
        <v>5833</v>
      </c>
      <c r="C1296" s="297" t="s">
        <v>184</v>
      </c>
      <c r="D1296" s="256">
        <v>2041.3</v>
      </c>
      <c r="E1296" s="280" t="s">
        <v>74</v>
      </c>
      <c r="F1296" s="280">
        <v>4</v>
      </c>
      <c r="G1296" s="259" t="s">
        <v>71</v>
      </c>
      <c r="H1296" s="151" t="s">
        <v>72</v>
      </c>
      <c r="I1296" s="149">
        <f>I1297+I1298</f>
        <v>5161075.28</v>
      </c>
      <c r="J1296" s="149">
        <f>J1297+J1298</f>
        <v>2528.33</v>
      </c>
      <c r="K1296" s="149">
        <f>K1297+K1298</f>
        <v>4728</v>
      </c>
    </row>
    <row r="1297" spans="1:11" s="152" customFormat="1" x14ac:dyDescent="0.35">
      <c r="A1297" s="260"/>
      <c r="B1297" s="281"/>
      <c r="C1297" s="298"/>
      <c r="D1297" s="257"/>
      <c r="E1297" s="281"/>
      <c r="F1297" s="281"/>
      <c r="G1297" s="260"/>
      <c r="H1297" s="151" t="s">
        <v>635</v>
      </c>
      <c r="I1297" s="149">
        <f>7372964.68*0.7</f>
        <v>5161075.28</v>
      </c>
      <c r="J1297" s="149">
        <f>I1297/D1296</f>
        <v>2528.33</v>
      </c>
      <c r="K1297" s="149">
        <v>4629</v>
      </c>
    </row>
    <row r="1298" spans="1:11" s="152" customFormat="1" x14ac:dyDescent="0.35">
      <c r="A1298" s="261"/>
      <c r="B1298" s="294"/>
      <c r="C1298" s="299"/>
      <c r="D1298" s="258"/>
      <c r="E1298" s="294"/>
      <c r="F1298" s="294"/>
      <c r="G1298" s="261"/>
      <c r="H1298" s="151" t="s">
        <v>75</v>
      </c>
      <c r="I1298" s="149">
        <v>0</v>
      </c>
      <c r="J1298" s="149">
        <v>0</v>
      </c>
      <c r="K1298" s="149">
        <v>99</v>
      </c>
    </row>
    <row r="1299" spans="1:11" s="152" customFormat="1" x14ac:dyDescent="0.35">
      <c r="A1299" s="265">
        <f>A1296+1</f>
        <v>6</v>
      </c>
      <c r="B1299" s="265">
        <v>5834</v>
      </c>
      <c r="C1299" s="266" t="s">
        <v>491</v>
      </c>
      <c r="D1299" s="295">
        <v>2024.2</v>
      </c>
      <c r="E1299" s="295" t="s">
        <v>74</v>
      </c>
      <c r="F1299" s="296">
        <v>4</v>
      </c>
      <c r="G1299" s="265" t="s">
        <v>71</v>
      </c>
      <c r="H1299" s="151" t="s">
        <v>72</v>
      </c>
      <c r="I1299" s="149">
        <f>I1300</f>
        <v>205204.89</v>
      </c>
      <c r="J1299" s="149">
        <f>J1300</f>
        <v>101.38</v>
      </c>
      <c r="K1299" s="149">
        <f>K1300</f>
        <v>239</v>
      </c>
    </row>
    <row r="1300" spans="1:11" s="152" customFormat="1" ht="58.5" customHeight="1" x14ac:dyDescent="0.35">
      <c r="A1300" s="265">
        <v>65</v>
      </c>
      <c r="B1300" s="265"/>
      <c r="C1300" s="266"/>
      <c r="D1300" s="295"/>
      <c r="E1300" s="295"/>
      <c r="F1300" s="296"/>
      <c r="G1300" s="265"/>
      <c r="H1300" s="136" t="s">
        <v>673</v>
      </c>
      <c r="I1300" s="149">
        <f>176866.09+D1299*13+2024.2</f>
        <v>205204.89</v>
      </c>
      <c r="J1300" s="149">
        <f>I1300/D1299</f>
        <v>101.38</v>
      </c>
      <c r="K1300" s="149">
        <f>151+88</f>
        <v>239</v>
      </c>
    </row>
    <row r="1301" spans="1:11" s="152" customFormat="1" x14ac:dyDescent="0.35">
      <c r="A1301" s="259">
        <f>A1299+1</f>
        <v>7</v>
      </c>
      <c r="B1301" s="280">
        <v>5842</v>
      </c>
      <c r="C1301" s="297" t="s">
        <v>185</v>
      </c>
      <c r="D1301" s="256">
        <v>911.5</v>
      </c>
      <c r="E1301" s="280" t="s">
        <v>688</v>
      </c>
      <c r="F1301" s="280">
        <v>2</v>
      </c>
      <c r="G1301" s="259" t="s">
        <v>71</v>
      </c>
      <c r="H1301" s="151" t="s">
        <v>72</v>
      </c>
      <c r="I1301" s="149">
        <f>I1302+I1303</f>
        <v>4142180.86</v>
      </c>
      <c r="J1301" s="149">
        <f>J1302+J1303</f>
        <v>4544.3599999999997</v>
      </c>
      <c r="K1301" s="149">
        <f>K1302+K1303</f>
        <v>7066</v>
      </c>
    </row>
    <row r="1302" spans="1:11" s="152" customFormat="1" x14ac:dyDescent="0.35">
      <c r="A1302" s="260">
        <v>65</v>
      </c>
      <c r="B1302" s="281"/>
      <c r="C1302" s="298"/>
      <c r="D1302" s="257"/>
      <c r="E1302" s="281"/>
      <c r="F1302" s="281"/>
      <c r="G1302" s="260"/>
      <c r="H1302" s="151" t="s">
        <v>635</v>
      </c>
      <c r="I1302" s="149">
        <f>5917401.23*0.7</f>
        <v>4142180.86</v>
      </c>
      <c r="J1302" s="149">
        <f>I1302/D1301</f>
        <v>4544.3599999999997</v>
      </c>
      <c r="K1302" s="149">
        <v>6918</v>
      </c>
    </row>
    <row r="1303" spans="1:11" s="152" customFormat="1" x14ac:dyDescent="0.35">
      <c r="A1303" s="261"/>
      <c r="B1303" s="294"/>
      <c r="C1303" s="299"/>
      <c r="D1303" s="258"/>
      <c r="E1303" s="294"/>
      <c r="F1303" s="294"/>
      <c r="G1303" s="261"/>
      <c r="H1303" s="151" t="s">
        <v>75</v>
      </c>
      <c r="I1303" s="149">
        <v>0</v>
      </c>
      <c r="J1303" s="149">
        <v>0</v>
      </c>
      <c r="K1303" s="149">
        <v>148</v>
      </c>
    </row>
    <row r="1304" spans="1:11" s="152" customFormat="1" x14ac:dyDescent="0.35">
      <c r="A1304" s="259">
        <f>A1301+1</f>
        <v>8</v>
      </c>
      <c r="B1304" s="259">
        <v>5861</v>
      </c>
      <c r="C1304" s="262" t="s">
        <v>492</v>
      </c>
      <c r="D1304" s="256">
        <v>2357.8000000000002</v>
      </c>
      <c r="E1304" s="259" t="s">
        <v>74</v>
      </c>
      <c r="F1304" s="259">
        <v>4</v>
      </c>
      <c r="G1304" s="259" t="s">
        <v>71</v>
      </c>
      <c r="H1304" s="151" t="s">
        <v>72</v>
      </c>
      <c r="I1304" s="149">
        <f>I1306+I1305</f>
        <v>3474309.07</v>
      </c>
      <c r="J1304" s="149">
        <f>J1306+J1305</f>
        <v>1473.54</v>
      </c>
      <c r="K1304" s="149">
        <f>K1306+K1305</f>
        <v>4868</v>
      </c>
    </row>
    <row r="1305" spans="1:11" s="152" customFormat="1" ht="46.5" x14ac:dyDescent="0.35">
      <c r="A1305" s="260"/>
      <c r="B1305" s="260"/>
      <c r="C1305" s="263"/>
      <c r="D1305" s="257"/>
      <c r="E1305" s="260"/>
      <c r="F1305" s="260"/>
      <c r="G1305" s="260"/>
      <c r="H1305" s="136" t="s">
        <v>673</v>
      </c>
      <c r="I1305" s="181">
        <f>185792.21+14240</f>
        <v>200032.21</v>
      </c>
      <c r="J1305" s="149">
        <f>I1305/D1304</f>
        <v>84.84</v>
      </c>
      <c r="K1305" s="149">
        <f>151+88</f>
        <v>239</v>
      </c>
    </row>
    <row r="1306" spans="1:11" s="152" customFormat="1" x14ac:dyDescent="0.35">
      <c r="A1306" s="260"/>
      <c r="B1306" s="260"/>
      <c r="C1306" s="263"/>
      <c r="D1306" s="257"/>
      <c r="E1306" s="260"/>
      <c r="F1306" s="260"/>
      <c r="G1306" s="260"/>
      <c r="H1306" s="151" t="s">
        <v>73</v>
      </c>
      <c r="I1306" s="149">
        <f>D1304*K1306*0.3</f>
        <v>3274276.86</v>
      </c>
      <c r="J1306" s="149">
        <f>I1306/D1304</f>
        <v>1388.7</v>
      </c>
      <c r="K1306" s="149">
        <v>4629</v>
      </c>
    </row>
    <row r="1307" spans="1:11" s="152" customFormat="1" ht="13.5" customHeight="1" x14ac:dyDescent="0.35">
      <c r="A1307" s="280">
        <f>A1304+1</f>
        <v>9</v>
      </c>
      <c r="B1307" s="280">
        <v>5862</v>
      </c>
      <c r="C1307" s="297" t="s">
        <v>186</v>
      </c>
      <c r="D1307" s="256">
        <v>2376.8000000000002</v>
      </c>
      <c r="E1307" s="280" t="s">
        <v>74</v>
      </c>
      <c r="F1307" s="280">
        <v>4</v>
      </c>
      <c r="G1307" s="156"/>
      <c r="H1307" s="151" t="s">
        <v>72</v>
      </c>
      <c r="I1307" s="149">
        <f>I1308+I1309+I1310+I1311+I1312+I1313+I1314+I1315+I1316+I1317</f>
        <v>6795896.3099999996</v>
      </c>
      <c r="J1307" s="149">
        <f>J1308+J1309+J1310+J1311+J1312+J1313+J1314+J1315+J1316+J1317</f>
        <v>2859.26</v>
      </c>
      <c r="K1307" s="149">
        <f>K1308+K1309+K1310+K1311+K1312+K1313+K1314+K1315+K1316+K1317</f>
        <v>5299</v>
      </c>
    </row>
    <row r="1308" spans="1:11" s="152" customFormat="1" x14ac:dyDescent="0.35">
      <c r="A1308" s="281"/>
      <c r="B1308" s="281"/>
      <c r="C1308" s="298"/>
      <c r="D1308" s="257"/>
      <c r="E1308" s="281"/>
      <c r="F1308" s="281"/>
      <c r="G1308" s="259" t="s">
        <v>77</v>
      </c>
      <c r="H1308" s="151" t="s">
        <v>635</v>
      </c>
      <c r="I1308" s="149">
        <v>796081.5</v>
      </c>
      <c r="J1308" s="149">
        <f>I1308/D1307</f>
        <v>334.94</v>
      </c>
      <c r="K1308" s="149">
        <v>463</v>
      </c>
    </row>
    <row r="1309" spans="1:11" s="152" customFormat="1" x14ac:dyDescent="0.35">
      <c r="A1309" s="281"/>
      <c r="B1309" s="281"/>
      <c r="C1309" s="298"/>
      <c r="D1309" s="257"/>
      <c r="E1309" s="281"/>
      <c r="F1309" s="281"/>
      <c r="G1309" s="261"/>
      <c r="H1309" s="151" t="s">
        <v>75</v>
      </c>
      <c r="I1309" s="149">
        <v>0</v>
      </c>
      <c r="J1309" s="149">
        <v>0</v>
      </c>
      <c r="K1309" s="149">
        <v>10</v>
      </c>
    </row>
    <row r="1310" spans="1:11" s="152" customFormat="1" x14ac:dyDescent="0.35">
      <c r="A1310" s="281"/>
      <c r="B1310" s="281"/>
      <c r="C1310" s="298"/>
      <c r="D1310" s="257"/>
      <c r="E1310" s="281"/>
      <c r="F1310" s="281"/>
      <c r="G1310" s="259" t="s">
        <v>78</v>
      </c>
      <c r="H1310" s="151" t="s">
        <v>635</v>
      </c>
      <c r="I1310" s="149">
        <v>618680.49</v>
      </c>
      <c r="J1310" s="149">
        <f>I1310/D1307</f>
        <v>260.3</v>
      </c>
      <c r="K1310" s="149">
        <v>409</v>
      </c>
    </row>
    <row r="1311" spans="1:11" s="152" customFormat="1" x14ac:dyDescent="0.35">
      <c r="A1311" s="281"/>
      <c r="B1311" s="281"/>
      <c r="C1311" s="298"/>
      <c r="D1311" s="257"/>
      <c r="E1311" s="281"/>
      <c r="F1311" s="281"/>
      <c r="G1311" s="261"/>
      <c r="H1311" s="151" t="s">
        <v>75</v>
      </c>
      <c r="I1311" s="149">
        <v>0</v>
      </c>
      <c r="J1311" s="149">
        <v>0</v>
      </c>
      <c r="K1311" s="149">
        <v>9</v>
      </c>
    </row>
    <row r="1312" spans="1:11" s="152" customFormat="1" x14ac:dyDescent="0.35">
      <c r="A1312" s="281"/>
      <c r="B1312" s="281"/>
      <c r="C1312" s="298"/>
      <c r="D1312" s="257"/>
      <c r="E1312" s="281"/>
      <c r="F1312" s="281"/>
      <c r="G1312" s="259" t="s">
        <v>89</v>
      </c>
      <c r="H1312" s="151" t="s">
        <v>635</v>
      </c>
      <c r="I1312" s="149">
        <v>572002.47</v>
      </c>
      <c r="J1312" s="149">
        <f>I1312/D1307</f>
        <v>240.66</v>
      </c>
      <c r="K1312" s="149">
        <v>448</v>
      </c>
    </row>
    <row r="1313" spans="1:11" s="152" customFormat="1" x14ac:dyDescent="0.35">
      <c r="A1313" s="281"/>
      <c r="B1313" s="281"/>
      <c r="C1313" s="298"/>
      <c r="D1313" s="257"/>
      <c r="E1313" s="281"/>
      <c r="F1313" s="281"/>
      <c r="G1313" s="261"/>
      <c r="H1313" s="151" t="s">
        <v>75</v>
      </c>
      <c r="I1313" s="149">
        <v>0</v>
      </c>
      <c r="J1313" s="149">
        <v>0</v>
      </c>
      <c r="K1313" s="149">
        <v>10</v>
      </c>
    </row>
    <row r="1314" spans="1:11" s="152" customFormat="1" x14ac:dyDescent="0.35">
      <c r="A1314" s="281"/>
      <c r="B1314" s="281"/>
      <c r="C1314" s="298"/>
      <c r="D1314" s="257"/>
      <c r="E1314" s="281"/>
      <c r="F1314" s="281"/>
      <c r="G1314" s="259" t="s">
        <v>76</v>
      </c>
      <c r="H1314" s="151" t="s">
        <v>635</v>
      </c>
      <c r="I1314" s="149">
        <v>4769314.3499999996</v>
      </c>
      <c r="J1314" s="149">
        <f>I1314/D1307</f>
        <v>2006.61</v>
      </c>
      <c r="K1314" s="149">
        <v>2691</v>
      </c>
    </row>
    <row r="1315" spans="1:11" s="152" customFormat="1" x14ac:dyDescent="0.35">
      <c r="A1315" s="281"/>
      <c r="B1315" s="281"/>
      <c r="C1315" s="298"/>
      <c r="D1315" s="257"/>
      <c r="E1315" s="281"/>
      <c r="F1315" s="281"/>
      <c r="G1315" s="261"/>
      <c r="H1315" s="151" t="s">
        <v>75</v>
      </c>
      <c r="I1315" s="149">
        <v>0</v>
      </c>
      <c r="J1315" s="149">
        <v>0</v>
      </c>
      <c r="K1315" s="149">
        <v>58</v>
      </c>
    </row>
    <row r="1316" spans="1:11" s="152" customFormat="1" x14ac:dyDescent="0.35">
      <c r="A1316" s="281"/>
      <c r="B1316" s="281"/>
      <c r="C1316" s="298"/>
      <c r="D1316" s="257"/>
      <c r="E1316" s="281"/>
      <c r="F1316" s="281"/>
      <c r="G1316" s="259" t="s">
        <v>643</v>
      </c>
      <c r="H1316" s="151" t="s">
        <v>656</v>
      </c>
      <c r="I1316" s="149">
        <v>39817.5</v>
      </c>
      <c r="J1316" s="149">
        <f>I1316/D1307</f>
        <v>16.75</v>
      </c>
      <c r="K1316" s="149">
        <v>1176</v>
      </c>
    </row>
    <row r="1317" spans="1:11" s="152" customFormat="1" ht="116.5" customHeight="1" x14ac:dyDescent="0.35">
      <c r="A1317" s="294"/>
      <c r="B1317" s="294"/>
      <c r="C1317" s="299"/>
      <c r="D1317" s="258"/>
      <c r="E1317" s="294"/>
      <c r="F1317" s="294"/>
      <c r="G1317" s="261"/>
      <c r="H1317" s="151" t="s">
        <v>75</v>
      </c>
      <c r="I1317" s="149">
        <v>0</v>
      </c>
      <c r="J1317" s="149">
        <v>0</v>
      </c>
      <c r="K1317" s="149">
        <v>25</v>
      </c>
    </row>
    <row r="1318" spans="1:11" s="152" customFormat="1" ht="13.5" customHeight="1" x14ac:dyDescent="0.35">
      <c r="A1318" s="259">
        <f>A1307+1</f>
        <v>10</v>
      </c>
      <c r="B1318" s="259">
        <v>5865</v>
      </c>
      <c r="C1318" s="262" t="s">
        <v>494</v>
      </c>
      <c r="D1318" s="256">
        <v>2034.2</v>
      </c>
      <c r="E1318" s="256" t="s">
        <v>74</v>
      </c>
      <c r="F1318" s="280">
        <v>4</v>
      </c>
      <c r="G1318" s="259" t="s">
        <v>71</v>
      </c>
      <c r="H1318" s="151" t="s">
        <v>72</v>
      </c>
      <c r="I1318" s="149">
        <f>I1320+I1319</f>
        <v>3017612.04</v>
      </c>
      <c r="J1318" s="149">
        <f>J1320+J1319</f>
        <v>1483.44</v>
      </c>
      <c r="K1318" s="149">
        <f>K1320+K1319</f>
        <v>4868</v>
      </c>
    </row>
    <row r="1319" spans="1:11" s="152" customFormat="1" ht="46.5" x14ac:dyDescent="0.35">
      <c r="A1319" s="260"/>
      <c r="B1319" s="260"/>
      <c r="C1319" s="263"/>
      <c r="D1319" s="257"/>
      <c r="E1319" s="257"/>
      <c r="F1319" s="281"/>
      <c r="G1319" s="260"/>
      <c r="H1319" s="136" t="s">
        <v>673</v>
      </c>
      <c r="I1319" s="181">
        <f>174798.5+17920</f>
        <v>192718.5</v>
      </c>
      <c r="J1319" s="149">
        <f>I1319/D1318</f>
        <v>94.74</v>
      </c>
      <c r="K1319" s="149">
        <f>151+88</f>
        <v>239</v>
      </c>
    </row>
    <row r="1320" spans="1:11" s="152" customFormat="1" x14ac:dyDescent="0.35">
      <c r="A1320" s="261"/>
      <c r="B1320" s="261"/>
      <c r="C1320" s="264"/>
      <c r="D1320" s="258"/>
      <c r="E1320" s="258"/>
      <c r="F1320" s="294"/>
      <c r="G1320" s="261"/>
      <c r="H1320" s="151" t="s">
        <v>73</v>
      </c>
      <c r="I1320" s="149">
        <f>D1318*K1320*0.3</f>
        <v>2824893.54</v>
      </c>
      <c r="J1320" s="149">
        <f>I1320/D1318</f>
        <v>1388.7</v>
      </c>
      <c r="K1320" s="149">
        <v>4629</v>
      </c>
    </row>
    <row r="1321" spans="1:11" s="152" customFormat="1" ht="13.5" customHeight="1" x14ac:dyDescent="0.35">
      <c r="A1321" s="265">
        <f>A1318+1</f>
        <v>11</v>
      </c>
      <c r="B1321" s="265">
        <v>5866</v>
      </c>
      <c r="C1321" s="266" t="s">
        <v>495</v>
      </c>
      <c r="D1321" s="295">
        <v>2046.3</v>
      </c>
      <c r="E1321" s="295" t="s">
        <v>74</v>
      </c>
      <c r="F1321" s="296">
        <v>4</v>
      </c>
      <c r="G1321" s="265" t="s">
        <v>71</v>
      </c>
      <c r="H1321" s="151" t="s">
        <v>72</v>
      </c>
      <c r="I1321" s="149">
        <f>I1322</f>
        <v>193676.02</v>
      </c>
      <c r="J1321" s="149">
        <f>J1322</f>
        <v>94.65</v>
      </c>
      <c r="K1321" s="149">
        <f>K1322</f>
        <v>239</v>
      </c>
    </row>
    <row r="1322" spans="1:11" s="152" customFormat="1" ht="46.5" x14ac:dyDescent="0.35">
      <c r="A1322" s="265">
        <v>65</v>
      </c>
      <c r="B1322" s="265"/>
      <c r="C1322" s="266"/>
      <c r="D1322" s="295"/>
      <c r="E1322" s="295"/>
      <c r="F1322" s="296"/>
      <c r="G1322" s="265"/>
      <c r="H1322" s="136" t="s">
        <v>673</v>
      </c>
      <c r="I1322" s="149">
        <f>175436.02+18240</f>
        <v>193676.02</v>
      </c>
      <c r="J1322" s="149">
        <f>I1322/D1321</f>
        <v>94.65</v>
      </c>
      <c r="K1322" s="149">
        <f>151+88</f>
        <v>239</v>
      </c>
    </row>
    <row r="1323" spans="1:11" s="152" customFormat="1" ht="13.5" customHeight="1" x14ac:dyDescent="0.35">
      <c r="A1323" s="265">
        <f>A1321+1</f>
        <v>12</v>
      </c>
      <c r="B1323" s="265">
        <v>5867</v>
      </c>
      <c r="C1323" s="266" t="s">
        <v>496</v>
      </c>
      <c r="D1323" s="295">
        <v>2973.5</v>
      </c>
      <c r="E1323" s="295" t="s">
        <v>689</v>
      </c>
      <c r="F1323" s="296">
        <v>4</v>
      </c>
      <c r="G1323" s="265" t="s">
        <v>71</v>
      </c>
      <c r="H1323" s="151" t="s">
        <v>72</v>
      </c>
      <c r="I1323" s="149">
        <f>I1324</f>
        <v>239272.8</v>
      </c>
      <c r="J1323" s="149">
        <f>J1324</f>
        <v>80.47</v>
      </c>
      <c r="K1323" s="149">
        <f>K1324</f>
        <v>239</v>
      </c>
    </row>
    <row r="1324" spans="1:11" s="152" customFormat="1" ht="46.5" x14ac:dyDescent="0.35">
      <c r="A1324" s="265">
        <v>65</v>
      </c>
      <c r="B1324" s="265"/>
      <c r="C1324" s="266"/>
      <c r="D1324" s="295"/>
      <c r="E1324" s="295"/>
      <c r="F1324" s="296"/>
      <c r="G1324" s="265"/>
      <c r="H1324" s="136" t="s">
        <v>673</v>
      </c>
      <c r="I1324" s="149">
        <f>200617.3+38655.5</f>
        <v>239272.8</v>
      </c>
      <c r="J1324" s="149">
        <f>I1324/D1323</f>
        <v>80.47</v>
      </c>
      <c r="K1324" s="149">
        <f>151+88</f>
        <v>239</v>
      </c>
    </row>
    <row r="1325" spans="1:11" s="152" customFormat="1" ht="14" customHeight="1" x14ac:dyDescent="0.35">
      <c r="A1325" s="259">
        <f>A1323+1</f>
        <v>13</v>
      </c>
      <c r="B1325" s="259">
        <v>5868</v>
      </c>
      <c r="C1325" s="262" t="s">
        <v>697</v>
      </c>
      <c r="D1325" s="256">
        <v>2283.48</v>
      </c>
      <c r="E1325" s="256" t="s">
        <v>74</v>
      </c>
      <c r="F1325" s="280">
        <v>4</v>
      </c>
      <c r="G1325" s="2"/>
      <c r="H1325" s="151" t="s">
        <v>72</v>
      </c>
      <c r="I1325" s="149">
        <f>I1326+I1327+I1328+I1329+I1330+I1331</f>
        <v>4473219.96</v>
      </c>
      <c r="J1325" s="149">
        <f>J1326+J1327+J1328+J1329+J1330+J1331</f>
        <v>1958.95</v>
      </c>
      <c r="K1325" s="149">
        <f>K1326+K1327+K1328+K1329+K1330+K1331</f>
        <v>3640</v>
      </c>
    </row>
    <row r="1326" spans="1:11" s="152" customFormat="1" x14ac:dyDescent="0.35">
      <c r="A1326" s="260"/>
      <c r="B1326" s="260"/>
      <c r="C1326" s="263"/>
      <c r="D1326" s="257"/>
      <c r="E1326" s="257"/>
      <c r="F1326" s="281"/>
      <c r="G1326" s="259" t="s">
        <v>76</v>
      </c>
      <c r="H1326" s="151" t="s">
        <v>73</v>
      </c>
      <c r="I1326" s="149">
        <v>2482025.4</v>
      </c>
      <c r="J1326" s="149">
        <f>I1326/D1325</f>
        <v>1086.95</v>
      </c>
      <c r="K1326" s="149">
        <v>2691</v>
      </c>
    </row>
    <row r="1327" spans="1:11" s="152" customFormat="1" x14ac:dyDescent="0.35">
      <c r="A1327" s="260"/>
      <c r="B1327" s="260"/>
      <c r="C1327" s="263"/>
      <c r="D1327" s="257"/>
      <c r="E1327" s="257"/>
      <c r="F1327" s="281"/>
      <c r="G1327" s="261"/>
      <c r="H1327" s="151" t="s">
        <v>75</v>
      </c>
      <c r="I1327" s="149">
        <v>0</v>
      </c>
      <c r="J1327" s="149">
        <f>I1327/D1325</f>
        <v>0</v>
      </c>
      <c r="K1327" s="149">
        <v>58</v>
      </c>
    </row>
    <row r="1328" spans="1:11" s="152" customFormat="1" x14ac:dyDescent="0.35">
      <c r="A1328" s="260"/>
      <c r="B1328" s="260"/>
      <c r="C1328" s="263"/>
      <c r="D1328" s="257"/>
      <c r="E1328" s="257"/>
      <c r="F1328" s="281"/>
      <c r="G1328" s="259" t="s">
        <v>77</v>
      </c>
      <c r="H1328" s="151" t="s">
        <v>73</v>
      </c>
      <c r="I1328" s="149">
        <f>D1325*K1328</f>
        <v>1057251.24</v>
      </c>
      <c r="J1328" s="149">
        <f>I1328/D1325</f>
        <v>463</v>
      </c>
      <c r="K1328" s="149">
        <v>463</v>
      </c>
    </row>
    <row r="1329" spans="1:11" s="152" customFormat="1" x14ac:dyDescent="0.35">
      <c r="A1329" s="260"/>
      <c r="B1329" s="260"/>
      <c r="C1329" s="263"/>
      <c r="D1329" s="257"/>
      <c r="E1329" s="257"/>
      <c r="F1329" s="281"/>
      <c r="G1329" s="261"/>
      <c r="H1329" s="151" t="s">
        <v>75</v>
      </c>
      <c r="I1329" s="149">
        <v>0</v>
      </c>
      <c r="J1329" s="149">
        <f>I1329/D1325</f>
        <v>0</v>
      </c>
      <c r="K1329" s="149">
        <v>10</v>
      </c>
    </row>
    <row r="1330" spans="1:11" s="152" customFormat="1" x14ac:dyDescent="0.35">
      <c r="A1330" s="260"/>
      <c r="B1330" s="260"/>
      <c r="C1330" s="263"/>
      <c r="D1330" s="257"/>
      <c r="E1330" s="257"/>
      <c r="F1330" s="281"/>
      <c r="G1330" s="259" t="s">
        <v>78</v>
      </c>
      <c r="H1330" s="151" t="s">
        <v>73</v>
      </c>
      <c r="I1330" s="149">
        <f>D1325*K1330</f>
        <v>933943.32</v>
      </c>
      <c r="J1330" s="149">
        <f>I1330/D1325</f>
        <v>409</v>
      </c>
      <c r="K1330" s="149">
        <v>409</v>
      </c>
    </row>
    <row r="1331" spans="1:11" s="152" customFormat="1" x14ac:dyDescent="0.35">
      <c r="A1331" s="261"/>
      <c r="B1331" s="261"/>
      <c r="C1331" s="264"/>
      <c r="D1331" s="258"/>
      <c r="E1331" s="258"/>
      <c r="F1331" s="294"/>
      <c r="G1331" s="261"/>
      <c r="H1331" s="151" t="s">
        <v>75</v>
      </c>
      <c r="I1331" s="149">
        <v>0</v>
      </c>
      <c r="J1331" s="149">
        <f>I1331/D1325</f>
        <v>0</v>
      </c>
      <c r="K1331" s="149">
        <v>9</v>
      </c>
    </row>
    <row r="1332" spans="1:11" s="152" customFormat="1" ht="13.5" customHeight="1" x14ac:dyDescent="0.35">
      <c r="A1332" s="259">
        <f>A1325+1</f>
        <v>14</v>
      </c>
      <c r="B1332" s="259">
        <v>5869</v>
      </c>
      <c r="C1332" s="262" t="s">
        <v>188</v>
      </c>
      <c r="D1332" s="256">
        <v>2371.4299999999998</v>
      </c>
      <c r="E1332" s="256" t="s">
        <v>74</v>
      </c>
      <c r="F1332" s="280">
        <v>4</v>
      </c>
      <c r="G1332" s="259" t="s">
        <v>78</v>
      </c>
      <c r="H1332" s="151" t="s">
        <v>72</v>
      </c>
      <c r="I1332" s="149">
        <f>I1333+I1334</f>
        <v>318279.63</v>
      </c>
      <c r="J1332" s="149">
        <f>J1333+J1334</f>
        <v>134.21</v>
      </c>
      <c r="K1332" s="149">
        <f>K1333+K1334</f>
        <v>418</v>
      </c>
    </row>
    <row r="1333" spans="1:11" s="152" customFormat="1" x14ac:dyDescent="0.35">
      <c r="A1333" s="260"/>
      <c r="B1333" s="260"/>
      <c r="C1333" s="263"/>
      <c r="D1333" s="257"/>
      <c r="E1333" s="257"/>
      <c r="F1333" s="281"/>
      <c r="G1333" s="260"/>
      <c r="H1333" s="151" t="s">
        <v>73</v>
      </c>
      <c r="I1333" s="149">
        <f>454685.18*0.7</f>
        <v>318279.63</v>
      </c>
      <c r="J1333" s="149">
        <f>I1333/D1332</f>
        <v>134.21</v>
      </c>
      <c r="K1333" s="149">
        <v>409</v>
      </c>
    </row>
    <row r="1334" spans="1:11" s="152" customFormat="1" x14ac:dyDescent="0.35">
      <c r="A1334" s="261"/>
      <c r="B1334" s="261"/>
      <c r="C1334" s="264"/>
      <c r="D1334" s="258"/>
      <c r="E1334" s="258"/>
      <c r="F1334" s="294"/>
      <c r="G1334" s="261"/>
      <c r="H1334" s="151" t="s">
        <v>75</v>
      </c>
      <c r="I1334" s="149">
        <v>0</v>
      </c>
      <c r="J1334" s="149">
        <v>0</v>
      </c>
      <c r="K1334" s="149">
        <v>9</v>
      </c>
    </row>
    <row r="1335" spans="1:11" s="152" customFormat="1" ht="13.5" customHeight="1" x14ac:dyDescent="0.35">
      <c r="A1335" s="259">
        <f>A1332+1</f>
        <v>15</v>
      </c>
      <c r="B1335" s="259">
        <v>5870</v>
      </c>
      <c r="C1335" s="262" t="s">
        <v>820</v>
      </c>
      <c r="D1335" s="256">
        <v>2339.1999999999998</v>
      </c>
      <c r="E1335" s="256" t="s">
        <v>74</v>
      </c>
      <c r="F1335" s="280">
        <v>4</v>
      </c>
      <c r="G1335" s="153"/>
      <c r="H1335" s="186" t="s">
        <v>72</v>
      </c>
      <c r="I1335" s="149">
        <f>I1336+I1337+I1338+I1339</f>
        <v>728894.72</v>
      </c>
      <c r="J1335" s="149">
        <f t="shared" ref="J1335:K1335" si="0">J1336+J1337+J1338+J1339</f>
        <v>311.60000000000002</v>
      </c>
      <c r="K1335" s="149">
        <f t="shared" si="0"/>
        <v>922</v>
      </c>
    </row>
    <row r="1336" spans="1:11" s="152" customFormat="1" ht="46.5" x14ac:dyDescent="0.35">
      <c r="A1336" s="260"/>
      <c r="B1336" s="260"/>
      <c r="C1336" s="263"/>
      <c r="D1336" s="257"/>
      <c r="E1336" s="257"/>
      <c r="F1336" s="281"/>
      <c r="G1336" s="265" t="s">
        <v>77</v>
      </c>
      <c r="H1336" s="186" t="s">
        <v>634</v>
      </c>
      <c r="I1336" s="149">
        <f>D1335*K1336</f>
        <v>63158.400000000001</v>
      </c>
      <c r="J1336" s="149">
        <f>I1336/D1335</f>
        <v>27</v>
      </c>
      <c r="K1336" s="149">
        <f>19+8</f>
        <v>27</v>
      </c>
    </row>
    <row r="1337" spans="1:11" s="152" customFormat="1" x14ac:dyDescent="0.35">
      <c r="A1337" s="260"/>
      <c r="B1337" s="260"/>
      <c r="C1337" s="263"/>
      <c r="D1337" s="257"/>
      <c r="E1337" s="257"/>
      <c r="F1337" s="281"/>
      <c r="G1337" s="265"/>
      <c r="H1337" s="186" t="s">
        <v>73</v>
      </c>
      <c r="I1337" s="149">
        <f>K1337*D1335*0.3</f>
        <v>324914.88</v>
      </c>
      <c r="J1337" s="149">
        <f>I1337/D1335</f>
        <v>138.9</v>
      </c>
      <c r="K1337" s="149">
        <v>463</v>
      </c>
    </row>
    <row r="1338" spans="1:11" s="152" customFormat="1" ht="46.5" x14ac:dyDescent="0.35">
      <c r="A1338" s="260"/>
      <c r="B1338" s="260"/>
      <c r="C1338" s="263"/>
      <c r="D1338" s="257"/>
      <c r="E1338" s="257"/>
      <c r="F1338" s="281"/>
      <c r="G1338" s="265" t="s">
        <v>78</v>
      </c>
      <c r="H1338" s="186" t="s">
        <v>634</v>
      </c>
      <c r="I1338" s="149">
        <f>D1335*K1338</f>
        <v>53801.599999999999</v>
      </c>
      <c r="J1338" s="149">
        <f>I1338/D1335</f>
        <v>23</v>
      </c>
      <c r="K1338" s="149">
        <f>16+7</f>
        <v>23</v>
      </c>
    </row>
    <row r="1339" spans="1:11" s="152" customFormat="1" x14ac:dyDescent="0.35">
      <c r="A1339" s="260"/>
      <c r="B1339" s="260"/>
      <c r="C1339" s="263"/>
      <c r="D1339" s="257"/>
      <c r="E1339" s="257"/>
      <c r="F1339" s="281"/>
      <c r="G1339" s="265"/>
      <c r="H1339" s="186" t="s">
        <v>73</v>
      </c>
      <c r="I1339" s="149">
        <f>D1335*K1339*30/100</f>
        <v>287019.84000000003</v>
      </c>
      <c r="J1339" s="149">
        <f>I1339/D1335</f>
        <v>122.7</v>
      </c>
      <c r="K1339" s="149">
        <v>409</v>
      </c>
    </row>
    <row r="1340" spans="1:11" s="152" customFormat="1" x14ac:dyDescent="0.35">
      <c r="A1340" s="259">
        <f>A1335+1</f>
        <v>16</v>
      </c>
      <c r="B1340" s="259">
        <v>5873</v>
      </c>
      <c r="C1340" s="262" t="s">
        <v>497</v>
      </c>
      <c r="D1340" s="256">
        <v>2929.4</v>
      </c>
      <c r="E1340" s="256" t="s">
        <v>74</v>
      </c>
      <c r="F1340" s="280">
        <v>4</v>
      </c>
      <c r="G1340" s="259" t="s">
        <v>71</v>
      </c>
      <c r="H1340" s="151" t="s">
        <v>72</v>
      </c>
      <c r="I1340" s="149">
        <f>I1342+I1341</f>
        <v>4284824.67</v>
      </c>
      <c r="J1340" s="149">
        <f>J1342+J1341</f>
        <v>1462.7</v>
      </c>
      <c r="K1340" s="149">
        <f>K1342+K1341</f>
        <v>4868</v>
      </c>
    </row>
    <row r="1341" spans="1:11" s="152" customFormat="1" ht="46.5" x14ac:dyDescent="0.35">
      <c r="A1341" s="260"/>
      <c r="B1341" s="260"/>
      <c r="C1341" s="263"/>
      <c r="D1341" s="257"/>
      <c r="E1341" s="257"/>
      <c r="F1341" s="281"/>
      <c r="G1341" s="260"/>
      <c r="H1341" s="136" t="s">
        <v>673</v>
      </c>
      <c r="I1341" s="149">
        <f>204046.89+12720</f>
        <v>216766.89</v>
      </c>
      <c r="J1341" s="149">
        <f>I1341/D1340</f>
        <v>74</v>
      </c>
      <c r="K1341" s="149">
        <f>151+88</f>
        <v>239</v>
      </c>
    </row>
    <row r="1342" spans="1:11" s="152" customFormat="1" x14ac:dyDescent="0.35">
      <c r="A1342" s="261"/>
      <c r="B1342" s="261"/>
      <c r="C1342" s="264"/>
      <c r="D1342" s="258"/>
      <c r="E1342" s="258"/>
      <c r="F1342" s="294"/>
      <c r="G1342" s="261"/>
      <c r="H1342" s="151" t="s">
        <v>73</v>
      </c>
      <c r="I1342" s="149">
        <f>D1340*K1342*0.3</f>
        <v>4068057.78</v>
      </c>
      <c r="J1342" s="149">
        <f>I1342/D1340</f>
        <v>1388.7</v>
      </c>
      <c r="K1342" s="149">
        <v>4629</v>
      </c>
    </row>
    <row r="1343" spans="1:11" s="152" customFormat="1" x14ac:dyDescent="0.35">
      <c r="A1343" s="280">
        <f>A1340+1</f>
        <v>17</v>
      </c>
      <c r="B1343" s="280">
        <v>5874</v>
      </c>
      <c r="C1343" s="297" t="s">
        <v>190</v>
      </c>
      <c r="D1343" s="256">
        <v>2947.8</v>
      </c>
      <c r="E1343" s="280" t="s">
        <v>74</v>
      </c>
      <c r="F1343" s="280">
        <v>4</v>
      </c>
      <c r="G1343" s="259" t="s">
        <v>71</v>
      </c>
      <c r="H1343" s="151" t="s">
        <v>72</v>
      </c>
      <c r="I1343" s="149">
        <f>I1344+I1345</f>
        <v>5569360.2300000004</v>
      </c>
      <c r="J1343" s="149">
        <f>J1344+J1345</f>
        <v>1889.33</v>
      </c>
      <c r="K1343" s="149">
        <f>K1344+K1345</f>
        <v>4728</v>
      </c>
    </row>
    <row r="1344" spans="1:11" s="152" customFormat="1" x14ac:dyDescent="0.35">
      <c r="A1344" s="281">
        <v>75</v>
      </c>
      <c r="B1344" s="281"/>
      <c r="C1344" s="298"/>
      <c r="D1344" s="257"/>
      <c r="E1344" s="281"/>
      <c r="F1344" s="281"/>
      <c r="G1344" s="260"/>
      <c r="H1344" s="151" t="s">
        <v>635</v>
      </c>
      <c r="I1344" s="149">
        <f>7956228.9*0.7</f>
        <v>5569360.2300000004</v>
      </c>
      <c r="J1344" s="149">
        <f>I1344/D1343</f>
        <v>1889.33</v>
      </c>
      <c r="K1344" s="149">
        <v>4629</v>
      </c>
    </row>
    <row r="1345" spans="1:11" s="152" customFormat="1" x14ac:dyDescent="0.35">
      <c r="A1345" s="294"/>
      <c r="B1345" s="294"/>
      <c r="C1345" s="299"/>
      <c r="D1345" s="258"/>
      <c r="E1345" s="294"/>
      <c r="F1345" s="294"/>
      <c r="G1345" s="261"/>
      <c r="H1345" s="151" t="s">
        <v>75</v>
      </c>
      <c r="I1345" s="149">
        <v>0</v>
      </c>
      <c r="J1345" s="149">
        <v>0</v>
      </c>
      <c r="K1345" s="149">
        <v>99</v>
      </c>
    </row>
    <row r="1346" spans="1:11" s="152" customFormat="1" x14ac:dyDescent="0.35">
      <c r="A1346" s="259">
        <f>A1343+1</f>
        <v>18</v>
      </c>
      <c r="B1346" s="259">
        <v>5877</v>
      </c>
      <c r="C1346" s="262" t="s">
        <v>644</v>
      </c>
      <c r="D1346" s="256">
        <v>887.8</v>
      </c>
      <c r="E1346" s="256" t="s">
        <v>79</v>
      </c>
      <c r="F1346" s="300">
        <v>2</v>
      </c>
      <c r="G1346" s="259" t="s">
        <v>76</v>
      </c>
      <c r="H1346" s="151" t="s">
        <v>72</v>
      </c>
      <c r="I1346" s="149">
        <f>I1347+I1348+I1349+I1350+I1351+I1352</f>
        <v>3155687.9</v>
      </c>
      <c r="J1346" s="149">
        <f>J1347+J1348+J1349+J1350+J1351+J1352</f>
        <v>3554.5</v>
      </c>
      <c r="K1346" s="149">
        <f>K1347+K1348+K1349+K1350+K1351+K1352</f>
        <v>3642</v>
      </c>
    </row>
    <row r="1347" spans="1:11" s="152" customFormat="1" x14ac:dyDescent="0.35">
      <c r="A1347" s="260"/>
      <c r="B1347" s="260"/>
      <c r="C1347" s="263"/>
      <c r="D1347" s="257"/>
      <c r="E1347" s="257"/>
      <c r="F1347" s="301"/>
      <c r="G1347" s="260"/>
      <c r="H1347" s="151" t="s">
        <v>73</v>
      </c>
      <c r="I1347" s="149">
        <v>2379750.7000000002</v>
      </c>
      <c r="J1347" s="149">
        <f>I1347/D1346</f>
        <v>2680.5</v>
      </c>
      <c r="K1347" s="149">
        <v>2691</v>
      </c>
    </row>
    <row r="1348" spans="1:11" s="152" customFormat="1" x14ac:dyDescent="0.35">
      <c r="A1348" s="260"/>
      <c r="B1348" s="260"/>
      <c r="C1348" s="263"/>
      <c r="D1348" s="257"/>
      <c r="E1348" s="257"/>
      <c r="F1348" s="301"/>
      <c r="G1348" s="261"/>
      <c r="H1348" s="151" t="s">
        <v>75</v>
      </c>
      <c r="I1348" s="149">
        <v>0</v>
      </c>
      <c r="J1348" s="149">
        <f>I1348/D1346</f>
        <v>0</v>
      </c>
      <c r="K1348" s="149">
        <v>58</v>
      </c>
    </row>
    <row r="1349" spans="1:11" s="152" customFormat="1" x14ac:dyDescent="0.35">
      <c r="A1349" s="260"/>
      <c r="B1349" s="260"/>
      <c r="C1349" s="263"/>
      <c r="D1349" s="257"/>
      <c r="E1349" s="257"/>
      <c r="F1349" s="301"/>
      <c r="G1349" s="259" t="s">
        <v>77</v>
      </c>
      <c r="H1349" s="151" t="s">
        <v>73</v>
      </c>
      <c r="I1349" s="149">
        <f>D1346*K1349</f>
        <v>401285.6</v>
      </c>
      <c r="J1349" s="149">
        <f>I1349/D1346</f>
        <v>452</v>
      </c>
      <c r="K1349" s="149">
        <v>452</v>
      </c>
    </row>
    <row r="1350" spans="1:11" s="152" customFormat="1" x14ac:dyDescent="0.35">
      <c r="A1350" s="260"/>
      <c r="B1350" s="260"/>
      <c r="C1350" s="263"/>
      <c r="D1350" s="257"/>
      <c r="E1350" s="257"/>
      <c r="F1350" s="301"/>
      <c r="G1350" s="261"/>
      <c r="H1350" s="151" t="s">
        <v>75</v>
      </c>
      <c r="I1350" s="149">
        <v>0</v>
      </c>
      <c r="J1350" s="149">
        <f>I1350/D1346</f>
        <v>0</v>
      </c>
      <c r="K1350" s="149">
        <v>10</v>
      </c>
    </row>
    <row r="1351" spans="1:11" s="152" customFormat="1" x14ac:dyDescent="0.35">
      <c r="A1351" s="260"/>
      <c r="B1351" s="260"/>
      <c r="C1351" s="263"/>
      <c r="D1351" s="257"/>
      <c r="E1351" s="257"/>
      <c r="F1351" s="301"/>
      <c r="G1351" s="259" t="s">
        <v>78</v>
      </c>
      <c r="H1351" s="151" t="s">
        <v>73</v>
      </c>
      <c r="I1351" s="149">
        <f>D1346*K1351</f>
        <v>374651.6</v>
      </c>
      <c r="J1351" s="149">
        <f>I1351/D1346</f>
        <v>422</v>
      </c>
      <c r="K1351" s="149">
        <v>422</v>
      </c>
    </row>
    <row r="1352" spans="1:11" s="152" customFormat="1" x14ac:dyDescent="0.35">
      <c r="A1352" s="261"/>
      <c r="B1352" s="261"/>
      <c r="C1352" s="264"/>
      <c r="D1352" s="258"/>
      <c r="E1352" s="258"/>
      <c r="F1352" s="302"/>
      <c r="G1352" s="261"/>
      <c r="H1352" s="151" t="s">
        <v>75</v>
      </c>
      <c r="I1352" s="149">
        <v>0</v>
      </c>
      <c r="J1352" s="149">
        <f>I1352/D1346</f>
        <v>0</v>
      </c>
      <c r="K1352" s="149">
        <v>9</v>
      </c>
    </row>
    <row r="1353" spans="1:11" s="152" customFormat="1" x14ac:dyDescent="0.35">
      <c r="A1353" s="265">
        <f>A1346+1</f>
        <v>19</v>
      </c>
      <c r="B1353" s="265">
        <v>5897</v>
      </c>
      <c r="C1353" s="266" t="s">
        <v>498</v>
      </c>
      <c r="D1353" s="295">
        <v>4728.8999999999996</v>
      </c>
      <c r="E1353" s="295" t="s">
        <v>74</v>
      </c>
      <c r="F1353" s="296">
        <v>5</v>
      </c>
      <c r="G1353" s="265" t="s">
        <v>71</v>
      </c>
      <c r="H1353" s="151" t="s">
        <v>72</v>
      </c>
      <c r="I1353" s="149">
        <f>I1354</f>
        <v>279489.21000000002</v>
      </c>
      <c r="J1353" s="149">
        <f>J1354</f>
        <v>59.1</v>
      </c>
      <c r="K1353" s="149">
        <f>K1354</f>
        <v>169</v>
      </c>
    </row>
    <row r="1354" spans="1:11" s="152" customFormat="1" ht="46.5" x14ac:dyDescent="0.35">
      <c r="A1354" s="265">
        <v>65</v>
      </c>
      <c r="B1354" s="265"/>
      <c r="C1354" s="266"/>
      <c r="D1354" s="295"/>
      <c r="E1354" s="295"/>
      <c r="F1354" s="296"/>
      <c r="G1354" s="265"/>
      <c r="H1354" s="136" t="s">
        <v>673</v>
      </c>
      <c r="I1354" s="149">
        <v>279489.21000000002</v>
      </c>
      <c r="J1354" s="149">
        <f>I1354/D1353</f>
        <v>59.1</v>
      </c>
      <c r="K1354" s="149">
        <f>151+18</f>
        <v>169</v>
      </c>
    </row>
    <row r="1355" spans="1:11" s="152" customFormat="1" x14ac:dyDescent="0.35">
      <c r="A1355" s="259">
        <f>A1353+1</f>
        <v>20</v>
      </c>
      <c r="B1355" s="259">
        <v>5913</v>
      </c>
      <c r="C1355" s="262" t="s">
        <v>193</v>
      </c>
      <c r="D1355" s="256">
        <v>659.4</v>
      </c>
      <c r="E1355" s="256" t="s">
        <v>74</v>
      </c>
      <c r="F1355" s="280">
        <v>2</v>
      </c>
      <c r="G1355" s="259" t="s">
        <v>71</v>
      </c>
      <c r="H1355" s="151" t="s">
        <v>72</v>
      </c>
      <c r="I1355" s="149">
        <f>I1356+I1357</f>
        <v>3193210.44</v>
      </c>
      <c r="J1355" s="149">
        <f>J1356+J1357</f>
        <v>4842.6000000000004</v>
      </c>
      <c r="K1355" s="149">
        <f>K1356+K1357</f>
        <v>7066</v>
      </c>
    </row>
    <row r="1356" spans="1:11" s="152" customFormat="1" x14ac:dyDescent="0.35">
      <c r="A1356" s="260"/>
      <c r="B1356" s="260"/>
      <c r="C1356" s="263"/>
      <c r="D1356" s="257"/>
      <c r="E1356" s="257"/>
      <c r="F1356" s="281"/>
      <c r="G1356" s="260"/>
      <c r="H1356" s="151" t="s">
        <v>635</v>
      </c>
      <c r="I1356" s="149">
        <f>D1355*K1356*0.7</f>
        <v>3193210.44</v>
      </c>
      <c r="J1356" s="149">
        <f>I1356/D1355</f>
        <v>4842.6000000000004</v>
      </c>
      <c r="K1356" s="149">
        <v>6918</v>
      </c>
    </row>
    <row r="1357" spans="1:11" s="152" customFormat="1" x14ac:dyDescent="0.35">
      <c r="A1357" s="261"/>
      <c r="B1357" s="261"/>
      <c r="C1357" s="264"/>
      <c r="D1357" s="258"/>
      <c r="E1357" s="258"/>
      <c r="F1357" s="294"/>
      <c r="G1357" s="261"/>
      <c r="H1357" s="151" t="s">
        <v>75</v>
      </c>
      <c r="I1357" s="149">
        <v>0</v>
      </c>
      <c r="J1357" s="149">
        <v>0</v>
      </c>
      <c r="K1357" s="149">
        <v>148</v>
      </c>
    </row>
    <row r="1358" spans="1:11" s="152" customFormat="1" ht="15.5" customHeight="1" x14ac:dyDescent="0.35">
      <c r="A1358" s="259">
        <f>A1355+1</f>
        <v>21</v>
      </c>
      <c r="B1358" s="259">
        <v>5916</v>
      </c>
      <c r="C1358" s="262" t="s">
        <v>821</v>
      </c>
      <c r="D1358" s="256">
        <v>11057.2</v>
      </c>
      <c r="E1358" s="259" t="s">
        <v>70</v>
      </c>
      <c r="F1358" s="259">
        <v>9</v>
      </c>
      <c r="G1358" s="155"/>
      <c r="H1358" s="186" t="s">
        <v>72</v>
      </c>
      <c r="I1358" s="149">
        <f>SUM(I1359:I1376)</f>
        <v>10446624</v>
      </c>
      <c r="J1358" s="149">
        <f>SUM(J1359:J1376)</f>
        <v>944.78</v>
      </c>
      <c r="K1358" s="149">
        <f>SUM(K1359:K1376)</f>
        <v>964.62</v>
      </c>
    </row>
    <row r="1359" spans="1:11" s="152" customFormat="1" ht="46.5" x14ac:dyDescent="0.35">
      <c r="A1359" s="260"/>
      <c r="B1359" s="260"/>
      <c r="C1359" s="263"/>
      <c r="D1359" s="257"/>
      <c r="E1359" s="260"/>
      <c r="F1359" s="260"/>
      <c r="G1359" s="259" t="s">
        <v>641</v>
      </c>
      <c r="H1359" s="186" t="s">
        <v>634</v>
      </c>
      <c r="I1359" s="149">
        <v>32281</v>
      </c>
      <c r="J1359" s="149">
        <f>I1359/D1358</f>
        <v>2.92</v>
      </c>
      <c r="K1359" s="149">
        <f>(22681+9600)/D1358</f>
        <v>2.92</v>
      </c>
    </row>
    <row r="1360" spans="1:11" s="152" customFormat="1" x14ac:dyDescent="0.35">
      <c r="A1360" s="260"/>
      <c r="B1360" s="260"/>
      <c r="C1360" s="263"/>
      <c r="D1360" s="257"/>
      <c r="E1360" s="260"/>
      <c r="F1360" s="260"/>
      <c r="G1360" s="260"/>
      <c r="H1360" s="186" t="s">
        <v>642</v>
      </c>
      <c r="I1360" s="149">
        <v>1708823</v>
      </c>
      <c r="J1360" s="149">
        <f>I1360/D1358+0.01</f>
        <v>154.55000000000001</v>
      </c>
      <c r="K1360" s="149">
        <f>1708823/D1358+0.01</f>
        <v>154.55000000000001</v>
      </c>
    </row>
    <row r="1361" spans="1:11" s="152" customFormat="1" x14ac:dyDescent="0.35">
      <c r="A1361" s="260"/>
      <c r="B1361" s="260"/>
      <c r="C1361" s="263"/>
      <c r="D1361" s="257"/>
      <c r="E1361" s="260"/>
      <c r="F1361" s="260"/>
      <c r="G1361" s="261"/>
      <c r="H1361" s="186" t="s">
        <v>75</v>
      </c>
      <c r="I1361" s="149">
        <v>0</v>
      </c>
      <c r="J1361" s="149">
        <f>I1361/D1358</f>
        <v>0</v>
      </c>
      <c r="K1361" s="149">
        <f>36569/D1358-0.01</f>
        <v>3.3</v>
      </c>
    </row>
    <row r="1362" spans="1:11" s="152" customFormat="1" ht="46.5" x14ac:dyDescent="0.35">
      <c r="A1362" s="260"/>
      <c r="B1362" s="260"/>
      <c r="C1362" s="263"/>
      <c r="D1362" s="257"/>
      <c r="E1362" s="260"/>
      <c r="F1362" s="260"/>
      <c r="G1362" s="259" t="s">
        <v>647</v>
      </c>
      <c r="H1362" s="186" t="s">
        <v>634</v>
      </c>
      <c r="I1362" s="149">
        <v>32281</v>
      </c>
      <c r="J1362" s="149">
        <f>I1362/D1358</f>
        <v>2.92</v>
      </c>
      <c r="K1362" s="149">
        <f>(22681+9600)/D1358</f>
        <v>2.92</v>
      </c>
    </row>
    <row r="1363" spans="1:11" s="152" customFormat="1" x14ac:dyDescent="0.35">
      <c r="A1363" s="260"/>
      <c r="B1363" s="260"/>
      <c r="C1363" s="263"/>
      <c r="D1363" s="257"/>
      <c r="E1363" s="260"/>
      <c r="F1363" s="260"/>
      <c r="G1363" s="260"/>
      <c r="H1363" s="186" t="s">
        <v>642</v>
      </c>
      <c r="I1363" s="149">
        <v>1708823</v>
      </c>
      <c r="J1363" s="149">
        <f>I1363/D1358+0.01</f>
        <v>154.55000000000001</v>
      </c>
      <c r="K1363" s="149">
        <f>1708823/D1358+0.01</f>
        <v>154.55000000000001</v>
      </c>
    </row>
    <row r="1364" spans="1:11" s="152" customFormat="1" x14ac:dyDescent="0.35">
      <c r="A1364" s="260"/>
      <c r="B1364" s="260"/>
      <c r="C1364" s="263"/>
      <c r="D1364" s="257"/>
      <c r="E1364" s="260"/>
      <c r="F1364" s="260"/>
      <c r="G1364" s="261"/>
      <c r="H1364" s="186" t="s">
        <v>75</v>
      </c>
      <c r="I1364" s="149">
        <v>0</v>
      </c>
      <c r="J1364" s="149">
        <f>I1364/D1358</f>
        <v>0</v>
      </c>
      <c r="K1364" s="149">
        <f>36569/D1358-0.01</f>
        <v>3.3</v>
      </c>
    </row>
    <row r="1365" spans="1:11" s="152" customFormat="1" ht="46.5" x14ac:dyDescent="0.35">
      <c r="A1365" s="260"/>
      <c r="B1365" s="260"/>
      <c r="C1365" s="263"/>
      <c r="D1365" s="257"/>
      <c r="E1365" s="260"/>
      <c r="F1365" s="260"/>
      <c r="G1365" s="259" t="s">
        <v>648</v>
      </c>
      <c r="H1365" s="186" t="s">
        <v>634</v>
      </c>
      <c r="I1365" s="149">
        <v>32281</v>
      </c>
      <c r="J1365" s="149">
        <f>I1365/D1358</f>
        <v>2.92</v>
      </c>
      <c r="K1365" s="149">
        <f>(22681+9600)/D1358</f>
        <v>2.92</v>
      </c>
    </row>
    <row r="1366" spans="1:11" s="152" customFormat="1" x14ac:dyDescent="0.35">
      <c r="A1366" s="260"/>
      <c r="B1366" s="260"/>
      <c r="C1366" s="263"/>
      <c r="D1366" s="257"/>
      <c r="E1366" s="260"/>
      <c r="F1366" s="260"/>
      <c r="G1366" s="260"/>
      <c r="H1366" s="186" t="s">
        <v>642</v>
      </c>
      <c r="I1366" s="149">
        <v>1708823</v>
      </c>
      <c r="J1366" s="149">
        <f>I1366/D1358</f>
        <v>154.54</v>
      </c>
      <c r="K1366" s="149">
        <f>1708823/D1358</f>
        <v>154.54</v>
      </c>
    </row>
    <row r="1367" spans="1:11" s="152" customFormat="1" x14ac:dyDescent="0.35">
      <c r="A1367" s="260"/>
      <c r="B1367" s="260"/>
      <c r="C1367" s="263"/>
      <c r="D1367" s="257"/>
      <c r="E1367" s="260"/>
      <c r="F1367" s="260"/>
      <c r="G1367" s="261"/>
      <c r="H1367" s="186" t="s">
        <v>75</v>
      </c>
      <c r="I1367" s="149">
        <v>0</v>
      </c>
      <c r="J1367" s="149">
        <f>I1367/D1358</f>
        <v>0</v>
      </c>
      <c r="K1367" s="149">
        <f>36569/D1358</f>
        <v>3.31</v>
      </c>
    </row>
    <row r="1368" spans="1:11" s="152" customFormat="1" ht="46.5" x14ac:dyDescent="0.35">
      <c r="A1368" s="260"/>
      <c r="B1368" s="260"/>
      <c r="C1368" s="263"/>
      <c r="D1368" s="257"/>
      <c r="E1368" s="260"/>
      <c r="F1368" s="260"/>
      <c r="G1368" s="259" t="s">
        <v>649</v>
      </c>
      <c r="H1368" s="186" t="s">
        <v>634</v>
      </c>
      <c r="I1368" s="149">
        <v>32281</v>
      </c>
      <c r="J1368" s="149">
        <f>I1368/D1358</f>
        <v>2.92</v>
      </c>
      <c r="K1368" s="149">
        <f>(22681+9600)/D1358</f>
        <v>2.92</v>
      </c>
    </row>
    <row r="1369" spans="1:11" s="152" customFormat="1" x14ac:dyDescent="0.35">
      <c r="A1369" s="260"/>
      <c r="B1369" s="260"/>
      <c r="C1369" s="263"/>
      <c r="D1369" s="257"/>
      <c r="E1369" s="260"/>
      <c r="F1369" s="260"/>
      <c r="G1369" s="260"/>
      <c r="H1369" s="186" t="s">
        <v>642</v>
      </c>
      <c r="I1369" s="149">
        <v>1708823</v>
      </c>
      <c r="J1369" s="149">
        <f>I1369/D1358</f>
        <v>154.54</v>
      </c>
      <c r="K1369" s="149">
        <f>1708823/D1358</f>
        <v>154.54</v>
      </c>
    </row>
    <row r="1370" spans="1:11" s="152" customFormat="1" x14ac:dyDescent="0.35">
      <c r="A1370" s="260"/>
      <c r="B1370" s="260"/>
      <c r="C1370" s="263"/>
      <c r="D1370" s="257"/>
      <c r="E1370" s="260"/>
      <c r="F1370" s="260"/>
      <c r="G1370" s="261"/>
      <c r="H1370" s="186" t="s">
        <v>75</v>
      </c>
      <c r="I1370" s="149">
        <v>0</v>
      </c>
      <c r="J1370" s="149">
        <f>I1370/D1358</f>
        <v>0</v>
      </c>
      <c r="K1370" s="149">
        <f>36569/D1358</f>
        <v>3.31</v>
      </c>
    </row>
    <row r="1371" spans="1:11" s="152" customFormat="1" ht="46.5" x14ac:dyDescent="0.35">
      <c r="A1371" s="260"/>
      <c r="B1371" s="260"/>
      <c r="C1371" s="263"/>
      <c r="D1371" s="257"/>
      <c r="E1371" s="260"/>
      <c r="F1371" s="260"/>
      <c r="G1371" s="259" t="s">
        <v>646</v>
      </c>
      <c r="H1371" s="186" t="s">
        <v>634</v>
      </c>
      <c r="I1371" s="149">
        <v>32281</v>
      </c>
      <c r="J1371" s="149">
        <f>I1371/D1358</f>
        <v>2.92</v>
      </c>
      <c r="K1371" s="149">
        <f>(22681+9600)/D1358</f>
        <v>2.92</v>
      </c>
    </row>
    <row r="1372" spans="1:11" s="152" customFormat="1" x14ac:dyDescent="0.35">
      <c r="A1372" s="260"/>
      <c r="B1372" s="260"/>
      <c r="C1372" s="263"/>
      <c r="D1372" s="257"/>
      <c r="E1372" s="260"/>
      <c r="F1372" s="260"/>
      <c r="G1372" s="260"/>
      <c r="H1372" s="186" t="s">
        <v>642</v>
      </c>
      <c r="I1372" s="149">
        <v>1708823</v>
      </c>
      <c r="J1372" s="149">
        <f>I1372/D1358</f>
        <v>154.54</v>
      </c>
      <c r="K1372" s="149">
        <f>1708823/D1358</f>
        <v>154.54</v>
      </c>
    </row>
    <row r="1373" spans="1:11" s="152" customFormat="1" x14ac:dyDescent="0.35">
      <c r="A1373" s="260"/>
      <c r="B1373" s="260"/>
      <c r="C1373" s="263"/>
      <c r="D1373" s="257"/>
      <c r="E1373" s="260"/>
      <c r="F1373" s="260"/>
      <c r="G1373" s="261"/>
      <c r="H1373" s="186" t="s">
        <v>75</v>
      </c>
      <c r="I1373" s="149">
        <v>0</v>
      </c>
      <c r="J1373" s="149">
        <f>I1373/D1358</f>
        <v>0</v>
      </c>
      <c r="K1373" s="149">
        <f>36569/D1358</f>
        <v>3.31</v>
      </c>
    </row>
    <row r="1374" spans="1:11" s="152" customFormat="1" ht="46.5" x14ac:dyDescent="0.35">
      <c r="A1374" s="260"/>
      <c r="B1374" s="260"/>
      <c r="C1374" s="263"/>
      <c r="D1374" s="257"/>
      <c r="E1374" s="260"/>
      <c r="F1374" s="260"/>
      <c r="G1374" s="259" t="s">
        <v>650</v>
      </c>
      <c r="H1374" s="186" t="s">
        <v>634</v>
      </c>
      <c r="I1374" s="149">
        <v>32281</v>
      </c>
      <c r="J1374" s="149">
        <f>I1374/D1358</f>
        <v>2.92</v>
      </c>
      <c r="K1374" s="149">
        <f>(22681+9600)/D1358</f>
        <v>2.92</v>
      </c>
    </row>
    <row r="1375" spans="1:11" s="152" customFormat="1" x14ac:dyDescent="0.35">
      <c r="A1375" s="260"/>
      <c r="B1375" s="260"/>
      <c r="C1375" s="263"/>
      <c r="D1375" s="257"/>
      <c r="E1375" s="260"/>
      <c r="F1375" s="260"/>
      <c r="G1375" s="260"/>
      <c r="H1375" s="186" t="s">
        <v>642</v>
      </c>
      <c r="I1375" s="149">
        <v>1708823</v>
      </c>
      <c r="J1375" s="149">
        <f>I1375/D1358</f>
        <v>154.54</v>
      </c>
      <c r="K1375" s="149">
        <f>1708823/D1358</f>
        <v>154.54</v>
      </c>
    </row>
    <row r="1376" spans="1:11" s="152" customFormat="1" x14ac:dyDescent="0.35">
      <c r="A1376" s="261"/>
      <c r="B1376" s="261"/>
      <c r="C1376" s="264"/>
      <c r="D1376" s="258"/>
      <c r="E1376" s="261"/>
      <c r="F1376" s="261"/>
      <c r="G1376" s="261"/>
      <c r="H1376" s="186" t="s">
        <v>75</v>
      </c>
      <c r="I1376" s="149">
        <v>0</v>
      </c>
      <c r="J1376" s="149">
        <f>I1376/D1358</f>
        <v>0</v>
      </c>
      <c r="K1376" s="149">
        <f>36569/D1358</f>
        <v>3.31</v>
      </c>
    </row>
    <row r="1377" spans="1:11" s="152" customFormat="1" x14ac:dyDescent="0.35">
      <c r="A1377" s="259">
        <f>A1358+1</f>
        <v>22</v>
      </c>
      <c r="B1377" s="259">
        <v>5940</v>
      </c>
      <c r="C1377" s="262" t="s">
        <v>499</v>
      </c>
      <c r="D1377" s="256">
        <v>3856.6</v>
      </c>
      <c r="E1377" s="259" t="s">
        <v>70</v>
      </c>
      <c r="F1377" s="259">
        <v>5</v>
      </c>
      <c r="G1377" s="259" t="s">
        <v>84</v>
      </c>
      <c r="H1377" s="151" t="s">
        <v>72</v>
      </c>
      <c r="I1377" s="149">
        <f>I1378+I1379</f>
        <v>6039435.5999999996</v>
      </c>
      <c r="J1377" s="149">
        <f>J1378+J1379</f>
        <v>1566</v>
      </c>
      <c r="K1377" s="149">
        <f>K1378+K1379</f>
        <v>1600</v>
      </c>
    </row>
    <row r="1378" spans="1:11" s="152" customFormat="1" x14ac:dyDescent="0.35">
      <c r="A1378" s="260"/>
      <c r="B1378" s="260"/>
      <c r="C1378" s="263"/>
      <c r="D1378" s="257"/>
      <c r="E1378" s="260"/>
      <c r="F1378" s="260"/>
      <c r="G1378" s="260"/>
      <c r="H1378" s="151" t="s">
        <v>73</v>
      </c>
      <c r="I1378" s="149">
        <f>K1378*D1377</f>
        <v>6039435.5999999996</v>
      </c>
      <c r="J1378" s="149">
        <f>I1378/D1377</f>
        <v>1566</v>
      </c>
      <c r="K1378" s="149">
        <v>1566</v>
      </c>
    </row>
    <row r="1379" spans="1:11" s="152" customFormat="1" x14ac:dyDescent="0.35">
      <c r="A1379" s="261"/>
      <c r="B1379" s="261"/>
      <c r="C1379" s="264"/>
      <c r="D1379" s="258"/>
      <c r="E1379" s="261"/>
      <c r="F1379" s="261"/>
      <c r="G1379" s="261"/>
      <c r="H1379" s="151" t="s">
        <v>75</v>
      </c>
      <c r="I1379" s="149">
        <v>0</v>
      </c>
      <c r="J1379" s="149">
        <v>0</v>
      </c>
      <c r="K1379" s="149">
        <v>34</v>
      </c>
    </row>
    <row r="1380" spans="1:11" s="152" customFormat="1" x14ac:dyDescent="0.35">
      <c r="A1380" s="259">
        <f>A1377+1</f>
        <v>23</v>
      </c>
      <c r="B1380" s="259">
        <v>5947</v>
      </c>
      <c r="C1380" s="262" t="s">
        <v>195</v>
      </c>
      <c r="D1380" s="256">
        <v>501.3</v>
      </c>
      <c r="E1380" s="256" t="s">
        <v>633</v>
      </c>
      <c r="F1380" s="280">
        <v>2</v>
      </c>
      <c r="G1380" s="259" t="s">
        <v>71</v>
      </c>
      <c r="H1380" s="151" t="s">
        <v>72</v>
      </c>
      <c r="I1380" s="149">
        <f>I1381+I1382</f>
        <v>2415457.4</v>
      </c>
      <c r="J1380" s="149">
        <f>J1381+J1382</f>
        <v>4818.3900000000003</v>
      </c>
      <c r="K1380" s="149">
        <f>K1381+K1382</f>
        <v>7066</v>
      </c>
    </row>
    <row r="1381" spans="1:11" s="152" customFormat="1" x14ac:dyDescent="0.35">
      <c r="A1381" s="260">
        <v>65</v>
      </c>
      <c r="B1381" s="260"/>
      <c r="C1381" s="263"/>
      <c r="D1381" s="257"/>
      <c r="E1381" s="257"/>
      <c r="F1381" s="281"/>
      <c r="G1381" s="260"/>
      <c r="H1381" s="151" t="s">
        <v>635</v>
      </c>
      <c r="I1381" s="149">
        <f>3450653.43*0.7</f>
        <v>2415457.4</v>
      </c>
      <c r="J1381" s="149">
        <f>I1381/D1380</f>
        <v>4818.3900000000003</v>
      </c>
      <c r="K1381" s="149">
        <v>6918</v>
      </c>
    </row>
    <row r="1382" spans="1:11" s="152" customFormat="1" x14ac:dyDescent="0.35">
      <c r="A1382" s="261"/>
      <c r="B1382" s="261"/>
      <c r="C1382" s="264"/>
      <c r="D1382" s="258"/>
      <c r="E1382" s="258"/>
      <c r="F1382" s="294"/>
      <c r="G1382" s="261"/>
      <c r="H1382" s="151" t="s">
        <v>75</v>
      </c>
      <c r="I1382" s="149">
        <v>0</v>
      </c>
      <c r="J1382" s="149">
        <v>0</v>
      </c>
      <c r="K1382" s="149">
        <v>148</v>
      </c>
    </row>
    <row r="1383" spans="1:11" s="152" customFormat="1" x14ac:dyDescent="0.35">
      <c r="A1383" s="259">
        <f>A1380+1</f>
        <v>24</v>
      </c>
      <c r="B1383" s="259">
        <v>5948</v>
      </c>
      <c r="C1383" s="262" t="s">
        <v>500</v>
      </c>
      <c r="D1383" s="256">
        <v>3853.4</v>
      </c>
      <c r="E1383" s="259" t="s">
        <v>70</v>
      </c>
      <c r="F1383" s="259">
        <v>5</v>
      </c>
      <c r="G1383" s="259" t="s">
        <v>84</v>
      </c>
      <c r="H1383" s="151" t="s">
        <v>72</v>
      </c>
      <c r="I1383" s="149">
        <f>I1384+I1385</f>
        <v>6034424.4000000004</v>
      </c>
      <c r="J1383" s="149">
        <f>J1384+J1385</f>
        <v>1566</v>
      </c>
      <c r="K1383" s="149">
        <f>K1384+K1385</f>
        <v>1600</v>
      </c>
    </row>
    <row r="1384" spans="1:11" s="152" customFormat="1" x14ac:dyDescent="0.35">
      <c r="A1384" s="260">
        <v>75</v>
      </c>
      <c r="B1384" s="260"/>
      <c r="C1384" s="263"/>
      <c r="D1384" s="257"/>
      <c r="E1384" s="260"/>
      <c r="F1384" s="260"/>
      <c r="G1384" s="260"/>
      <c r="H1384" s="151" t="s">
        <v>73</v>
      </c>
      <c r="I1384" s="149">
        <f>K1384*D1383</f>
        <v>6034424.4000000004</v>
      </c>
      <c r="J1384" s="149">
        <f>I1384/D1383</f>
        <v>1566</v>
      </c>
      <c r="K1384" s="149">
        <v>1566</v>
      </c>
    </row>
    <row r="1385" spans="1:11" s="152" customFormat="1" x14ac:dyDescent="0.35">
      <c r="A1385" s="261"/>
      <c r="B1385" s="261"/>
      <c r="C1385" s="264"/>
      <c r="D1385" s="258"/>
      <c r="E1385" s="261"/>
      <c r="F1385" s="261"/>
      <c r="G1385" s="261"/>
      <c r="H1385" s="151" t="s">
        <v>75</v>
      </c>
      <c r="I1385" s="149">
        <v>0</v>
      </c>
      <c r="J1385" s="149">
        <v>0</v>
      </c>
      <c r="K1385" s="149">
        <v>34</v>
      </c>
    </row>
    <row r="1386" spans="1:11" s="152" customFormat="1" ht="15.5" customHeight="1" x14ac:dyDescent="0.35">
      <c r="A1386" s="259">
        <f>A1383+1</f>
        <v>25</v>
      </c>
      <c r="B1386" s="280">
        <v>6071</v>
      </c>
      <c r="C1386" s="297" t="s">
        <v>196</v>
      </c>
      <c r="D1386" s="256">
        <v>615.65</v>
      </c>
      <c r="E1386" s="280" t="s">
        <v>79</v>
      </c>
      <c r="F1386" s="280">
        <v>2</v>
      </c>
      <c r="G1386" s="156"/>
      <c r="H1386" s="186" t="s">
        <v>72</v>
      </c>
      <c r="I1386" s="149">
        <f>I1387+I1388+I1389+I1390+I1391+I1392+I1393</f>
        <v>2112787.67</v>
      </c>
      <c r="J1386" s="149">
        <f>J1387+J1388+J1389+J1390+J1391+J1392+J1393</f>
        <v>3431.8</v>
      </c>
      <c r="K1386" s="149">
        <f>K1387+K1388+K1389+K1390+K1391+K1392+K1393</f>
        <v>3771</v>
      </c>
    </row>
    <row r="1387" spans="1:11" s="152" customFormat="1" x14ac:dyDescent="0.35">
      <c r="A1387" s="260"/>
      <c r="B1387" s="281"/>
      <c r="C1387" s="298"/>
      <c r="D1387" s="257"/>
      <c r="E1387" s="281"/>
      <c r="F1387" s="281"/>
      <c r="G1387" s="259" t="s">
        <v>77</v>
      </c>
      <c r="H1387" s="186" t="s">
        <v>635</v>
      </c>
      <c r="I1387" s="149">
        <f>D1386*K1387*0.7</f>
        <v>194791.66</v>
      </c>
      <c r="J1387" s="149">
        <f>I1387/D1386</f>
        <v>316.39999999999998</v>
      </c>
      <c r="K1387" s="149">
        <v>452</v>
      </c>
    </row>
    <row r="1388" spans="1:11" s="152" customFormat="1" x14ac:dyDescent="0.35">
      <c r="A1388" s="260"/>
      <c r="B1388" s="281"/>
      <c r="C1388" s="298"/>
      <c r="D1388" s="257"/>
      <c r="E1388" s="281"/>
      <c r="F1388" s="281"/>
      <c r="G1388" s="261"/>
      <c r="H1388" s="186" t="s">
        <v>75</v>
      </c>
      <c r="I1388" s="149">
        <v>0</v>
      </c>
      <c r="J1388" s="149">
        <v>0</v>
      </c>
      <c r="K1388" s="149">
        <v>10</v>
      </c>
    </row>
    <row r="1389" spans="1:11" s="152" customFormat="1" x14ac:dyDescent="0.35">
      <c r="A1389" s="260"/>
      <c r="B1389" s="281"/>
      <c r="C1389" s="298"/>
      <c r="D1389" s="257"/>
      <c r="E1389" s="281"/>
      <c r="F1389" s="281"/>
      <c r="G1389" s="259" t="s">
        <v>78</v>
      </c>
      <c r="H1389" s="186" t="s">
        <v>635</v>
      </c>
      <c r="I1389" s="149">
        <f>D1386*K1389*0.7</f>
        <v>181863.01</v>
      </c>
      <c r="J1389" s="149">
        <f>I1389/D1386</f>
        <v>295.39999999999998</v>
      </c>
      <c r="K1389" s="149">
        <v>422</v>
      </c>
    </row>
    <row r="1390" spans="1:11" s="152" customFormat="1" x14ac:dyDescent="0.35">
      <c r="A1390" s="260"/>
      <c r="B1390" s="281"/>
      <c r="C1390" s="298"/>
      <c r="D1390" s="257"/>
      <c r="E1390" s="281"/>
      <c r="F1390" s="281"/>
      <c r="G1390" s="261"/>
      <c r="H1390" s="186" t="s">
        <v>75</v>
      </c>
      <c r="I1390" s="149">
        <v>0</v>
      </c>
      <c r="J1390" s="149">
        <v>0</v>
      </c>
      <c r="K1390" s="149">
        <v>9</v>
      </c>
    </row>
    <row r="1391" spans="1:11" s="152" customFormat="1" ht="63.5" customHeight="1" x14ac:dyDescent="0.35">
      <c r="A1391" s="260"/>
      <c r="B1391" s="281"/>
      <c r="C1391" s="298"/>
      <c r="D1391" s="257"/>
      <c r="E1391" s="281"/>
      <c r="F1391" s="281"/>
      <c r="G1391" s="260" t="s">
        <v>76</v>
      </c>
      <c r="H1391" s="186" t="s">
        <v>634</v>
      </c>
      <c r="I1391" s="149">
        <f>D1386*K1391</f>
        <v>79418.850000000006</v>
      </c>
      <c r="J1391" s="149">
        <f>I1391/D1386</f>
        <v>129</v>
      </c>
      <c r="K1391" s="149">
        <f>108+21</f>
        <v>129</v>
      </c>
    </row>
    <row r="1392" spans="1:11" s="152" customFormat="1" x14ac:dyDescent="0.35">
      <c r="A1392" s="260"/>
      <c r="B1392" s="281"/>
      <c r="C1392" s="298"/>
      <c r="D1392" s="257"/>
      <c r="E1392" s="281"/>
      <c r="F1392" s="281"/>
      <c r="G1392" s="260"/>
      <c r="H1392" s="186" t="s">
        <v>635</v>
      </c>
      <c r="I1392" s="149">
        <f>D1386*K1392</f>
        <v>1656714.15</v>
      </c>
      <c r="J1392" s="149">
        <f>I1392/D1386</f>
        <v>2691</v>
      </c>
      <c r="K1392" s="149">
        <f>2691</f>
        <v>2691</v>
      </c>
    </row>
    <row r="1393" spans="1:11" s="152" customFormat="1" x14ac:dyDescent="0.35">
      <c r="A1393" s="261"/>
      <c r="B1393" s="294"/>
      <c r="C1393" s="299"/>
      <c r="D1393" s="258"/>
      <c r="E1393" s="294"/>
      <c r="F1393" s="294"/>
      <c r="G1393" s="261"/>
      <c r="H1393" s="186" t="s">
        <v>75</v>
      </c>
      <c r="I1393" s="149">
        <v>0</v>
      </c>
      <c r="J1393" s="149">
        <f>I1393/D1386</f>
        <v>0</v>
      </c>
      <c r="K1393" s="149">
        <f>58</f>
        <v>58</v>
      </c>
    </row>
    <row r="1394" spans="1:11" s="152" customFormat="1" x14ac:dyDescent="0.35">
      <c r="A1394" s="259">
        <f>A1386+1</f>
        <v>26</v>
      </c>
      <c r="B1394" s="259">
        <v>6072</v>
      </c>
      <c r="C1394" s="262" t="s">
        <v>198</v>
      </c>
      <c r="D1394" s="256">
        <v>534.9</v>
      </c>
      <c r="E1394" s="259" t="s">
        <v>79</v>
      </c>
      <c r="F1394" s="259">
        <v>2</v>
      </c>
      <c r="G1394" s="259" t="s">
        <v>71</v>
      </c>
      <c r="H1394" s="151" t="s">
        <v>72</v>
      </c>
      <c r="I1394" s="149">
        <f>I1395+I1396</f>
        <v>2577355.21</v>
      </c>
      <c r="J1394" s="149">
        <f>J1395+J1396</f>
        <v>4818.3900000000003</v>
      </c>
      <c r="K1394" s="149">
        <f>K1395+K1396</f>
        <v>7066</v>
      </c>
    </row>
    <row r="1395" spans="1:11" s="152" customFormat="1" x14ac:dyDescent="0.35">
      <c r="A1395" s="260">
        <v>65</v>
      </c>
      <c r="B1395" s="260"/>
      <c r="C1395" s="263"/>
      <c r="D1395" s="257"/>
      <c r="E1395" s="260"/>
      <c r="F1395" s="260"/>
      <c r="G1395" s="260"/>
      <c r="H1395" s="151" t="s">
        <v>635</v>
      </c>
      <c r="I1395" s="149">
        <f>3681936.01*0.7</f>
        <v>2577355.21</v>
      </c>
      <c r="J1395" s="149">
        <f>I1395/D1394</f>
        <v>4818.3900000000003</v>
      </c>
      <c r="K1395" s="149">
        <v>6918</v>
      </c>
    </row>
    <row r="1396" spans="1:11" s="152" customFormat="1" x14ac:dyDescent="0.35">
      <c r="A1396" s="261"/>
      <c r="B1396" s="261"/>
      <c r="C1396" s="264"/>
      <c r="D1396" s="258"/>
      <c r="E1396" s="261"/>
      <c r="F1396" s="261"/>
      <c r="G1396" s="261"/>
      <c r="H1396" s="151" t="s">
        <v>75</v>
      </c>
      <c r="I1396" s="149">
        <v>0</v>
      </c>
      <c r="J1396" s="149">
        <v>0</v>
      </c>
      <c r="K1396" s="149">
        <v>148</v>
      </c>
    </row>
    <row r="1397" spans="1:11" s="152" customFormat="1" x14ac:dyDescent="0.35">
      <c r="A1397" s="259">
        <f>A1394+1</f>
        <v>27</v>
      </c>
      <c r="B1397" s="259">
        <v>6074</v>
      </c>
      <c r="C1397" s="262" t="s">
        <v>199</v>
      </c>
      <c r="D1397" s="256">
        <v>599.02</v>
      </c>
      <c r="E1397" s="259" t="s">
        <v>79</v>
      </c>
      <c r="F1397" s="259">
        <v>2</v>
      </c>
      <c r="G1397" s="259" t="s">
        <v>71</v>
      </c>
      <c r="H1397" s="151" t="s">
        <v>72</v>
      </c>
      <c r="I1397" s="149">
        <f>I1398+I1399</f>
        <v>2857302.04</v>
      </c>
      <c r="J1397" s="149">
        <f>J1398+J1399</f>
        <v>4769.96</v>
      </c>
      <c r="K1397" s="149">
        <f>K1398+K1399</f>
        <v>7066</v>
      </c>
    </row>
    <row r="1398" spans="1:11" s="152" customFormat="1" x14ac:dyDescent="0.35">
      <c r="A1398" s="260"/>
      <c r="B1398" s="260"/>
      <c r="C1398" s="263"/>
      <c r="D1398" s="257"/>
      <c r="E1398" s="260"/>
      <c r="F1398" s="260"/>
      <c r="G1398" s="260"/>
      <c r="H1398" s="151" t="s">
        <v>635</v>
      </c>
      <c r="I1398" s="149">
        <f>4081860.06*0.7</f>
        <v>2857302.04</v>
      </c>
      <c r="J1398" s="149">
        <f>I1398/D1397</f>
        <v>4769.96</v>
      </c>
      <c r="K1398" s="149">
        <v>6918</v>
      </c>
    </row>
    <row r="1399" spans="1:11" s="152" customFormat="1" x14ac:dyDescent="0.35">
      <c r="A1399" s="261"/>
      <c r="B1399" s="261"/>
      <c r="C1399" s="264"/>
      <c r="D1399" s="258"/>
      <c r="E1399" s="261"/>
      <c r="F1399" s="261"/>
      <c r="G1399" s="261"/>
      <c r="H1399" s="151" t="s">
        <v>75</v>
      </c>
      <c r="I1399" s="149">
        <v>0</v>
      </c>
      <c r="J1399" s="149">
        <v>0</v>
      </c>
      <c r="K1399" s="149">
        <v>148</v>
      </c>
    </row>
    <row r="1400" spans="1:11" s="152" customFormat="1" x14ac:dyDescent="0.35">
      <c r="A1400" s="259">
        <f>A1397+1</f>
        <v>28</v>
      </c>
      <c r="B1400" s="259">
        <v>6076</v>
      </c>
      <c r="C1400" s="262" t="s">
        <v>200</v>
      </c>
      <c r="D1400" s="256">
        <v>529.9</v>
      </c>
      <c r="E1400" s="259" t="s">
        <v>79</v>
      </c>
      <c r="F1400" s="259">
        <v>2</v>
      </c>
      <c r="G1400" s="259" t="s">
        <v>71</v>
      </c>
      <c r="H1400" s="151" t="s">
        <v>72</v>
      </c>
      <c r="I1400" s="149">
        <f>I1401+I1402</f>
        <v>2566093.7400000002</v>
      </c>
      <c r="J1400" s="149">
        <f>J1401+J1402</f>
        <v>4842.6000000000004</v>
      </c>
      <c r="K1400" s="149">
        <f>K1401+K1402</f>
        <v>7066</v>
      </c>
    </row>
    <row r="1401" spans="1:11" s="152" customFormat="1" x14ac:dyDescent="0.35">
      <c r="A1401" s="260">
        <v>65</v>
      </c>
      <c r="B1401" s="260"/>
      <c r="C1401" s="263"/>
      <c r="D1401" s="257"/>
      <c r="E1401" s="260"/>
      <c r="F1401" s="260"/>
      <c r="G1401" s="260"/>
      <c r="H1401" s="151" t="s">
        <v>635</v>
      </c>
      <c r="I1401" s="149">
        <f>D1400*K1401*0.7</f>
        <v>2566093.7400000002</v>
      </c>
      <c r="J1401" s="149">
        <f>I1401/D1400</f>
        <v>4842.6000000000004</v>
      </c>
      <c r="K1401" s="149">
        <v>6918</v>
      </c>
    </row>
    <row r="1402" spans="1:11" s="152" customFormat="1" x14ac:dyDescent="0.35">
      <c r="A1402" s="261"/>
      <c r="B1402" s="261"/>
      <c r="C1402" s="264"/>
      <c r="D1402" s="258"/>
      <c r="E1402" s="261"/>
      <c r="F1402" s="261"/>
      <c r="G1402" s="261"/>
      <c r="H1402" s="151" t="s">
        <v>75</v>
      </c>
      <c r="I1402" s="149">
        <v>0</v>
      </c>
      <c r="J1402" s="149">
        <v>0</v>
      </c>
      <c r="K1402" s="149">
        <v>148</v>
      </c>
    </row>
    <row r="1403" spans="1:11" s="152" customFormat="1" x14ac:dyDescent="0.35">
      <c r="A1403" s="280">
        <f>A1400+1</f>
        <v>29</v>
      </c>
      <c r="B1403" s="280">
        <v>6087</v>
      </c>
      <c r="C1403" s="297" t="s">
        <v>201</v>
      </c>
      <c r="D1403" s="256">
        <v>2447.1999999999998</v>
      </c>
      <c r="E1403" s="280" t="s">
        <v>74</v>
      </c>
      <c r="F1403" s="280">
        <v>5</v>
      </c>
      <c r="G1403" s="187"/>
      <c r="H1403" s="186" t="s">
        <v>72</v>
      </c>
      <c r="I1403" s="149">
        <f>I1404+I1405+I1406+I1407+I1408+I1409+I1410+I1411+I1412</f>
        <v>10131408</v>
      </c>
      <c r="J1403" s="149">
        <f>J1404+J1405+J1406+J1407+J1408+J1409+J1410+J1411+J1412</f>
        <v>4140</v>
      </c>
      <c r="K1403" s="149">
        <f>K1404+K1405+K1406+K1407+K1408+K1409+K1410+K1411+K1412</f>
        <v>4227</v>
      </c>
    </row>
    <row r="1404" spans="1:11" s="152" customFormat="1" x14ac:dyDescent="0.35">
      <c r="A1404" s="281"/>
      <c r="B1404" s="281"/>
      <c r="C1404" s="298"/>
      <c r="D1404" s="257"/>
      <c r="E1404" s="281"/>
      <c r="F1404" s="281"/>
      <c r="G1404" s="259" t="s">
        <v>89</v>
      </c>
      <c r="H1404" s="186" t="s">
        <v>635</v>
      </c>
      <c r="I1404" s="149">
        <f>D1403*K1404</f>
        <v>1096345.6000000001</v>
      </c>
      <c r="J1404" s="149">
        <f>I1404/D1403</f>
        <v>448</v>
      </c>
      <c r="K1404" s="149">
        <v>448</v>
      </c>
    </row>
    <row r="1405" spans="1:11" s="152" customFormat="1" x14ac:dyDescent="0.35">
      <c r="A1405" s="281"/>
      <c r="B1405" s="281"/>
      <c r="C1405" s="298"/>
      <c r="D1405" s="257"/>
      <c r="E1405" s="281"/>
      <c r="F1405" s="281"/>
      <c r="G1405" s="261"/>
      <c r="H1405" s="186" t="s">
        <v>75</v>
      </c>
      <c r="I1405" s="149">
        <v>0</v>
      </c>
      <c r="J1405" s="149">
        <f>I1405/D1403</f>
        <v>0</v>
      </c>
      <c r="K1405" s="149">
        <v>10</v>
      </c>
    </row>
    <row r="1406" spans="1:11" s="152" customFormat="1" x14ac:dyDescent="0.35">
      <c r="A1406" s="281"/>
      <c r="B1406" s="281"/>
      <c r="C1406" s="298"/>
      <c r="D1406" s="257"/>
      <c r="E1406" s="281"/>
      <c r="F1406" s="281"/>
      <c r="G1406" s="259" t="s">
        <v>77</v>
      </c>
      <c r="H1406" s="186" t="s">
        <v>635</v>
      </c>
      <c r="I1406" s="149">
        <f>D1403*K1406</f>
        <v>1133053.6000000001</v>
      </c>
      <c r="J1406" s="149">
        <f>I1406/D1403</f>
        <v>463</v>
      </c>
      <c r="K1406" s="149">
        <v>463</v>
      </c>
    </row>
    <row r="1407" spans="1:11" s="152" customFormat="1" x14ac:dyDescent="0.35">
      <c r="A1407" s="281"/>
      <c r="B1407" s="281"/>
      <c r="C1407" s="298"/>
      <c r="D1407" s="257"/>
      <c r="E1407" s="281"/>
      <c r="F1407" s="281"/>
      <c r="G1407" s="261"/>
      <c r="H1407" s="186" t="s">
        <v>75</v>
      </c>
      <c r="I1407" s="149">
        <v>0</v>
      </c>
      <c r="J1407" s="149">
        <f>I1407/D1403</f>
        <v>0</v>
      </c>
      <c r="K1407" s="149">
        <v>10</v>
      </c>
    </row>
    <row r="1408" spans="1:11" s="152" customFormat="1" x14ac:dyDescent="0.35">
      <c r="A1408" s="281"/>
      <c r="B1408" s="281"/>
      <c r="C1408" s="298"/>
      <c r="D1408" s="257"/>
      <c r="E1408" s="281"/>
      <c r="F1408" s="281"/>
      <c r="G1408" s="259" t="s">
        <v>78</v>
      </c>
      <c r="H1408" s="186" t="s">
        <v>635</v>
      </c>
      <c r="I1408" s="149">
        <f>D1403*K1408</f>
        <v>1000904.8</v>
      </c>
      <c r="J1408" s="149">
        <f>I1408/D1403</f>
        <v>409</v>
      </c>
      <c r="K1408" s="149">
        <v>409</v>
      </c>
    </row>
    <row r="1409" spans="1:11" s="152" customFormat="1" x14ac:dyDescent="0.35">
      <c r="A1409" s="281"/>
      <c r="B1409" s="281"/>
      <c r="C1409" s="298"/>
      <c r="D1409" s="257"/>
      <c r="E1409" s="281"/>
      <c r="F1409" s="281"/>
      <c r="G1409" s="261"/>
      <c r="H1409" s="186" t="s">
        <v>75</v>
      </c>
      <c r="I1409" s="149">
        <v>0</v>
      </c>
      <c r="J1409" s="149">
        <f>I1409/D1403</f>
        <v>0</v>
      </c>
      <c r="K1409" s="149">
        <v>9</v>
      </c>
    </row>
    <row r="1410" spans="1:11" s="152" customFormat="1" ht="72.5" customHeight="1" x14ac:dyDescent="0.35">
      <c r="A1410" s="281"/>
      <c r="B1410" s="281"/>
      <c r="C1410" s="298"/>
      <c r="D1410" s="257"/>
      <c r="E1410" s="281"/>
      <c r="F1410" s="281"/>
      <c r="G1410" s="259" t="s">
        <v>76</v>
      </c>
      <c r="H1410" s="186" t="s">
        <v>634</v>
      </c>
      <c r="I1410" s="149">
        <f>D1403*K1410</f>
        <v>315688.8</v>
      </c>
      <c r="J1410" s="149">
        <f>I1410/D1403</f>
        <v>129</v>
      </c>
      <c r="K1410" s="149">
        <f>108+21</f>
        <v>129</v>
      </c>
    </row>
    <row r="1411" spans="1:11" s="152" customFormat="1" x14ac:dyDescent="0.35">
      <c r="A1411" s="281"/>
      <c r="B1411" s="281"/>
      <c r="C1411" s="298"/>
      <c r="D1411" s="257"/>
      <c r="E1411" s="281"/>
      <c r="F1411" s="281"/>
      <c r="G1411" s="260"/>
      <c r="H1411" s="186" t="s">
        <v>635</v>
      </c>
      <c r="I1411" s="149">
        <f>D1403*K1411</f>
        <v>6585415.2000000002</v>
      </c>
      <c r="J1411" s="149">
        <f>I1411/D1403</f>
        <v>2691</v>
      </c>
      <c r="K1411" s="149">
        <v>2691</v>
      </c>
    </row>
    <row r="1412" spans="1:11" s="152" customFormat="1" x14ac:dyDescent="0.35">
      <c r="A1412" s="294"/>
      <c r="B1412" s="294"/>
      <c r="C1412" s="299"/>
      <c r="D1412" s="258"/>
      <c r="E1412" s="294"/>
      <c r="F1412" s="294"/>
      <c r="G1412" s="261"/>
      <c r="H1412" s="186" t="s">
        <v>75</v>
      </c>
      <c r="I1412" s="149">
        <v>0</v>
      </c>
      <c r="J1412" s="149">
        <f>I1412/D1403</f>
        <v>0</v>
      </c>
      <c r="K1412" s="149">
        <v>58</v>
      </c>
    </row>
    <row r="1413" spans="1:11" s="152" customFormat="1" x14ac:dyDescent="0.35">
      <c r="A1413" s="259">
        <f>A1403+1</f>
        <v>30</v>
      </c>
      <c r="B1413" s="259">
        <v>6139</v>
      </c>
      <c r="C1413" s="262" t="s">
        <v>203</v>
      </c>
      <c r="D1413" s="256">
        <v>2152.6</v>
      </c>
      <c r="E1413" s="259" t="s">
        <v>74</v>
      </c>
      <c r="F1413" s="259">
        <v>3</v>
      </c>
      <c r="G1413" s="259" t="s">
        <v>71</v>
      </c>
      <c r="H1413" s="151" t="s">
        <v>72</v>
      </c>
      <c r="I1413" s="149">
        <f>I1414+I1415</f>
        <v>5816282.0899999999</v>
      </c>
      <c r="J1413" s="149">
        <f>J1414+J1415</f>
        <v>2701.98</v>
      </c>
      <c r="K1413" s="149">
        <f>K1414+K1415</f>
        <v>4728</v>
      </c>
    </row>
    <row r="1414" spans="1:11" s="152" customFormat="1" x14ac:dyDescent="0.35">
      <c r="A1414" s="260">
        <v>65</v>
      </c>
      <c r="B1414" s="260"/>
      <c r="C1414" s="263"/>
      <c r="D1414" s="257"/>
      <c r="E1414" s="260"/>
      <c r="F1414" s="260"/>
      <c r="G1414" s="260"/>
      <c r="H1414" s="151" t="s">
        <v>635</v>
      </c>
      <c r="I1414" s="149">
        <f>8308974.41*0.7</f>
        <v>5816282.0899999999</v>
      </c>
      <c r="J1414" s="149">
        <f>I1414/D1413</f>
        <v>2701.98</v>
      </c>
      <c r="K1414" s="149">
        <v>4629</v>
      </c>
    </row>
    <row r="1415" spans="1:11" s="152" customFormat="1" x14ac:dyDescent="0.35">
      <c r="A1415" s="261"/>
      <c r="B1415" s="261"/>
      <c r="C1415" s="264"/>
      <c r="D1415" s="258"/>
      <c r="E1415" s="261"/>
      <c r="F1415" s="261"/>
      <c r="G1415" s="261"/>
      <c r="H1415" s="151" t="s">
        <v>75</v>
      </c>
      <c r="I1415" s="149">
        <v>0</v>
      </c>
      <c r="J1415" s="149">
        <v>0</v>
      </c>
      <c r="K1415" s="149">
        <v>99</v>
      </c>
    </row>
    <row r="1416" spans="1:11" s="152" customFormat="1" x14ac:dyDescent="0.35">
      <c r="A1416" s="259">
        <f>A1413+1</f>
        <v>31</v>
      </c>
      <c r="B1416" s="259">
        <v>6147</v>
      </c>
      <c r="C1416" s="262" t="s">
        <v>205</v>
      </c>
      <c r="D1416" s="256">
        <v>2345.3000000000002</v>
      </c>
      <c r="E1416" s="259" t="s">
        <v>79</v>
      </c>
      <c r="F1416" s="259">
        <v>4</v>
      </c>
      <c r="G1416" s="259" t="s">
        <v>71</v>
      </c>
      <c r="H1416" s="151" t="s">
        <v>72</v>
      </c>
      <c r="I1416" s="149">
        <f>I1417+I1418</f>
        <v>6806691.0499999998</v>
      </c>
      <c r="J1416" s="149">
        <f>J1417+J1418</f>
        <v>2902.27</v>
      </c>
      <c r="K1416" s="149">
        <f>K1417+K1418</f>
        <v>4728</v>
      </c>
    </row>
    <row r="1417" spans="1:11" s="152" customFormat="1" x14ac:dyDescent="0.35">
      <c r="A1417" s="260">
        <v>65</v>
      </c>
      <c r="B1417" s="260"/>
      <c r="C1417" s="263"/>
      <c r="D1417" s="257"/>
      <c r="E1417" s="260"/>
      <c r="F1417" s="260"/>
      <c r="G1417" s="260"/>
      <c r="H1417" s="151" t="s">
        <v>635</v>
      </c>
      <c r="I1417" s="149">
        <f>9723844.35*0.7</f>
        <v>6806691.0499999998</v>
      </c>
      <c r="J1417" s="149">
        <f>I1417/D1416</f>
        <v>2902.27</v>
      </c>
      <c r="K1417" s="149">
        <v>4629</v>
      </c>
    </row>
    <row r="1418" spans="1:11" s="152" customFormat="1" x14ac:dyDescent="0.35">
      <c r="A1418" s="261"/>
      <c r="B1418" s="261"/>
      <c r="C1418" s="264"/>
      <c r="D1418" s="258"/>
      <c r="E1418" s="261"/>
      <c r="F1418" s="261"/>
      <c r="G1418" s="261"/>
      <c r="H1418" s="151" t="s">
        <v>75</v>
      </c>
      <c r="I1418" s="149">
        <v>0</v>
      </c>
      <c r="J1418" s="149">
        <v>0</v>
      </c>
      <c r="K1418" s="149">
        <v>99</v>
      </c>
    </row>
    <row r="1419" spans="1:11" s="152" customFormat="1" x14ac:dyDescent="0.35">
      <c r="A1419" s="265">
        <f>A1416+1</f>
        <v>32</v>
      </c>
      <c r="B1419" s="265">
        <v>6169</v>
      </c>
      <c r="C1419" s="266" t="s">
        <v>501</v>
      </c>
      <c r="D1419" s="295">
        <v>3518</v>
      </c>
      <c r="E1419" s="295" t="s">
        <v>70</v>
      </c>
      <c r="F1419" s="296">
        <v>5</v>
      </c>
      <c r="G1419" s="265" t="s">
        <v>71</v>
      </c>
      <c r="H1419" s="151" t="s">
        <v>72</v>
      </c>
      <c r="I1419" s="149">
        <f>I1420</f>
        <v>263242.44</v>
      </c>
      <c r="J1419" s="149">
        <f>J1420</f>
        <v>74.83</v>
      </c>
      <c r="K1419" s="149">
        <f>K1420</f>
        <v>169</v>
      </c>
    </row>
    <row r="1420" spans="1:11" s="152" customFormat="1" ht="61.5" customHeight="1" x14ac:dyDescent="0.35">
      <c r="A1420" s="265">
        <v>65</v>
      </c>
      <c r="B1420" s="265"/>
      <c r="C1420" s="266"/>
      <c r="D1420" s="295"/>
      <c r="E1420" s="295"/>
      <c r="F1420" s="296"/>
      <c r="G1420" s="265"/>
      <c r="H1420" s="136" t="s">
        <v>673</v>
      </c>
      <c r="I1420" s="149">
        <f>217508.44+45734</f>
        <v>263242.44</v>
      </c>
      <c r="J1420" s="149">
        <f>I1420/D1419</f>
        <v>74.83</v>
      </c>
      <c r="K1420" s="149">
        <f>151+18</f>
        <v>169</v>
      </c>
    </row>
    <row r="1421" spans="1:11" s="152" customFormat="1" ht="15.5" customHeight="1" x14ac:dyDescent="0.35">
      <c r="A1421" s="259">
        <f>A1419+1</f>
        <v>33</v>
      </c>
      <c r="B1421" s="259">
        <v>6171</v>
      </c>
      <c r="C1421" s="262" t="s">
        <v>822</v>
      </c>
      <c r="D1421" s="256">
        <v>10922.43</v>
      </c>
      <c r="E1421" s="259" t="s">
        <v>74</v>
      </c>
      <c r="F1421" s="259">
        <v>9</v>
      </c>
      <c r="G1421" s="259" t="s">
        <v>650</v>
      </c>
      <c r="H1421" s="186" t="s">
        <v>72</v>
      </c>
      <c r="I1421" s="149">
        <f>SUM(I1422:I1424)</f>
        <v>1741104</v>
      </c>
      <c r="J1421" s="149">
        <f>SUM(J1422:J1424)</f>
        <v>159.41</v>
      </c>
      <c r="K1421" s="149">
        <f>SUM(K1422:K1424)</f>
        <v>162.76</v>
      </c>
    </row>
    <row r="1422" spans="1:11" s="152" customFormat="1" ht="46.5" x14ac:dyDescent="0.35">
      <c r="A1422" s="260"/>
      <c r="B1422" s="260"/>
      <c r="C1422" s="263"/>
      <c r="D1422" s="257"/>
      <c r="E1422" s="260"/>
      <c r="F1422" s="260"/>
      <c r="G1422" s="260"/>
      <c r="H1422" s="186" t="s">
        <v>634</v>
      </c>
      <c r="I1422" s="149">
        <v>32281</v>
      </c>
      <c r="J1422" s="149">
        <f>I1422/D1421</f>
        <v>2.96</v>
      </c>
      <c r="K1422" s="149">
        <f>(22681+9600)/D1421</f>
        <v>2.96</v>
      </c>
    </row>
    <row r="1423" spans="1:11" s="152" customFormat="1" x14ac:dyDescent="0.35">
      <c r="A1423" s="260"/>
      <c r="B1423" s="260"/>
      <c r="C1423" s="263"/>
      <c r="D1423" s="257"/>
      <c r="E1423" s="260"/>
      <c r="F1423" s="260"/>
      <c r="G1423" s="260"/>
      <c r="H1423" s="186" t="s">
        <v>642</v>
      </c>
      <c r="I1423" s="149">
        <v>1708823</v>
      </c>
      <c r="J1423" s="149">
        <f>I1423/D1421</f>
        <v>156.44999999999999</v>
      </c>
      <c r="K1423" s="149">
        <f>1708823/D1421</f>
        <v>156.44999999999999</v>
      </c>
    </row>
    <row r="1424" spans="1:11" s="152" customFormat="1" x14ac:dyDescent="0.35">
      <c r="A1424" s="261"/>
      <c r="B1424" s="261"/>
      <c r="C1424" s="264"/>
      <c r="D1424" s="258"/>
      <c r="E1424" s="261"/>
      <c r="F1424" s="261"/>
      <c r="G1424" s="261"/>
      <c r="H1424" s="186" t="s">
        <v>75</v>
      </c>
      <c r="I1424" s="149">
        <v>0</v>
      </c>
      <c r="J1424" s="149">
        <f>I1424/D1421</f>
        <v>0</v>
      </c>
      <c r="K1424" s="149">
        <f>36569/D1421</f>
        <v>3.35</v>
      </c>
    </row>
    <row r="1425" spans="1:11" s="152" customFormat="1" x14ac:dyDescent="0.35">
      <c r="A1425" s="265">
        <f>A1421+1</f>
        <v>34</v>
      </c>
      <c r="B1425" s="265">
        <v>6174</v>
      </c>
      <c r="C1425" s="266" t="s">
        <v>502</v>
      </c>
      <c r="D1425" s="295">
        <v>4381.5200000000004</v>
      </c>
      <c r="E1425" s="295" t="s">
        <v>70</v>
      </c>
      <c r="F1425" s="296">
        <v>5</v>
      </c>
      <c r="G1425" s="265" t="s">
        <v>71</v>
      </c>
      <c r="H1425" s="151" t="s">
        <v>72</v>
      </c>
      <c r="I1425" s="149">
        <f>I1426</f>
        <v>585247.46</v>
      </c>
      <c r="J1425" s="149">
        <f>J1426</f>
        <v>133.57</v>
      </c>
      <c r="K1425" s="149">
        <f>K1426</f>
        <v>169</v>
      </c>
    </row>
    <row r="1426" spans="1:11" s="152" customFormat="1" ht="46.5" x14ac:dyDescent="0.35">
      <c r="A1426" s="265">
        <v>65</v>
      </c>
      <c r="B1426" s="265"/>
      <c r="C1426" s="266"/>
      <c r="D1426" s="295"/>
      <c r="E1426" s="295"/>
      <c r="F1426" s="296"/>
      <c r="G1426" s="265"/>
      <c r="H1426" s="136" t="s">
        <v>673</v>
      </c>
      <c r="I1426" s="149">
        <f>528287.7+56959.76</f>
        <v>585247.46</v>
      </c>
      <c r="J1426" s="149">
        <f>I1426/D1425</f>
        <v>133.57</v>
      </c>
      <c r="K1426" s="149">
        <f>151+18</f>
        <v>169</v>
      </c>
    </row>
    <row r="1427" spans="1:11" s="152" customFormat="1" ht="15.5" customHeight="1" x14ac:dyDescent="0.35">
      <c r="A1427" s="259">
        <f>A1425+1</f>
        <v>35</v>
      </c>
      <c r="B1427" s="259">
        <v>6192</v>
      </c>
      <c r="C1427" s="262" t="s">
        <v>823</v>
      </c>
      <c r="D1427" s="256">
        <v>2421</v>
      </c>
      <c r="E1427" s="259" t="s">
        <v>74</v>
      </c>
      <c r="F1427" s="259">
        <v>9</v>
      </c>
      <c r="G1427" s="259" t="s">
        <v>641</v>
      </c>
      <c r="H1427" s="186" t="s">
        <v>72</v>
      </c>
      <c r="I1427" s="149">
        <f>SUM(I1428:I1430)</f>
        <v>1741104</v>
      </c>
      <c r="J1427" s="149">
        <f>SUM(J1428:J1430)</f>
        <v>719.17</v>
      </c>
      <c r="K1427" s="149">
        <f>SUM(K1428:K1430)</f>
        <v>734.26</v>
      </c>
    </row>
    <row r="1428" spans="1:11" s="152" customFormat="1" ht="46.5" x14ac:dyDescent="0.35">
      <c r="A1428" s="260"/>
      <c r="B1428" s="260"/>
      <c r="C1428" s="263"/>
      <c r="D1428" s="257"/>
      <c r="E1428" s="260"/>
      <c r="F1428" s="260"/>
      <c r="G1428" s="260"/>
      <c r="H1428" s="186" t="s">
        <v>634</v>
      </c>
      <c r="I1428" s="149">
        <v>32281</v>
      </c>
      <c r="J1428" s="149">
        <f>I1428/D1427</f>
        <v>13.33</v>
      </c>
      <c r="K1428" s="149">
        <f>(22681+9600)/D1427</f>
        <v>13.33</v>
      </c>
    </row>
    <row r="1429" spans="1:11" s="152" customFormat="1" x14ac:dyDescent="0.35">
      <c r="A1429" s="260"/>
      <c r="B1429" s="260"/>
      <c r="C1429" s="263"/>
      <c r="D1429" s="257"/>
      <c r="E1429" s="260"/>
      <c r="F1429" s="260"/>
      <c r="G1429" s="260"/>
      <c r="H1429" s="186" t="s">
        <v>642</v>
      </c>
      <c r="I1429" s="149">
        <v>1708823</v>
      </c>
      <c r="J1429" s="149">
        <f>I1429/D1427+0.01</f>
        <v>705.84</v>
      </c>
      <c r="K1429" s="149">
        <f>1708823/D1427+0.01</f>
        <v>705.84</v>
      </c>
    </row>
    <row r="1430" spans="1:11" s="152" customFormat="1" x14ac:dyDescent="0.35">
      <c r="A1430" s="260"/>
      <c r="B1430" s="260"/>
      <c r="C1430" s="263"/>
      <c r="D1430" s="257"/>
      <c r="E1430" s="260"/>
      <c r="F1430" s="260"/>
      <c r="G1430" s="261"/>
      <c r="H1430" s="186" t="s">
        <v>75</v>
      </c>
      <c r="I1430" s="149">
        <v>0</v>
      </c>
      <c r="J1430" s="149">
        <f>I1430/D1427</f>
        <v>0</v>
      </c>
      <c r="K1430" s="149">
        <f>36569/D1427-0.01</f>
        <v>15.09</v>
      </c>
    </row>
    <row r="1431" spans="1:11" s="152" customFormat="1" ht="15.5" customHeight="1" x14ac:dyDescent="0.35">
      <c r="A1431" s="259">
        <f>A1427+1</f>
        <v>36</v>
      </c>
      <c r="B1431" s="259">
        <v>6193</v>
      </c>
      <c r="C1431" s="262" t="s">
        <v>824</v>
      </c>
      <c r="D1431" s="256">
        <v>11067.6</v>
      </c>
      <c r="E1431" s="259" t="s">
        <v>70</v>
      </c>
      <c r="F1431" s="259">
        <v>9</v>
      </c>
      <c r="G1431" s="155"/>
      <c r="H1431" s="186" t="s">
        <v>72</v>
      </c>
      <c r="I1431" s="149">
        <f>SUM(I1432:I1440)</f>
        <v>5223312</v>
      </c>
      <c r="J1431" s="149">
        <f>SUM(J1432:J1440)</f>
        <v>471.95</v>
      </c>
      <c r="K1431" s="149">
        <f>SUM(K1432:K1440)</f>
        <v>481.86</v>
      </c>
    </row>
    <row r="1432" spans="1:11" s="152" customFormat="1" ht="46.5" x14ac:dyDescent="0.35">
      <c r="A1432" s="260"/>
      <c r="B1432" s="260"/>
      <c r="C1432" s="263"/>
      <c r="D1432" s="257"/>
      <c r="E1432" s="260"/>
      <c r="F1432" s="260"/>
      <c r="G1432" s="259" t="s">
        <v>649</v>
      </c>
      <c r="H1432" s="186" t="s">
        <v>634</v>
      </c>
      <c r="I1432" s="149">
        <v>32281</v>
      </c>
      <c r="J1432" s="149">
        <f>I1432/D1431</f>
        <v>2.92</v>
      </c>
      <c r="K1432" s="149">
        <f>(22681+9600)/D1431</f>
        <v>2.92</v>
      </c>
    </row>
    <row r="1433" spans="1:11" s="152" customFormat="1" x14ac:dyDescent="0.35">
      <c r="A1433" s="260"/>
      <c r="B1433" s="260"/>
      <c r="C1433" s="263"/>
      <c r="D1433" s="257"/>
      <c r="E1433" s="260"/>
      <c r="F1433" s="260"/>
      <c r="G1433" s="260"/>
      <c r="H1433" s="186" t="s">
        <v>642</v>
      </c>
      <c r="I1433" s="149">
        <v>1708823</v>
      </c>
      <c r="J1433" s="149">
        <f>I1433/D1431-0.01</f>
        <v>154.38999999999999</v>
      </c>
      <c r="K1433" s="149">
        <f>1708823/D1431</f>
        <v>154.4</v>
      </c>
    </row>
    <row r="1434" spans="1:11" s="152" customFormat="1" x14ac:dyDescent="0.35">
      <c r="A1434" s="260"/>
      <c r="B1434" s="260"/>
      <c r="C1434" s="263"/>
      <c r="D1434" s="257"/>
      <c r="E1434" s="260"/>
      <c r="F1434" s="260"/>
      <c r="G1434" s="261"/>
      <c r="H1434" s="186" t="s">
        <v>75</v>
      </c>
      <c r="I1434" s="149">
        <v>0</v>
      </c>
      <c r="J1434" s="149">
        <f>I1434/D1431</f>
        <v>0</v>
      </c>
      <c r="K1434" s="149">
        <f>36569/D1431</f>
        <v>3.3</v>
      </c>
    </row>
    <row r="1435" spans="1:11" s="152" customFormat="1" ht="46.5" x14ac:dyDescent="0.35">
      <c r="A1435" s="260"/>
      <c r="B1435" s="260"/>
      <c r="C1435" s="263"/>
      <c r="D1435" s="257"/>
      <c r="E1435" s="260"/>
      <c r="F1435" s="260"/>
      <c r="G1435" s="259" t="s">
        <v>646</v>
      </c>
      <c r="H1435" s="186" t="s">
        <v>634</v>
      </c>
      <c r="I1435" s="149">
        <v>32281</v>
      </c>
      <c r="J1435" s="149">
        <f>I1435/D1431</f>
        <v>2.92</v>
      </c>
      <c r="K1435" s="149">
        <f>(22681+9600)/D1431</f>
        <v>2.92</v>
      </c>
    </row>
    <row r="1436" spans="1:11" s="152" customFormat="1" x14ac:dyDescent="0.35">
      <c r="A1436" s="260"/>
      <c r="B1436" s="260"/>
      <c r="C1436" s="263"/>
      <c r="D1436" s="257"/>
      <c r="E1436" s="260"/>
      <c r="F1436" s="260"/>
      <c r="G1436" s="260"/>
      <c r="H1436" s="186" t="s">
        <v>642</v>
      </c>
      <c r="I1436" s="149">
        <v>1708823</v>
      </c>
      <c r="J1436" s="149">
        <f>I1436/D1431</f>
        <v>154.4</v>
      </c>
      <c r="K1436" s="149">
        <f>1708823/D1431</f>
        <v>154.4</v>
      </c>
    </row>
    <row r="1437" spans="1:11" s="152" customFormat="1" x14ac:dyDescent="0.35">
      <c r="A1437" s="260"/>
      <c r="B1437" s="260"/>
      <c r="C1437" s="263"/>
      <c r="D1437" s="257"/>
      <c r="E1437" s="260"/>
      <c r="F1437" s="260"/>
      <c r="G1437" s="261"/>
      <c r="H1437" s="186" t="s">
        <v>75</v>
      </c>
      <c r="I1437" s="149">
        <v>0</v>
      </c>
      <c r="J1437" s="149">
        <f>I1437/D1431</f>
        <v>0</v>
      </c>
      <c r="K1437" s="149">
        <f>36569/D1431</f>
        <v>3.3</v>
      </c>
    </row>
    <row r="1438" spans="1:11" s="152" customFormat="1" ht="46.5" x14ac:dyDescent="0.35">
      <c r="A1438" s="260"/>
      <c r="B1438" s="260"/>
      <c r="C1438" s="263"/>
      <c r="D1438" s="257"/>
      <c r="E1438" s="260"/>
      <c r="F1438" s="260"/>
      <c r="G1438" s="259" t="s">
        <v>650</v>
      </c>
      <c r="H1438" s="186" t="s">
        <v>634</v>
      </c>
      <c r="I1438" s="149">
        <v>32281</v>
      </c>
      <c r="J1438" s="149">
        <f>I1438/D1431</f>
        <v>2.92</v>
      </c>
      <c r="K1438" s="149">
        <f>(22681+9600)/D1431</f>
        <v>2.92</v>
      </c>
    </row>
    <row r="1439" spans="1:11" s="152" customFormat="1" x14ac:dyDescent="0.35">
      <c r="A1439" s="260"/>
      <c r="B1439" s="260"/>
      <c r="C1439" s="263"/>
      <c r="D1439" s="257"/>
      <c r="E1439" s="260"/>
      <c r="F1439" s="260"/>
      <c r="G1439" s="260"/>
      <c r="H1439" s="186" t="s">
        <v>642</v>
      </c>
      <c r="I1439" s="149">
        <v>1708823</v>
      </c>
      <c r="J1439" s="149">
        <f>I1439/D1431</f>
        <v>154.4</v>
      </c>
      <c r="K1439" s="149">
        <f>1708823/D1431</f>
        <v>154.4</v>
      </c>
    </row>
    <row r="1440" spans="1:11" s="152" customFormat="1" x14ac:dyDescent="0.35">
      <c r="A1440" s="261"/>
      <c r="B1440" s="261"/>
      <c r="C1440" s="264"/>
      <c r="D1440" s="258"/>
      <c r="E1440" s="261"/>
      <c r="F1440" s="261"/>
      <c r="G1440" s="261"/>
      <c r="H1440" s="186" t="s">
        <v>75</v>
      </c>
      <c r="I1440" s="149">
        <v>0</v>
      </c>
      <c r="J1440" s="149">
        <f>I1440/D1431</f>
        <v>0</v>
      </c>
      <c r="K1440" s="149">
        <f>36569/D1431</f>
        <v>3.3</v>
      </c>
    </row>
    <row r="1441" spans="1:11" s="152" customFormat="1" x14ac:dyDescent="0.35">
      <c r="A1441" s="259">
        <f>A1431+1</f>
        <v>37</v>
      </c>
      <c r="B1441" s="259">
        <v>6207</v>
      </c>
      <c r="C1441" s="262" t="s">
        <v>210</v>
      </c>
      <c r="D1441" s="256">
        <v>2063.3000000000002</v>
      </c>
      <c r="E1441" s="259" t="s">
        <v>74</v>
      </c>
      <c r="F1441" s="259">
        <v>4</v>
      </c>
      <c r="G1441" s="259" t="s">
        <v>71</v>
      </c>
      <c r="H1441" s="151" t="s">
        <v>72</v>
      </c>
      <c r="I1441" s="149">
        <f>I1442+I1443</f>
        <v>6754876.2999999998</v>
      </c>
      <c r="J1441" s="149">
        <f>J1442+J1443</f>
        <v>3273.82</v>
      </c>
      <c r="K1441" s="149">
        <f>K1442+K1443</f>
        <v>4728</v>
      </c>
    </row>
    <row r="1442" spans="1:11" s="152" customFormat="1" x14ac:dyDescent="0.35">
      <c r="A1442" s="260">
        <v>65</v>
      </c>
      <c r="B1442" s="260"/>
      <c r="C1442" s="263"/>
      <c r="D1442" s="257"/>
      <c r="E1442" s="260"/>
      <c r="F1442" s="260"/>
      <c r="G1442" s="260"/>
      <c r="H1442" s="151" t="s">
        <v>635</v>
      </c>
      <c r="I1442" s="149">
        <v>6754876.2999999998</v>
      </c>
      <c r="J1442" s="149">
        <f>I1442/D1441</f>
        <v>3273.82</v>
      </c>
      <c r="K1442" s="149">
        <v>4629</v>
      </c>
    </row>
    <row r="1443" spans="1:11" s="152" customFormat="1" x14ac:dyDescent="0.35">
      <c r="A1443" s="261"/>
      <c r="B1443" s="261"/>
      <c r="C1443" s="264"/>
      <c r="D1443" s="258"/>
      <c r="E1443" s="261"/>
      <c r="F1443" s="261"/>
      <c r="G1443" s="261"/>
      <c r="H1443" s="151" t="s">
        <v>75</v>
      </c>
      <c r="I1443" s="149">
        <v>0</v>
      </c>
      <c r="J1443" s="149">
        <v>0</v>
      </c>
      <c r="K1443" s="149">
        <v>99</v>
      </c>
    </row>
    <row r="1444" spans="1:11" s="152" customFormat="1" x14ac:dyDescent="0.35">
      <c r="A1444" s="280">
        <f>A1441+1</f>
        <v>38</v>
      </c>
      <c r="B1444" s="280">
        <v>6208</v>
      </c>
      <c r="C1444" s="297" t="s">
        <v>211</v>
      </c>
      <c r="D1444" s="256">
        <v>1569.5</v>
      </c>
      <c r="E1444" s="280" t="s">
        <v>74</v>
      </c>
      <c r="F1444" s="280">
        <v>3</v>
      </c>
      <c r="G1444" s="156"/>
      <c r="H1444" s="151" t="s">
        <v>72</v>
      </c>
      <c r="I1444" s="149">
        <f>I1445+I1446+I1447+I1448+I1449+I1450</f>
        <v>5592128.5</v>
      </c>
      <c r="J1444" s="149">
        <f>J1445+J1446+J1447+J1448+J1449+J1450</f>
        <v>3563</v>
      </c>
      <c r="K1444" s="149">
        <f>K1445+K1446+K1447+K1448+K1449+K1450</f>
        <v>3640</v>
      </c>
    </row>
    <row r="1445" spans="1:11" s="152" customFormat="1" x14ac:dyDescent="0.35">
      <c r="A1445" s="281"/>
      <c r="B1445" s="281"/>
      <c r="C1445" s="298"/>
      <c r="D1445" s="257"/>
      <c r="E1445" s="281"/>
      <c r="F1445" s="281"/>
      <c r="G1445" s="259" t="s">
        <v>77</v>
      </c>
      <c r="H1445" s="151" t="s">
        <v>635</v>
      </c>
      <c r="I1445" s="149">
        <f>D1444*K1445</f>
        <v>726678.5</v>
      </c>
      <c r="J1445" s="149">
        <f>I1445/D1444</f>
        <v>463</v>
      </c>
      <c r="K1445" s="149">
        <v>463</v>
      </c>
    </row>
    <row r="1446" spans="1:11" s="152" customFormat="1" x14ac:dyDescent="0.35">
      <c r="A1446" s="281"/>
      <c r="B1446" s="281"/>
      <c r="C1446" s="298"/>
      <c r="D1446" s="257"/>
      <c r="E1446" s="281"/>
      <c r="F1446" s="281"/>
      <c r="G1446" s="261"/>
      <c r="H1446" s="151" t="s">
        <v>75</v>
      </c>
      <c r="I1446" s="149">
        <v>0</v>
      </c>
      <c r="J1446" s="149">
        <v>0</v>
      </c>
      <c r="K1446" s="149">
        <v>10</v>
      </c>
    </row>
    <row r="1447" spans="1:11" s="152" customFormat="1" x14ac:dyDescent="0.35">
      <c r="A1447" s="281"/>
      <c r="B1447" s="281"/>
      <c r="C1447" s="298"/>
      <c r="D1447" s="257"/>
      <c r="E1447" s="281"/>
      <c r="F1447" s="281"/>
      <c r="G1447" s="259" t="s">
        <v>78</v>
      </c>
      <c r="H1447" s="151" t="s">
        <v>635</v>
      </c>
      <c r="I1447" s="149">
        <f>D1444*K1447</f>
        <v>641925.5</v>
      </c>
      <c r="J1447" s="149">
        <f>I1447/D1444</f>
        <v>409</v>
      </c>
      <c r="K1447" s="149">
        <v>409</v>
      </c>
    </row>
    <row r="1448" spans="1:11" s="152" customFormat="1" x14ac:dyDescent="0.35">
      <c r="A1448" s="281"/>
      <c r="B1448" s="281"/>
      <c r="C1448" s="298"/>
      <c r="D1448" s="257"/>
      <c r="E1448" s="281"/>
      <c r="F1448" s="281"/>
      <c r="G1448" s="261"/>
      <c r="H1448" s="151" t="s">
        <v>75</v>
      </c>
      <c r="I1448" s="149">
        <v>0</v>
      </c>
      <c r="J1448" s="149">
        <v>0</v>
      </c>
      <c r="K1448" s="149">
        <v>9</v>
      </c>
    </row>
    <row r="1449" spans="1:11" s="152" customFormat="1" x14ac:dyDescent="0.35">
      <c r="A1449" s="281"/>
      <c r="B1449" s="281"/>
      <c r="C1449" s="298"/>
      <c r="D1449" s="257"/>
      <c r="E1449" s="281"/>
      <c r="F1449" s="281"/>
      <c r="G1449" s="259" t="s">
        <v>76</v>
      </c>
      <c r="H1449" s="151" t="s">
        <v>635</v>
      </c>
      <c r="I1449" s="149">
        <f>D1444*K1449</f>
        <v>4223524.5</v>
      </c>
      <c r="J1449" s="149">
        <f>I1449/D1444</f>
        <v>2691</v>
      </c>
      <c r="K1449" s="149">
        <v>2691</v>
      </c>
    </row>
    <row r="1450" spans="1:11" s="152" customFormat="1" x14ac:dyDescent="0.35">
      <c r="A1450" s="294"/>
      <c r="B1450" s="294"/>
      <c r="C1450" s="299"/>
      <c r="D1450" s="258"/>
      <c r="E1450" s="294"/>
      <c r="F1450" s="294"/>
      <c r="G1450" s="261"/>
      <c r="H1450" s="151" t="s">
        <v>75</v>
      </c>
      <c r="I1450" s="149">
        <v>0</v>
      </c>
      <c r="J1450" s="149">
        <v>0</v>
      </c>
      <c r="K1450" s="149">
        <v>58</v>
      </c>
    </row>
    <row r="1451" spans="1:11" s="152" customFormat="1" x14ac:dyDescent="0.35">
      <c r="A1451" s="280">
        <f>A1444+1</f>
        <v>39</v>
      </c>
      <c r="B1451" s="280">
        <v>6234</v>
      </c>
      <c r="C1451" s="297" t="s">
        <v>212</v>
      </c>
      <c r="D1451" s="256">
        <v>2118.1</v>
      </c>
      <c r="E1451" s="280" t="s">
        <v>74</v>
      </c>
      <c r="F1451" s="280">
        <v>4</v>
      </c>
      <c r="G1451" s="156"/>
      <c r="H1451" s="151" t="s">
        <v>72</v>
      </c>
      <c r="I1451" s="149">
        <f>I1452+I1453+I1454+I1455+I1456+I1457</f>
        <v>7546790.2999999998</v>
      </c>
      <c r="J1451" s="149">
        <f>J1452+J1453+J1454+J1455+J1456+J1457</f>
        <v>3563</v>
      </c>
      <c r="K1451" s="149">
        <f>K1452+K1453+K1454+K1455+K1456+K1457</f>
        <v>3640</v>
      </c>
    </row>
    <row r="1452" spans="1:11" s="152" customFormat="1" x14ac:dyDescent="0.35">
      <c r="A1452" s="281"/>
      <c r="B1452" s="281"/>
      <c r="C1452" s="298"/>
      <c r="D1452" s="257"/>
      <c r="E1452" s="281"/>
      <c r="F1452" s="281"/>
      <c r="G1452" s="259" t="s">
        <v>77</v>
      </c>
      <c r="H1452" s="151" t="s">
        <v>635</v>
      </c>
      <c r="I1452" s="149">
        <f>D1451*K1452</f>
        <v>980680.3</v>
      </c>
      <c r="J1452" s="149">
        <f>I1452/D1451</f>
        <v>463</v>
      </c>
      <c r="K1452" s="149">
        <v>463</v>
      </c>
    </row>
    <row r="1453" spans="1:11" s="152" customFormat="1" x14ac:dyDescent="0.35">
      <c r="A1453" s="281"/>
      <c r="B1453" s="281"/>
      <c r="C1453" s="298"/>
      <c r="D1453" s="257"/>
      <c r="E1453" s="281"/>
      <c r="F1453" s="281"/>
      <c r="G1453" s="261"/>
      <c r="H1453" s="151" t="s">
        <v>75</v>
      </c>
      <c r="I1453" s="149">
        <v>0</v>
      </c>
      <c r="J1453" s="149">
        <v>0</v>
      </c>
      <c r="K1453" s="149">
        <v>10</v>
      </c>
    </row>
    <row r="1454" spans="1:11" s="152" customFormat="1" x14ac:dyDescent="0.35">
      <c r="A1454" s="281"/>
      <c r="B1454" s="281"/>
      <c r="C1454" s="298"/>
      <c r="D1454" s="257"/>
      <c r="E1454" s="281"/>
      <c r="F1454" s="281"/>
      <c r="G1454" s="259" t="s">
        <v>78</v>
      </c>
      <c r="H1454" s="151" t="s">
        <v>635</v>
      </c>
      <c r="I1454" s="149">
        <f>D1451*K1454</f>
        <v>866302.9</v>
      </c>
      <c r="J1454" s="149">
        <f>I1454/D1451</f>
        <v>409</v>
      </c>
      <c r="K1454" s="149">
        <v>409</v>
      </c>
    </row>
    <row r="1455" spans="1:11" s="152" customFormat="1" x14ac:dyDescent="0.35">
      <c r="A1455" s="281"/>
      <c r="B1455" s="281"/>
      <c r="C1455" s="298"/>
      <c r="D1455" s="257"/>
      <c r="E1455" s="281"/>
      <c r="F1455" s="281"/>
      <c r="G1455" s="261"/>
      <c r="H1455" s="151" t="s">
        <v>75</v>
      </c>
      <c r="I1455" s="149">
        <v>0</v>
      </c>
      <c r="J1455" s="149">
        <v>0</v>
      </c>
      <c r="K1455" s="149">
        <v>9</v>
      </c>
    </row>
    <row r="1456" spans="1:11" s="152" customFormat="1" x14ac:dyDescent="0.35">
      <c r="A1456" s="281"/>
      <c r="B1456" s="281"/>
      <c r="C1456" s="298"/>
      <c r="D1456" s="257"/>
      <c r="E1456" s="281"/>
      <c r="F1456" s="281"/>
      <c r="G1456" s="259" t="s">
        <v>76</v>
      </c>
      <c r="H1456" s="151" t="s">
        <v>635</v>
      </c>
      <c r="I1456" s="149">
        <f>D1451*K1456</f>
        <v>5699807.0999999996</v>
      </c>
      <c r="J1456" s="149">
        <f>I1456/D1451</f>
        <v>2691</v>
      </c>
      <c r="K1456" s="149">
        <v>2691</v>
      </c>
    </row>
    <row r="1457" spans="1:11" s="152" customFormat="1" x14ac:dyDescent="0.35">
      <c r="A1457" s="294"/>
      <c r="B1457" s="294"/>
      <c r="C1457" s="299"/>
      <c r="D1457" s="258"/>
      <c r="E1457" s="294"/>
      <c r="F1457" s="294"/>
      <c r="G1457" s="261"/>
      <c r="H1457" s="151" t="s">
        <v>75</v>
      </c>
      <c r="I1457" s="149">
        <v>0</v>
      </c>
      <c r="J1457" s="149">
        <v>0</v>
      </c>
      <c r="K1457" s="149">
        <v>58</v>
      </c>
    </row>
    <row r="1458" spans="1:11" s="152" customFormat="1" x14ac:dyDescent="0.35">
      <c r="A1458" s="259">
        <f>A1451+1</f>
        <v>40</v>
      </c>
      <c r="B1458" s="259">
        <v>6237</v>
      </c>
      <c r="C1458" s="262" t="s">
        <v>503</v>
      </c>
      <c r="D1458" s="256">
        <v>542.70000000000005</v>
      </c>
      <c r="E1458" s="256" t="s">
        <v>633</v>
      </c>
      <c r="F1458" s="280">
        <v>2</v>
      </c>
      <c r="G1458" s="156"/>
      <c r="H1458" s="151" t="s">
        <v>72</v>
      </c>
      <c r="I1458" s="149">
        <f>I1459+I1460</f>
        <v>148214.74</v>
      </c>
      <c r="J1458" s="149">
        <f>J1459+J1460</f>
        <v>273.11</v>
      </c>
      <c r="K1458" s="149">
        <f>K1459+K1460</f>
        <v>412</v>
      </c>
    </row>
    <row r="1459" spans="1:11" s="152" customFormat="1" ht="46.5" x14ac:dyDescent="0.35">
      <c r="A1459" s="260"/>
      <c r="B1459" s="260"/>
      <c r="C1459" s="263"/>
      <c r="D1459" s="257"/>
      <c r="E1459" s="257"/>
      <c r="F1459" s="281"/>
      <c r="G1459" s="153" t="s">
        <v>71</v>
      </c>
      <c r="H1459" s="136" t="s">
        <v>673</v>
      </c>
      <c r="I1459" s="149">
        <v>90787.7</v>
      </c>
      <c r="J1459" s="149">
        <f>I1459/D1458</f>
        <v>167.29</v>
      </c>
      <c r="K1459" s="149">
        <f>164+96</f>
        <v>260</v>
      </c>
    </row>
    <row r="1460" spans="1:11" s="152" customFormat="1" ht="108.5" x14ac:dyDescent="0.35">
      <c r="A1460" s="261"/>
      <c r="B1460" s="261"/>
      <c r="C1460" s="264"/>
      <c r="D1460" s="258"/>
      <c r="E1460" s="258"/>
      <c r="F1460" s="294"/>
      <c r="G1460" s="153" t="s">
        <v>108</v>
      </c>
      <c r="H1460" s="151" t="s">
        <v>634</v>
      </c>
      <c r="I1460" s="149">
        <v>57427.040000000001</v>
      </c>
      <c r="J1460" s="149">
        <f>I1460/D1458</f>
        <v>105.82</v>
      </c>
      <c r="K1460" s="149">
        <f>112+40</f>
        <v>152</v>
      </c>
    </row>
    <row r="1461" spans="1:11" s="152" customFormat="1" x14ac:dyDescent="0.35">
      <c r="A1461" s="280">
        <f>A1458+1</f>
        <v>41</v>
      </c>
      <c r="B1461" s="280">
        <v>6244</v>
      </c>
      <c r="C1461" s="297" t="s">
        <v>213</v>
      </c>
      <c r="D1461" s="256">
        <v>520.5</v>
      </c>
      <c r="E1461" s="280" t="s">
        <v>79</v>
      </c>
      <c r="F1461" s="280">
        <v>2</v>
      </c>
      <c r="G1461" s="2"/>
      <c r="H1461" s="157" t="s">
        <v>72</v>
      </c>
      <c r="I1461" s="188">
        <f>I1462+I1463+I1464+I1465+I1466+I1467</f>
        <v>1124698.71</v>
      </c>
      <c r="J1461" s="188">
        <f>J1462+J1463+J1464+J1465+J1466+J1467</f>
        <v>2160.8000000000002</v>
      </c>
      <c r="K1461" s="188">
        <f>K1462+K1463+K1464+K1465+K1466+K1467</f>
        <v>3642</v>
      </c>
    </row>
    <row r="1462" spans="1:11" s="152" customFormat="1" x14ac:dyDescent="0.35">
      <c r="A1462" s="281"/>
      <c r="B1462" s="281"/>
      <c r="C1462" s="298"/>
      <c r="D1462" s="257"/>
      <c r="E1462" s="281"/>
      <c r="F1462" s="281"/>
      <c r="G1462" s="265" t="s">
        <v>76</v>
      </c>
      <c r="H1462" s="151" t="s">
        <v>635</v>
      </c>
      <c r="I1462" s="149">
        <f>1379654.51*0.7</f>
        <v>965758.16</v>
      </c>
      <c r="J1462" s="149">
        <f>I1462/D1461</f>
        <v>1855.44</v>
      </c>
      <c r="K1462" s="149">
        <v>2691</v>
      </c>
    </row>
    <row r="1463" spans="1:11" s="152" customFormat="1" x14ac:dyDescent="0.35">
      <c r="A1463" s="281"/>
      <c r="B1463" s="281"/>
      <c r="C1463" s="298"/>
      <c r="D1463" s="257"/>
      <c r="E1463" s="281"/>
      <c r="F1463" s="281"/>
      <c r="G1463" s="265"/>
      <c r="H1463" s="151" t="s">
        <v>75</v>
      </c>
      <c r="I1463" s="149">
        <v>0</v>
      </c>
      <c r="J1463" s="149">
        <v>0</v>
      </c>
      <c r="K1463" s="149">
        <v>58</v>
      </c>
    </row>
    <row r="1464" spans="1:11" s="152" customFormat="1" x14ac:dyDescent="0.35">
      <c r="A1464" s="281"/>
      <c r="B1464" s="281"/>
      <c r="C1464" s="298"/>
      <c r="D1464" s="257"/>
      <c r="E1464" s="281"/>
      <c r="F1464" s="281"/>
      <c r="G1464" s="265" t="s">
        <v>77</v>
      </c>
      <c r="H1464" s="151" t="s">
        <v>635</v>
      </c>
      <c r="I1464" s="149">
        <f>136848.12*0.7</f>
        <v>95793.68</v>
      </c>
      <c r="J1464" s="149">
        <f>I1464/D1461</f>
        <v>184.04</v>
      </c>
      <c r="K1464" s="149">
        <v>452</v>
      </c>
    </row>
    <row r="1465" spans="1:11" s="152" customFormat="1" x14ac:dyDescent="0.35">
      <c r="A1465" s="281"/>
      <c r="B1465" s="281"/>
      <c r="C1465" s="298"/>
      <c r="D1465" s="257"/>
      <c r="E1465" s="281"/>
      <c r="F1465" s="281"/>
      <c r="G1465" s="265"/>
      <c r="H1465" s="151" t="s">
        <v>75</v>
      </c>
      <c r="I1465" s="149">
        <v>0</v>
      </c>
      <c r="J1465" s="149">
        <v>0</v>
      </c>
      <c r="K1465" s="149">
        <v>10</v>
      </c>
    </row>
    <row r="1466" spans="1:11" s="152" customFormat="1" x14ac:dyDescent="0.35">
      <c r="A1466" s="281"/>
      <c r="B1466" s="281"/>
      <c r="C1466" s="298"/>
      <c r="D1466" s="257"/>
      <c r="E1466" s="281"/>
      <c r="F1466" s="281"/>
      <c r="G1466" s="265" t="s">
        <v>78</v>
      </c>
      <c r="H1466" s="151" t="s">
        <v>635</v>
      </c>
      <c r="I1466" s="149">
        <f>90209.82*0.7</f>
        <v>63146.87</v>
      </c>
      <c r="J1466" s="149">
        <f>I1466/D1461</f>
        <v>121.32</v>
      </c>
      <c r="K1466" s="149">
        <v>422</v>
      </c>
    </row>
    <row r="1467" spans="1:11" s="152" customFormat="1" x14ac:dyDescent="0.35">
      <c r="A1467" s="294"/>
      <c r="B1467" s="294"/>
      <c r="C1467" s="299"/>
      <c r="D1467" s="258"/>
      <c r="E1467" s="294"/>
      <c r="F1467" s="294"/>
      <c r="G1467" s="265"/>
      <c r="H1467" s="151" t="s">
        <v>75</v>
      </c>
      <c r="I1467" s="149">
        <v>0</v>
      </c>
      <c r="J1467" s="149">
        <v>0</v>
      </c>
      <c r="K1467" s="149">
        <v>9</v>
      </c>
    </row>
    <row r="1468" spans="1:11" s="152" customFormat="1" x14ac:dyDescent="0.35">
      <c r="A1468" s="265">
        <f>A1461+1</f>
        <v>42</v>
      </c>
      <c r="B1468" s="265">
        <v>6248</v>
      </c>
      <c r="C1468" s="266" t="s">
        <v>505</v>
      </c>
      <c r="D1468" s="295">
        <v>526.4</v>
      </c>
      <c r="E1468" s="295" t="s">
        <v>79</v>
      </c>
      <c r="F1468" s="296">
        <v>2</v>
      </c>
      <c r="G1468" s="265" t="s">
        <v>71</v>
      </c>
      <c r="H1468" s="151" t="s">
        <v>72</v>
      </c>
      <c r="I1468" s="149">
        <f>I1469</f>
        <v>93699.199999999997</v>
      </c>
      <c r="J1468" s="149">
        <f>J1469</f>
        <v>178</v>
      </c>
      <c r="K1468" s="149">
        <f>K1469</f>
        <v>260</v>
      </c>
    </row>
    <row r="1469" spans="1:11" s="152" customFormat="1" ht="46.5" x14ac:dyDescent="0.35">
      <c r="A1469" s="265">
        <v>65</v>
      </c>
      <c r="B1469" s="265"/>
      <c r="C1469" s="266"/>
      <c r="D1469" s="295"/>
      <c r="E1469" s="295"/>
      <c r="F1469" s="296"/>
      <c r="G1469" s="265"/>
      <c r="H1469" s="136" t="s">
        <v>673</v>
      </c>
      <c r="I1469" s="149">
        <v>93699.199999999997</v>
      </c>
      <c r="J1469" s="149">
        <f>I1469/D1468</f>
        <v>178</v>
      </c>
      <c r="K1469" s="149">
        <f>164+96</f>
        <v>260</v>
      </c>
    </row>
    <row r="1470" spans="1:11" s="152" customFormat="1" x14ac:dyDescent="0.35">
      <c r="A1470" s="265">
        <f>A1468+1</f>
        <v>43</v>
      </c>
      <c r="B1470" s="265">
        <v>6250</v>
      </c>
      <c r="C1470" s="266" t="s">
        <v>506</v>
      </c>
      <c r="D1470" s="295">
        <v>520.9</v>
      </c>
      <c r="E1470" s="295" t="s">
        <v>79</v>
      </c>
      <c r="F1470" s="296">
        <v>2</v>
      </c>
      <c r="G1470" s="265" t="s">
        <v>71</v>
      </c>
      <c r="H1470" s="151" t="s">
        <v>72</v>
      </c>
      <c r="I1470" s="149">
        <f>I1471</f>
        <v>92720.2</v>
      </c>
      <c r="J1470" s="149">
        <f>J1471</f>
        <v>178</v>
      </c>
      <c r="K1470" s="149">
        <f>K1471</f>
        <v>260</v>
      </c>
    </row>
    <row r="1471" spans="1:11" s="152" customFormat="1" ht="46.5" x14ac:dyDescent="0.35">
      <c r="A1471" s="265">
        <v>65</v>
      </c>
      <c r="B1471" s="265"/>
      <c r="C1471" s="266"/>
      <c r="D1471" s="295"/>
      <c r="E1471" s="295"/>
      <c r="F1471" s="296"/>
      <c r="G1471" s="265"/>
      <c r="H1471" s="136" t="s">
        <v>673</v>
      </c>
      <c r="I1471" s="149">
        <v>92720.2</v>
      </c>
      <c r="J1471" s="149">
        <f>I1471/D1470</f>
        <v>178</v>
      </c>
      <c r="K1471" s="149">
        <f>164+96</f>
        <v>260</v>
      </c>
    </row>
    <row r="1472" spans="1:11" s="152" customFormat="1" x14ac:dyDescent="0.35">
      <c r="A1472" s="265">
        <f>A1470+1</f>
        <v>44</v>
      </c>
      <c r="B1472" s="265">
        <v>6271</v>
      </c>
      <c r="C1472" s="266" t="s">
        <v>507</v>
      </c>
      <c r="D1472" s="295">
        <v>1461</v>
      </c>
      <c r="E1472" s="295" t="s">
        <v>79</v>
      </c>
      <c r="F1472" s="296">
        <v>3</v>
      </c>
      <c r="G1472" s="265" t="s">
        <v>71</v>
      </c>
      <c r="H1472" s="151" t="s">
        <v>72</v>
      </c>
      <c r="I1472" s="149">
        <f>I1473</f>
        <v>151084.54</v>
      </c>
      <c r="J1472" s="149">
        <f>J1473</f>
        <v>103.41</v>
      </c>
      <c r="K1472" s="149">
        <f>K1473</f>
        <v>252</v>
      </c>
    </row>
    <row r="1473" spans="1:11" s="152" customFormat="1" ht="46.5" x14ac:dyDescent="0.35">
      <c r="A1473" s="265">
        <v>65</v>
      </c>
      <c r="B1473" s="265"/>
      <c r="C1473" s="266"/>
      <c r="D1473" s="295"/>
      <c r="E1473" s="295"/>
      <c r="F1473" s="296"/>
      <c r="G1473" s="265"/>
      <c r="H1473" s="136" t="s">
        <v>673</v>
      </c>
      <c r="I1473" s="149">
        <v>151084.54</v>
      </c>
      <c r="J1473" s="149">
        <f>I1473/D1472</f>
        <v>103.41</v>
      </c>
      <c r="K1473" s="149">
        <f>164+88</f>
        <v>252</v>
      </c>
    </row>
    <row r="1474" spans="1:11" s="152" customFormat="1" x14ac:dyDescent="0.35">
      <c r="A1474" s="265">
        <f>A1472+1</f>
        <v>45</v>
      </c>
      <c r="B1474" s="265">
        <v>6282</v>
      </c>
      <c r="C1474" s="266" t="s">
        <v>508</v>
      </c>
      <c r="D1474" s="295">
        <v>532.9</v>
      </c>
      <c r="E1474" s="295" t="s">
        <v>79</v>
      </c>
      <c r="F1474" s="296">
        <v>2</v>
      </c>
      <c r="G1474" s="265" t="s">
        <v>71</v>
      </c>
      <c r="H1474" s="151" t="s">
        <v>72</v>
      </c>
      <c r="I1474" s="149">
        <f>I1475</f>
        <v>93728.56</v>
      </c>
      <c r="J1474" s="149">
        <f>J1475</f>
        <v>175.88</v>
      </c>
      <c r="K1474" s="149">
        <f>K1475</f>
        <v>260</v>
      </c>
    </row>
    <row r="1475" spans="1:11" s="152" customFormat="1" ht="46.5" x14ac:dyDescent="0.35">
      <c r="A1475" s="265">
        <v>65</v>
      </c>
      <c r="B1475" s="265"/>
      <c r="C1475" s="266"/>
      <c r="D1475" s="295"/>
      <c r="E1475" s="295"/>
      <c r="F1475" s="296"/>
      <c r="G1475" s="265"/>
      <c r="H1475" s="136" t="s">
        <v>673</v>
      </c>
      <c r="I1475" s="149">
        <v>93728.56</v>
      </c>
      <c r="J1475" s="149">
        <f>I1475/D1474</f>
        <v>175.88</v>
      </c>
      <c r="K1475" s="149">
        <f>164+96</f>
        <v>260</v>
      </c>
    </row>
    <row r="1476" spans="1:11" s="152" customFormat="1" x14ac:dyDescent="0.35">
      <c r="A1476" s="259">
        <f>A1474+1</f>
        <v>46</v>
      </c>
      <c r="B1476" s="259">
        <v>6296</v>
      </c>
      <c r="C1476" s="262" t="s">
        <v>214</v>
      </c>
      <c r="D1476" s="256">
        <v>1473.9</v>
      </c>
      <c r="E1476" s="280" t="s">
        <v>79</v>
      </c>
      <c r="F1476" s="280">
        <v>3</v>
      </c>
      <c r="G1476" s="259" t="s">
        <v>71</v>
      </c>
      <c r="H1476" s="151" t="s">
        <v>72</v>
      </c>
      <c r="I1476" s="149">
        <f>I1477+I1478</f>
        <v>4471112.33</v>
      </c>
      <c r="J1476" s="149">
        <f>J1477+J1478</f>
        <v>3033.52</v>
      </c>
      <c r="K1476" s="149">
        <f>K1477+K1478</f>
        <v>4728</v>
      </c>
    </row>
    <row r="1477" spans="1:11" s="152" customFormat="1" x14ac:dyDescent="0.35">
      <c r="A1477" s="260">
        <v>65</v>
      </c>
      <c r="B1477" s="260"/>
      <c r="C1477" s="263"/>
      <c r="D1477" s="257"/>
      <c r="E1477" s="281"/>
      <c r="F1477" s="281"/>
      <c r="G1477" s="260"/>
      <c r="H1477" s="151" t="s">
        <v>635</v>
      </c>
      <c r="I1477" s="149">
        <f>6387303.33*0.7</f>
        <v>4471112.33</v>
      </c>
      <c r="J1477" s="149">
        <f>I1477/D1476</f>
        <v>3033.52</v>
      </c>
      <c r="K1477" s="149">
        <v>4629</v>
      </c>
    </row>
    <row r="1478" spans="1:11" s="152" customFormat="1" x14ac:dyDescent="0.35">
      <c r="A1478" s="261"/>
      <c r="B1478" s="261"/>
      <c r="C1478" s="264"/>
      <c r="D1478" s="258"/>
      <c r="E1478" s="294"/>
      <c r="F1478" s="294"/>
      <c r="G1478" s="261"/>
      <c r="H1478" s="151" t="s">
        <v>75</v>
      </c>
      <c r="I1478" s="149">
        <v>0</v>
      </c>
      <c r="J1478" s="149">
        <v>0</v>
      </c>
      <c r="K1478" s="149">
        <v>99</v>
      </c>
    </row>
    <row r="1479" spans="1:11" s="152" customFormat="1" ht="15.5" customHeight="1" x14ac:dyDescent="0.35">
      <c r="A1479" s="259">
        <f>A1476+1</f>
        <v>47</v>
      </c>
      <c r="B1479" s="259">
        <v>6325</v>
      </c>
      <c r="C1479" s="262" t="s">
        <v>825</v>
      </c>
      <c r="D1479" s="256">
        <v>4725.2</v>
      </c>
      <c r="E1479" s="259" t="s">
        <v>74</v>
      </c>
      <c r="F1479" s="259">
        <v>9</v>
      </c>
      <c r="G1479" s="259" t="s">
        <v>641</v>
      </c>
      <c r="H1479" s="186" t="s">
        <v>72</v>
      </c>
      <c r="I1479" s="149">
        <f>I1480+I1481+I1482</f>
        <v>1741104</v>
      </c>
      <c r="J1479" s="149">
        <f>J1480+J1481+J1482</f>
        <v>368.47</v>
      </c>
      <c r="K1479" s="149">
        <f>K1480+K1481+K1482</f>
        <v>376.21</v>
      </c>
    </row>
    <row r="1480" spans="1:11" s="152" customFormat="1" ht="46.5" x14ac:dyDescent="0.35">
      <c r="A1480" s="260"/>
      <c r="B1480" s="260"/>
      <c r="C1480" s="263"/>
      <c r="D1480" s="257"/>
      <c r="E1480" s="260"/>
      <c r="F1480" s="260"/>
      <c r="G1480" s="260"/>
      <c r="H1480" s="186" t="s">
        <v>634</v>
      </c>
      <c r="I1480" s="149">
        <f>(22681+9600)</f>
        <v>32281</v>
      </c>
      <c r="J1480" s="149">
        <f>I1480/D1479</f>
        <v>6.83</v>
      </c>
      <c r="K1480" s="149">
        <f>(22681+9600)/4725.2</f>
        <v>6.83</v>
      </c>
    </row>
    <row r="1481" spans="1:11" s="152" customFormat="1" x14ac:dyDescent="0.35">
      <c r="A1481" s="260"/>
      <c r="B1481" s="260"/>
      <c r="C1481" s="263"/>
      <c r="D1481" s="257"/>
      <c r="E1481" s="260"/>
      <c r="F1481" s="260"/>
      <c r="G1481" s="260"/>
      <c r="H1481" s="186" t="s">
        <v>642</v>
      </c>
      <c r="I1481" s="149">
        <v>1708823</v>
      </c>
      <c r="J1481" s="149">
        <f>I1481/D1479</f>
        <v>361.64</v>
      </c>
      <c r="K1481" s="149">
        <f>1708823/4725.2</f>
        <v>361.64</v>
      </c>
    </row>
    <row r="1482" spans="1:11" s="152" customFormat="1" x14ac:dyDescent="0.35">
      <c r="A1482" s="261"/>
      <c r="B1482" s="261"/>
      <c r="C1482" s="264"/>
      <c r="D1482" s="258"/>
      <c r="E1482" s="261"/>
      <c r="F1482" s="261"/>
      <c r="G1482" s="261"/>
      <c r="H1482" s="186" t="s">
        <v>75</v>
      </c>
      <c r="I1482" s="149">
        <v>0</v>
      </c>
      <c r="J1482" s="149">
        <f>I1482/D1479</f>
        <v>0</v>
      </c>
      <c r="K1482" s="149">
        <f>36569/4725.2</f>
        <v>7.74</v>
      </c>
    </row>
    <row r="1483" spans="1:11" s="152" customFormat="1" x14ac:dyDescent="0.35">
      <c r="A1483" s="259">
        <f>A1479+1</f>
        <v>48</v>
      </c>
      <c r="B1483" s="259">
        <v>6341</v>
      </c>
      <c r="C1483" s="262" t="s">
        <v>509</v>
      </c>
      <c r="D1483" s="256">
        <v>884.5</v>
      </c>
      <c r="E1483" s="256" t="s">
        <v>79</v>
      </c>
      <c r="F1483" s="280">
        <v>2</v>
      </c>
      <c r="G1483" s="259" t="s">
        <v>71</v>
      </c>
      <c r="H1483" s="151" t="s">
        <v>72</v>
      </c>
      <c r="I1483" s="149">
        <f>I1484</f>
        <v>110728.95</v>
      </c>
      <c r="J1483" s="149">
        <f>J1484</f>
        <v>125.19</v>
      </c>
      <c r="K1483" s="149">
        <f>K1484</f>
        <v>260</v>
      </c>
    </row>
    <row r="1484" spans="1:11" s="152" customFormat="1" ht="46.5" x14ac:dyDescent="0.35">
      <c r="A1484" s="261">
        <v>65</v>
      </c>
      <c r="B1484" s="261"/>
      <c r="C1484" s="264"/>
      <c r="D1484" s="258"/>
      <c r="E1484" s="258"/>
      <c r="F1484" s="294"/>
      <c r="G1484" s="261"/>
      <c r="H1484" s="136" t="s">
        <v>673</v>
      </c>
      <c r="I1484" s="149">
        <v>110728.95</v>
      </c>
      <c r="J1484" s="149">
        <f>I1484/D1483</f>
        <v>125.19</v>
      </c>
      <c r="K1484" s="149">
        <f>164+96</f>
        <v>260</v>
      </c>
    </row>
    <row r="1485" spans="1:11" s="152" customFormat="1" x14ac:dyDescent="0.35">
      <c r="A1485" s="259">
        <f>A1483+1</f>
        <v>49</v>
      </c>
      <c r="B1485" s="259">
        <v>6343</v>
      </c>
      <c r="C1485" s="262" t="s">
        <v>220</v>
      </c>
      <c r="D1485" s="256">
        <v>877.1</v>
      </c>
      <c r="E1485" s="259" t="s">
        <v>79</v>
      </c>
      <c r="F1485" s="259">
        <v>2</v>
      </c>
      <c r="G1485" s="259" t="s">
        <v>71</v>
      </c>
      <c r="H1485" s="151" t="s">
        <v>72</v>
      </c>
      <c r="I1485" s="149">
        <f>I1486+I1487</f>
        <v>4892666.28</v>
      </c>
      <c r="J1485" s="149">
        <f>J1486+J1487</f>
        <v>5578.23</v>
      </c>
      <c r="K1485" s="149">
        <f>K1486+K1487</f>
        <v>7066</v>
      </c>
    </row>
    <row r="1486" spans="1:11" s="152" customFormat="1" x14ac:dyDescent="0.35">
      <c r="A1486" s="260"/>
      <c r="B1486" s="260"/>
      <c r="C1486" s="263"/>
      <c r="D1486" s="257"/>
      <c r="E1486" s="260"/>
      <c r="F1486" s="260"/>
      <c r="G1486" s="260"/>
      <c r="H1486" s="151" t="s">
        <v>635</v>
      </c>
      <c r="I1486" s="149">
        <v>4892666.28</v>
      </c>
      <c r="J1486" s="149">
        <f>I1486/D1485</f>
        <v>5578.23</v>
      </c>
      <c r="K1486" s="149">
        <v>6918</v>
      </c>
    </row>
    <row r="1487" spans="1:11" s="152" customFormat="1" x14ac:dyDescent="0.35">
      <c r="A1487" s="261"/>
      <c r="B1487" s="261"/>
      <c r="C1487" s="264"/>
      <c r="D1487" s="258"/>
      <c r="E1487" s="261"/>
      <c r="F1487" s="261"/>
      <c r="G1487" s="261"/>
      <c r="H1487" s="151" t="s">
        <v>75</v>
      </c>
      <c r="I1487" s="149">
        <v>0</v>
      </c>
      <c r="J1487" s="149">
        <v>0</v>
      </c>
      <c r="K1487" s="149">
        <v>148</v>
      </c>
    </row>
    <row r="1488" spans="1:11" s="152" customFormat="1" x14ac:dyDescent="0.35">
      <c r="A1488" s="265">
        <f>A1485+1</f>
        <v>50</v>
      </c>
      <c r="B1488" s="265">
        <v>6345</v>
      </c>
      <c r="C1488" s="266" t="s">
        <v>510</v>
      </c>
      <c r="D1488" s="295">
        <v>889.8</v>
      </c>
      <c r="E1488" s="295" t="s">
        <v>79</v>
      </c>
      <c r="F1488" s="296">
        <v>2</v>
      </c>
      <c r="G1488" s="265" t="s">
        <v>71</v>
      </c>
      <c r="H1488" s="151" t="s">
        <v>72</v>
      </c>
      <c r="I1488" s="149">
        <f>I1489</f>
        <v>107863.13</v>
      </c>
      <c r="J1488" s="149">
        <f>J1489</f>
        <v>121.22</v>
      </c>
      <c r="K1488" s="149">
        <f>K1489</f>
        <v>260</v>
      </c>
    </row>
    <row r="1489" spans="1:11" s="152" customFormat="1" ht="46.5" x14ac:dyDescent="0.35">
      <c r="A1489" s="265">
        <v>65</v>
      </c>
      <c r="B1489" s="265"/>
      <c r="C1489" s="266"/>
      <c r="D1489" s="295"/>
      <c r="E1489" s="295"/>
      <c r="F1489" s="296"/>
      <c r="G1489" s="265"/>
      <c r="H1489" s="136" t="s">
        <v>673</v>
      </c>
      <c r="I1489" s="149">
        <v>107863.13</v>
      </c>
      <c r="J1489" s="149">
        <f>I1489/D1488</f>
        <v>121.22</v>
      </c>
      <c r="K1489" s="149">
        <f>164+96</f>
        <v>260</v>
      </c>
    </row>
    <row r="1490" spans="1:11" s="152" customFormat="1" x14ac:dyDescent="0.35">
      <c r="A1490" s="280">
        <f>A1488+1</f>
        <v>51</v>
      </c>
      <c r="B1490" s="280">
        <v>6351</v>
      </c>
      <c r="C1490" s="297" t="s">
        <v>222</v>
      </c>
      <c r="D1490" s="256">
        <v>899.1</v>
      </c>
      <c r="E1490" s="280" t="s">
        <v>633</v>
      </c>
      <c r="F1490" s="280">
        <v>2</v>
      </c>
      <c r="G1490" s="156"/>
      <c r="H1490" s="151" t="s">
        <v>72</v>
      </c>
      <c r="I1490" s="149">
        <f>I1491+I1492+I1493+I1494+I1495+I1496</f>
        <v>2702675.38</v>
      </c>
      <c r="J1490" s="149">
        <f>J1491+J1492+J1493+J1494+J1495+J1496</f>
        <v>3005.98</v>
      </c>
      <c r="K1490" s="149">
        <f>K1491+K1492+K1493+K1494+K1495+K1496</f>
        <v>3642</v>
      </c>
    </row>
    <row r="1491" spans="1:11" s="152" customFormat="1" x14ac:dyDescent="0.35">
      <c r="A1491" s="281"/>
      <c r="B1491" s="281"/>
      <c r="C1491" s="298"/>
      <c r="D1491" s="257"/>
      <c r="E1491" s="281"/>
      <c r="F1491" s="281"/>
      <c r="G1491" s="259" t="s">
        <v>76</v>
      </c>
      <c r="H1491" s="151" t="s">
        <v>635</v>
      </c>
      <c r="I1491" s="149">
        <v>2139912.94</v>
      </c>
      <c r="J1491" s="149">
        <f>I1491/D1490+0.01</f>
        <v>2380.0700000000002</v>
      </c>
      <c r="K1491" s="149">
        <v>2691</v>
      </c>
    </row>
    <row r="1492" spans="1:11" s="152" customFormat="1" x14ac:dyDescent="0.35">
      <c r="A1492" s="281"/>
      <c r="B1492" s="281"/>
      <c r="C1492" s="298"/>
      <c r="D1492" s="257"/>
      <c r="E1492" s="281"/>
      <c r="F1492" s="281"/>
      <c r="G1492" s="261"/>
      <c r="H1492" s="151" t="s">
        <v>75</v>
      </c>
      <c r="I1492" s="149">
        <v>0</v>
      </c>
      <c r="J1492" s="149">
        <v>0</v>
      </c>
      <c r="K1492" s="149">
        <v>58</v>
      </c>
    </row>
    <row r="1493" spans="1:11" s="152" customFormat="1" x14ac:dyDescent="0.35">
      <c r="A1493" s="281"/>
      <c r="B1493" s="281"/>
      <c r="C1493" s="298"/>
      <c r="D1493" s="257"/>
      <c r="E1493" s="281"/>
      <c r="F1493" s="281"/>
      <c r="G1493" s="259" t="s">
        <v>77</v>
      </c>
      <c r="H1493" s="151" t="s">
        <v>635</v>
      </c>
      <c r="I1493" s="149">
        <v>284587.61</v>
      </c>
      <c r="J1493" s="149">
        <f>I1493/D1490</f>
        <v>316.52</v>
      </c>
      <c r="K1493" s="149">
        <v>452</v>
      </c>
    </row>
    <row r="1494" spans="1:11" s="152" customFormat="1" x14ac:dyDescent="0.35">
      <c r="A1494" s="281"/>
      <c r="B1494" s="281"/>
      <c r="C1494" s="298"/>
      <c r="D1494" s="257"/>
      <c r="E1494" s="281"/>
      <c r="F1494" s="281"/>
      <c r="G1494" s="261"/>
      <c r="H1494" s="151" t="s">
        <v>75</v>
      </c>
      <c r="I1494" s="149">
        <v>0</v>
      </c>
      <c r="J1494" s="149">
        <v>0</v>
      </c>
      <c r="K1494" s="149">
        <v>10</v>
      </c>
    </row>
    <row r="1495" spans="1:11" s="152" customFormat="1" x14ac:dyDescent="0.35">
      <c r="A1495" s="281"/>
      <c r="B1495" s="281"/>
      <c r="C1495" s="298"/>
      <c r="D1495" s="257"/>
      <c r="E1495" s="281"/>
      <c r="F1495" s="281"/>
      <c r="G1495" s="259" t="s">
        <v>78</v>
      </c>
      <c r="H1495" s="151" t="s">
        <v>635</v>
      </c>
      <c r="I1495" s="149">
        <v>278174.83</v>
      </c>
      <c r="J1495" s="149">
        <f>I1495/D1490</f>
        <v>309.39</v>
      </c>
      <c r="K1495" s="149">
        <v>422</v>
      </c>
    </row>
    <row r="1496" spans="1:11" s="152" customFormat="1" x14ac:dyDescent="0.35">
      <c r="A1496" s="294"/>
      <c r="B1496" s="294"/>
      <c r="C1496" s="299"/>
      <c r="D1496" s="258"/>
      <c r="E1496" s="294"/>
      <c r="F1496" s="294"/>
      <c r="G1496" s="261"/>
      <c r="H1496" s="151" t="s">
        <v>75</v>
      </c>
      <c r="I1496" s="149">
        <v>0</v>
      </c>
      <c r="J1496" s="149">
        <v>0</v>
      </c>
      <c r="K1496" s="149">
        <v>9</v>
      </c>
    </row>
    <row r="1497" spans="1:11" s="152" customFormat="1" x14ac:dyDescent="0.35">
      <c r="A1497" s="259">
        <f>A1490+1</f>
        <v>52</v>
      </c>
      <c r="B1497" s="259">
        <v>6354</v>
      </c>
      <c r="C1497" s="262" t="s">
        <v>223</v>
      </c>
      <c r="D1497" s="256">
        <v>2328</v>
      </c>
      <c r="E1497" s="259" t="s">
        <v>79</v>
      </c>
      <c r="F1497" s="259">
        <v>4</v>
      </c>
      <c r="G1497" s="259" t="s">
        <v>71</v>
      </c>
      <c r="H1497" s="151" t="s">
        <v>72</v>
      </c>
      <c r="I1497" s="149">
        <f>I1498+I1499</f>
        <v>5209666.25</v>
      </c>
      <c r="J1497" s="149">
        <f>J1498+J1499</f>
        <v>2237.83</v>
      </c>
      <c r="K1497" s="149">
        <f>K1498+K1499</f>
        <v>4728</v>
      </c>
    </row>
    <row r="1498" spans="1:11" s="152" customFormat="1" x14ac:dyDescent="0.35">
      <c r="A1498" s="260">
        <v>65</v>
      </c>
      <c r="B1498" s="260"/>
      <c r="C1498" s="263"/>
      <c r="D1498" s="257"/>
      <c r="E1498" s="260"/>
      <c r="F1498" s="260"/>
      <c r="G1498" s="260"/>
      <c r="H1498" s="151" t="s">
        <v>635</v>
      </c>
      <c r="I1498" s="149">
        <f>7442380.36*0.7</f>
        <v>5209666.25</v>
      </c>
      <c r="J1498" s="149">
        <f>I1498/D1497</f>
        <v>2237.83</v>
      </c>
      <c r="K1498" s="149">
        <v>4629</v>
      </c>
    </row>
    <row r="1499" spans="1:11" s="152" customFormat="1" x14ac:dyDescent="0.35">
      <c r="A1499" s="261"/>
      <c r="B1499" s="261"/>
      <c r="C1499" s="264"/>
      <c r="D1499" s="258"/>
      <c r="E1499" s="261"/>
      <c r="F1499" s="261"/>
      <c r="G1499" s="261"/>
      <c r="H1499" s="151" t="s">
        <v>75</v>
      </c>
      <c r="I1499" s="149">
        <v>0</v>
      </c>
      <c r="J1499" s="149">
        <v>0</v>
      </c>
      <c r="K1499" s="149">
        <v>99</v>
      </c>
    </row>
    <row r="1500" spans="1:11" s="152" customFormat="1" x14ac:dyDescent="0.35">
      <c r="A1500" s="259">
        <f>A1497+1</f>
        <v>53</v>
      </c>
      <c r="B1500" s="259">
        <v>6356</v>
      </c>
      <c r="C1500" s="262" t="s">
        <v>224</v>
      </c>
      <c r="D1500" s="256">
        <v>2350</v>
      </c>
      <c r="E1500" s="259" t="s">
        <v>79</v>
      </c>
      <c r="F1500" s="259">
        <v>4</v>
      </c>
      <c r="G1500" s="259" t="s">
        <v>71</v>
      </c>
      <c r="H1500" s="151" t="s">
        <v>72</v>
      </c>
      <c r="I1500" s="149">
        <f>I1501</f>
        <v>6063951.9199999999</v>
      </c>
      <c r="J1500" s="149">
        <f>J1501</f>
        <v>2580.41</v>
      </c>
      <c r="K1500" s="149">
        <f>K1501+K1502</f>
        <v>4728</v>
      </c>
    </row>
    <row r="1501" spans="1:11" s="152" customFormat="1" x14ac:dyDescent="0.35">
      <c r="A1501" s="260">
        <v>65</v>
      </c>
      <c r="B1501" s="260"/>
      <c r="C1501" s="263"/>
      <c r="D1501" s="257"/>
      <c r="E1501" s="260"/>
      <c r="F1501" s="260"/>
      <c r="G1501" s="260"/>
      <c r="H1501" s="151" t="s">
        <v>635</v>
      </c>
      <c r="I1501" s="149">
        <f>8662788.45*0.7</f>
        <v>6063951.9199999999</v>
      </c>
      <c r="J1501" s="149">
        <f>I1501/D1500</f>
        <v>2580.41</v>
      </c>
      <c r="K1501" s="149">
        <v>4629</v>
      </c>
    </row>
    <row r="1502" spans="1:11" s="152" customFormat="1" x14ac:dyDescent="0.35">
      <c r="A1502" s="261"/>
      <c r="B1502" s="261"/>
      <c r="C1502" s="264"/>
      <c r="D1502" s="258"/>
      <c r="E1502" s="261"/>
      <c r="F1502" s="261"/>
      <c r="G1502" s="261"/>
      <c r="H1502" s="151" t="s">
        <v>75</v>
      </c>
      <c r="I1502" s="149">
        <v>0</v>
      </c>
      <c r="J1502" s="149">
        <v>0</v>
      </c>
      <c r="K1502" s="149">
        <v>99</v>
      </c>
    </row>
    <row r="1503" spans="1:11" s="152" customFormat="1" x14ac:dyDescent="0.35">
      <c r="A1503" s="265">
        <f>A1500+1</f>
        <v>54</v>
      </c>
      <c r="B1503" s="265">
        <v>6366</v>
      </c>
      <c r="C1503" s="266" t="s">
        <v>511</v>
      </c>
      <c r="D1503" s="295">
        <v>2500</v>
      </c>
      <c r="E1503" s="295" t="s">
        <v>74</v>
      </c>
      <c r="F1503" s="296">
        <v>5</v>
      </c>
      <c r="G1503" s="265" t="s">
        <v>71</v>
      </c>
      <c r="H1503" s="151" t="s">
        <v>72</v>
      </c>
      <c r="I1503" s="149">
        <f>I1504</f>
        <v>246077.17</v>
      </c>
      <c r="J1503" s="149">
        <f>J1504</f>
        <v>98.43</v>
      </c>
      <c r="K1503" s="149">
        <f>K1504</f>
        <v>169</v>
      </c>
    </row>
    <row r="1504" spans="1:11" s="152" customFormat="1" ht="46.5" x14ac:dyDescent="0.35">
      <c r="A1504" s="265">
        <v>65</v>
      </c>
      <c r="B1504" s="265"/>
      <c r="C1504" s="266"/>
      <c r="D1504" s="295"/>
      <c r="E1504" s="295"/>
      <c r="F1504" s="296"/>
      <c r="G1504" s="265"/>
      <c r="H1504" s="136" t="s">
        <v>673</v>
      </c>
      <c r="I1504" s="149">
        <f>213577.17+D1503*13</f>
        <v>246077.17</v>
      </c>
      <c r="J1504" s="149">
        <f>I1504/D1503</f>
        <v>98.43</v>
      </c>
      <c r="K1504" s="149">
        <f>151+18</f>
        <v>169</v>
      </c>
    </row>
    <row r="1505" spans="1:11" s="152" customFormat="1" x14ac:dyDescent="0.35">
      <c r="A1505" s="259">
        <f>A1503+1</f>
        <v>55</v>
      </c>
      <c r="B1505" s="259">
        <v>6389</v>
      </c>
      <c r="C1505" s="262" t="s">
        <v>512</v>
      </c>
      <c r="D1505" s="256">
        <v>2320</v>
      </c>
      <c r="E1505" s="256" t="s">
        <v>74</v>
      </c>
      <c r="F1505" s="280">
        <v>4</v>
      </c>
      <c r="G1505" s="259" t="s">
        <v>71</v>
      </c>
      <c r="H1505" s="151" t="s">
        <v>72</v>
      </c>
      <c r="I1505" s="149">
        <f>I1507+I1506</f>
        <v>3419967.58</v>
      </c>
      <c r="J1505" s="149">
        <f>J1507+J1506</f>
        <v>1474.12</v>
      </c>
      <c r="K1505" s="149">
        <f>K1507+K1506</f>
        <v>4868</v>
      </c>
    </row>
    <row r="1506" spans="1:11" s="152" customFormat="1" ht="46.5" x14ac:dyDescent="0.35">
      <c r="A1506" s="260"/>
      <c r="B1506" s="260"/>
      <c r="C1506" s="263"/>
      <c r="D1506" s="257"/>
      <c r="E1506" s="257"/>
      <c r="F1506" s="281"/>
      <c r="G1506" s="260"/>
      <c r="H1506" s="136" t="s">
        <v>673</v>
      </c>
      <c r="I1506" s="149">
        <v>198183.58</v>
      </c>
      <c r="J1506" s="149">
        <f>I1506/D1505</f>
        <v>85.42</v>
      </c>
      <c r="K1506" s="149">
        <f>151+88</f>
        <v>239</v>
      </c>
    </row>
    <row r="1507" spans="1:11" s="152" customFormat="1" x14ac:dyDescent="0.35">
      <c r="A1507" s="261"/>
      <c r="B1507" s="260"/>
      <c r="C1507" s="264"/>
      <c r="D1507" s="258"/>
      <c r="E1507" s="258"/>
      <c r="F1507" s="294"/>
      <c r="G1507" s="261"/>
      <c r="H1507" s="151" t="s">
        <v>73</v>
      </c>
      <c r="I1507" s="149">
        <f>D1505*K1507*0.3</f>
        <v>3221784</v>
      </c>
      <c r="J1507" s="149">
        <f>I1507/D1505</f>
        <v>1388.7</v>
      </c>
      <c r="K1507" s="149">
        <v>4629</v>
      </c>
    </row>
    <row r="1508" spans="1:11" s="152" customFormat="1" ht="15.5" customHeight="1" x14ac:dyDescent="0.35">
      <c r="A1508" s="259">
        <f>A1505+1</f>
        <v>56</v>
      </c>
      <c r="B1508" s="259">
        <v>6392</v>
      </c>
      <c r="C1508" s="262" t="s">
        <v>513</v>
      </c>
      <c r="D1508" s="256">
        <v>2953.7</v>
      </c>
      <c r="E1508" s="256" t="s">
        <v>74</v>
      </c>
      <c r="F1508" s="280">
        <v>4</v>
      </c>
      <c r="G1508" s="259" t="s">
        <v>76</v>
      </c>
      <c r="H1508" s="186" t="s">
        <v>72</v>
      </c>
      <c r="I1508" s="149">
        <f>I1510+I1509+I1511+I1512+I1513+I1514</f>
        <v>3685922.23</v>
      </c>
      <c r="J1508" s="149">
        <f>J1510+J1509+J1511+J1512+J1513+J1514</f>
        <v>1247.9000000000001</v>
      </c>
      <c r="K1508" s="149">
        <f>K1510+K1509+K1511+K1512+K1513+K1514</f>
        <v>3742</v>
      </c>
    </row>
    <row r="1509" spans="1:11" s="152" customFormat="1" ht="46.5" x14ac:dyDescent="0.35">
      <c r="A1509" s="260"/>
      <c r="B1509" s="260"/>
      <c r="C1509" s="263"/>
      <c r="D1509" s="257"/>
      <c r="E1509" s="257"/>
      <c r="F1509" s="281"/>
      <c r="G1509" s="260"/>
      <c r="H1509" s="186" t="s">
        <v>634</v>
      </c>
      <c r="I1509" s="149">
        <f>D1508*K1509</f>
        <v>381027.3</v>
      </c>
      <c r="J1509" s="149">
        <f>I1509/D1508</f>
        <v>129</v>
      </c>
      <c r="K1509" s="149">
        <f>108+21</f>
        <v>129</v>
      </c>
    </row>
    <row r="1510" spans="1:11" s="152" customFormat="1" x14ac:dyDescent="0.35">
      <c r="A1510" s="260"/>
      <c r="B1510" s="260"/>
      <c r="C1510" s="263"/>
      <c r="D1510" s="257"/>
      <c r="E1510" s="257"/>
      <c r="F1510" s="281"/>
      <c r="G1510" s="261"/>
      <c r="H1510" s="186" t="s">
        <v>73</v>
      </c>
      <c r="I1510" s="149">
        <f>D1508*K1510*30/100</f>
        <v>2384522.0099999998</v>
      </c>
      <c r="J1510" s="149">
        <f>I1510/D1508</f>
        <v>807.3</v>
      </c>
      <c r="K1510" s="149">
        <v>2691</v>
      </c>
    </row>
    <row r="1511" spans="1:11" s="152" customFormat="1" ht="46.5" x14ac:dyDescent="0.35">
      <c r="A1511" s="260"/>
      <c r="B1511" s="260"/>
      <c r="C1511" s="263"/>
      <c r="D1511" s="257"/>
      <c r="E1511" s="257"/>
      <c r="F1511" s="281"/>
      <c r="G1511" s="259" t="s">
        <v>77</v>
      </c>
      <c r="H1511" s="186" t="s">
        <v>634</v>
      </c>
      <c r="I1511" s="149">
        <f>D1508*K1511</f>
        <v>79749.899999999994</v>
      </c>
      <c r="J1511" s="149">
        <f>I1511/D1508</f>
        <v>27</v>
      </c>
      <c r="K1511" s="149">
        <f>19+8</f>
        <v>27</v>
      </c>
    </row>
    <row r="1512" spans="1:11" s="152" customFormat="1" x14ac:dyDescent="0.35">
      <c r="A1512" s="260"/>
      <c r="B1512" s="260"/>
      <c r="C1512" s="263"/>
      <c r="D1512" s="257"/>
      <c r="E1512" s="257"/>
      <c r="F1512" s="281"/>
      <c r="G1512" s="260"/>
      <c r="H1512" s="186" t="s">
        <v>73</v>
      </c>
      <c r="I1512" s="149">
        <f>D1508*K1512*30/100</f>
        <v>410268.93</v>
      </c>
      <c r="J1512" s="149">
        <f>I1512/D1508</f>
        <v>138.9</v>
      </c>
      <c r="K1512" s="149">
        <v>463</v>
      </c>
    </row>
    <row r="1513" spans="1:11" s="152" customFormat="1" ht="46.5" x14ac:dyDescent="0.35">
      <c r="A1513" s="260"/>
      <c r="B1513" s="260"/>
      <c r="C1513" s="263"/>
      <c r="D1513" s="257"/>
      <c r="E1513" s="257"/>
      <c r="F1513" s="281"/>
      <c r="G1513" s="259" t="s">
        <v>78</v>
      </c>
      <c r="H1513" s="186" t="s">
        <v>634</v>
      </c>
      <c r="I1513" s="149">
        <f>D1508*K1513</f>
        <v>67935.100000000006</v>
      </c>
      <c r="J1513" s="149">
        <f>I1513/D1508</f>
        <v>23</v>
      </c>
      <c r="K1513" s="149">
        <f>16+7</f>
        <v>23</v>
      </c>
    </row>
    <row r="1514" spans="1:11" s="152" customFormat="1" x14ac:dyDescent="0.35">
      <c r="A1514" s="261"/>
      <c r="B1514" s="261"/>
      <c r="C1514" s="264"/>
      <c r="D1514" s="258"/>
      <c r="E1514" s="258"/>
      <c r="F1514" s="294"/>
      <c r="G1514" s="260"/>
      <c r="H1514" s="186" t="s">
        <v>73</v>
      </c>
      <c r="I1514" s="149">
        <f>D1508*K1514*30/100</f>
        <v>362418.99</v>
      </c>
      <c r="J1514" s="149">
        <f>I1514/D1508</f>
        <v>122.7</v>
      </c>
      <c r="K1514" s="149">
        <v>409</v>
      </c>
    </row>
    <row r="1515" spans="1:11" s="152" customFormat="1" x14ac:dyDescent="0.35">
      <c r="A1515" s="259">
        <f>A1508+1</f>
        <v>57</v>
      </c>
      <c r="B1515" s="259">
        <v>6394</v>
      </c>
      <c r="C1515" s="262" t="s">
        <v>514</v>
      </c>
      <c r="D1515" s="256">
        <v>2015.8</v>
      </c>
      <c r="E1515" s="256" t="s">
        <v>74</v>
      </c>
      <c r="F1515" s="280">
        <v>4</v>
      </c>
      <c r="G1515" s="259" t="s">
        <v>71</v>
      </c>
      <c r="H1515" s="186" t="s">
        <v>72</v>
      </c>
      <c r="I1515" s="149">
        <f>I1517+I1516</f>
        <v>2066707.89</v>
      </c>
      <c r="J1515" s="149">
        <f>J1517+J1516</f>
        <v>1025.25</v>
      </c>
      <c r="K1515" s="149">
        <f>K1517+K1516</f>
        <v>4868</v>
      </c>
    </row>
    <row r="1516" spans="1:11" s="152" customFormat="1" ht="46.5" x14ac:dyDescent="0.35">
      <c r="A1516" s="260"/>
      <c r="B1516" s="260"/>
      <c r="C1516" s="263"/>
      <c r="D1516" s="257"/>
      <c r="E1516" s="257"/>
      <c r="F1516" s="281"/>
      <c r="G1516" s="260"/>
      <c r="H1516" s="186" t="s">
        <v>673</v>
      </c>
      <c r="I1516" s="149">
        <v>191857.67</v>
      </c>
      <c r="J1516" s="149">
        <f>I1516/D1515</f>
        <v>95.18</v>
      </c>
      <c r="K1516" s="149">
        <f>151+88</f>
        <v>239</v>
      </c>
    </row>
    <row r="1517" spans="1:11" s="152" customFormat="1" x14ac:dyDescent="0.35">
      <c r="A1517" s="261"/>
      <c r="B1517" s="261"/>
      <c r="C1517" s="264"/>
      <c r="D1517" s="258"/>
      <c r="E1517" s="258"/>
      <c r="F1517" s="294"/>
      <c r="G1517" s="261"/>
      <c r="H1517" s="186" t="s">
        <v>73</v>
      </c>
      <c r="I1517" s="149">
        <f>((5073240+1859+117241.26)*1.02*1.18)*0.3</f>
        <v>1874850.22</v>
      </c>
      <c r="J1517" s="149">
        <f>I1517/D1515-0.01</f>
        <v>930.07</v>
      </c>
      <c r="K1517" s="149">
        <v>4629</v>
      </c>
    </row>
    <row r="1518" spans="1:11" s="152" customFormat="1" x14ac:dyDescent="0.35">
      <c r="A1518" s="265">
        <f>A1515+1</f>
        <v>58</v>
      </c>
      <c r="B1518" s="265">
        <v>6397</v>
      </c>
      <c r="C1518" s="266" t="s">
        <v>515</v>
      </c>
      <c r="D1518" s="295">
        <v>2127</v>
      </c>
      <c r="E1518" s="256" t="s">
        <v>74</v>
      </c>
      <c r="F1518" s="280">
        <v>4</v>
      </c>
      <c r="G1518" s="265" t="s">
        <v>71</v>
      </c>
      <c r="H1518" s="151" t="s">
        <v>72</v>
      </c>
      <c r="I1518" s="149">
        <f>I1519</f>
        <v>202895.74</v>
      </c>
      <c r="J1518" s="149">
        <f>J1519</f>
        <v>95.39</v>
      </c>
      <c r="K1518" s="149">
        <f>K1519</f>
        <v>239</v>
      </c>
    </row>
    <row r="1519" spans="1:11" s="152" customFormat="1" ht="46.5" x14ac:dyDescent="0.35">
      <c r="A1519" s="265">
        <v>65</v>
      </c>
      <c r="B1519" s="265"/>
      <c r="C1519" s="266"/>
      <c r="D1519" s="295"/>
      <c r="E1519" s="258"/>
      <c r="F1519" s="294"/>
      <c r="G1519" s="265"/>
      <c r="H1519" s="136" t="s">
        <v>673</v>
      </c>
      <c r="I1519" s="149">
        <f>175244.74+D1518*13</f>
        <v>202895.74</v>
      </c>
      <c r="J1519" s="149">
        <f>I1519/D1518</f>
        <v>95.39</v>
      </c>
      <c r="K1519" s="149">
        <f>151+88</f>
        <v>239</v>
      </c>
    </row>
    <row r="1520" spans="1:11" s="152" customFormat="1" x14ac:dyDescent="0.35">
      <c r="A1520" s="265">
        <f>A1518+1</f>
        <v>59</v>
      </c>
      <c r="B1520" s="265">
        <v>6406</v>
      </c>
      <c r="C1520" s="266" t="s">
        <v>516</v>
      </c>
      <c r="D1520" s="295">
        <v>4336.58</v>
      </c>
      <c r="E1520" s="295" t="s">
        <v>70</v>
      </c>
      <c r="F1520" s="296">
        <v>5</v>
      </c>
      <c r="G1520" s="265" t="s">
        <v>71</v>
      </c>
      <c r="H1520" s="151" t="s">
        <v>72</v>
      </c>
      <c r="I1520" s="149">
        <f>I1521</f>
        <v>578770.49</v>
      </c>
      <c r="J1520" s="149">
        <f>J1521</f>
        <v>133.46</v>
      </c>
      <c r="K1520" s="149">
        <f>K1521</f>
        <v>169</v>
      </c>
    </row>
    <row r="1521" spans="1:11" s="152" customFormat="1" ht="46.5" x14ac:dyDescent="0.35">
      <c r="A1521" s="265">
        <v>65</v>
      </c>
      <c r="B1521" s="265"/>
      <c r="C1521" s="266"/>
      <c r="D1521" s="295"/>
      <c r="E1521" s="295"/>
      <c r="F1521" s="296"/>
      <c r="G1521" s="265"/>
      <c r="H1521" s="136" t="s">
        <v>673</v>
      </c>
      <c r="I1521" s="149">
        <f>522394.95+56375.54</f>
        <v>578770.49</v>
      </c>
      <c r="J1521" s="149">
        <f>I1521/D1520</f>
        <v>133.46</v>
      </c>
      <c r="K1521" s="149">
        <f>151+18</f>
        <v>169</v>
      </c>
    </row>
    <row r="1522" spans="1:11" s="152" customFormat="1" x14ac:dyDescent="0.35">
      <c r="A1522" s="259">
        <f>A1520+1</f>
        <v>60</v>
      </c>
      <c r="B1522" s="259">
        <v>6420</v>
      </c>
      <c r="C1522" s="262" t="s">
        <v>226</v>
      </c>
      <c r="D1522" s="256">
        <v>486</v>
      </c>
      <c r="E1522" s="259" t="s">
        <v>633</v>
      </c>
      <c r="F1522" s="259">
        <v>2</v>
      </c>
      <c r="G1522" s="259" t="s">
        <v>71</v>
      </c>
      <c r="H1522" s="151" t="s">
        <v>72</v>
      </c>
      <c r="I1522" s="149">
        <f>I1523+I1524</f>
        <v>2341736.08</v>
      </c>
      <c r="J1522" s="149">
        <f>J1523+J1524</f>
        <v>4818.3900000000003</v>
      </c>
      <c r="K1522" s="149">
        <f>K1523+K1524</f>
        <v>7066</v>
      </c>
    </row>
    <row r="1523" spans="1:11" s="152" customFormat="1" x14ac:dyDescent="0.35">
      <c r="A1523" s="260">
        <v>65</v>
      </c>
      <c r="B1523" s="260"/>
      <c r="C1523" s="263"/>
      <c r="D1523" s="257"/>
      <c r="E1523" s="260"/>
      <c r="F1523" s="260"/>
      <c r="G1523" s="260"/>
      <c r="H1523" s="151" t="s">
        <v>635</v>
      </c>
      <c r="I1523" s="149">
        <f>3345337.26*0.7</f>
        <v>2341736.08</v>
      </c>
      <c r="J1523" s="149">
        <f>I1523/D1522</f>
        <v>4818.3900000000003</v>
      </c>
      <c r="K1523" s="149">
        <v>6918</v>
      </c>
    </row>
    <row r="1524" spans="1:11" s="152" customFormat="1" x14ac:dyDescent="0.35">
      <c r="A1524" s="261"/>
      <c r="B1524" s="261"/>
      <c r="C1524" s="264"/>
      <c r="D1524" s="258"/>
      <c r="E1524" s="261"/>
      <c r="F1524" s="261"/>
      <c r="G1524" s="261"/>
      <c r="H1524" s="151" t="s">
        <v>75</v>
      </c>
      <c r="I1524" s="149">
        <v>0</v>
      </c>
      <c r="J1524" s="149">
        <v>0</v>
      </c>
      <c r="K1524" s="149">
        <v>148</v>
      </c>
    </row>
    <row r="1525" spans="1:11" s="152" customFormat="1" x14ac:dyDescent="0.35">
      <c r="A1525" s="259">
        <f>A1522+1</f>
        <v>61</v>
      </c>
      <c r="B1525" s="259">
        <v>6421</v>
      </c>
      <c r="C1525" s="262" t="s">
        <v>517</v>
      </c>
      <c r="D1525" s="256">
        <v>491.4</v>
      </c>
      <c r="E1525" s="256" t="s">
        <v>633</v>
      </c>
      <c r="F1525" s="280">
        <v>2</v>
      </c>
      <c r="G1525" s="156"/>
      <c r="H1525" s="151" t="s">
        <v>72</v>
      </c>
      <c r="I1525" s="149">
        <f>I1526+I1527</f>
        <v>146260.17000000001</v>
      </c>
      <c r="J1525" s="149">
        <f>J1526+J1527</f>
        <v>297.64</v>
      </c>
      <c r="K1525" s="149">
        <f>K1526+K1527</f>
        <v>412</v>
      </c>
    </row>
    <row r="1526" spans="1:11" s="152" customFormat="1" ht="46.5" x14ac:dyDescent="0.35">
      <c r="A1526" s="260">
        <v>65</v>
      </c>
      <c r="B1526" s="260"/>
      <c r="C1526" s="263"/>
      <c r="D1526" s="257"/>
      <c r="E1526" s="257"/>
      <c r="F1526" s="281"/>
      <c r="G1526" s="153" t="s">
        <v>71</v>
      </c>
      <c r="H1526" s="136" t="s">
        <v>673</v>
      </c>
      <c r="I1526" s="149">
        <v>86873.19</v>
      </c>
      <c r="J1526" s="149">
        <f>I1526/D1525</f>
        <v>176.79</v>
      </c>
      <c r="K1526" s="149">
        <f>164+96</f>
        <v>260</v>
      </c>
    </row>
    <row r="1527" spans="1:11" s="152" customFormat="1" ht="108.5" x14ac:dyDescent="0.35">
      <c r="A1527" s="261"/>
      <c r="B1527" s="261"/>
      <c r="C1527" s="264"/>
      <c r="D1527" s="258"/>
      <c r="E1527" s="258"/>
      <c r="F1527" s="294"/>
      <c r="G1527" s="153" t="s">
        <v>108</v>
      </c>
      <c r="H1527" s="151" t="s">
        <v>634</v>
      </c>
      <c r="I1527" s="149">
        <v>59386.98</v>
      </c>
      <c r="J1527" s="149">
        <f>I1527/D1525</f>
        <v>120.85</v>
      </c>
      <c r="K1527" s="149">
        <f>112+40</f>
        <v>152</v>
      </c>
    </row>
    <row r="1528" spans="1:11" s="152" customFormat="1" x14ac:dyDescent="0.35">
      <c r="A1528" s="265">
        <f>A1525+1</f>
        <v>62</v>
      </c>
      <c r="B1528" s="265">
        <v>6447</v>
      </c>
      <c r="C1528" s="266" t="s">
        <v>518</v>
      </c>
      <c r="D1528" s="295">
        <v>4297.8</v>
      </c>
      <c r="E1528" s="295" t="s">
        <v>74</v>
      </c>
      <c r="F1528" s="296">
        <v>4</v>
      </c>
      <c r="G1528" s="265" t="s">
        <v>71</v>
      </c>
      <c r="H1528" s="151" t="s">
        <v>72</v>
      </c>
      <c r="I1528" s="149">
        <f>I1529</f>
        <v>270455.53000000003</v>
      </c>
      <c r="J1528" s="149">
        <f>J1529</f>
        <v>62.93</v>
      </c>
      <c r="K1528" s="149">
        <f>K1529</f>
        <v>239</v>
      </c>
    </row>
    <row r="1529" spans="1:11" s="152" customFormat="1" ht="46.5" x14ac:dyDescent="0.35">
      <c r="A1529" s="265">
        <v>65</v>
      </c>
      <c r="B1529" s="265"/>
      <c r="C1529" s="266"/>
      <c r="D1529" s="295"/>
      <c r="E1529" s="295"/>
      <c r="F1529" s="296"/>
      <c r="G1529" s="265"/>
      <c r="H1529" s="136" t="s">
        <v>673</v>
      </c>
      <c r="I1529" s="149">
        <v>270455.53000000003</v>
      </c>
      <c r="J1529" s="149">
        <f>I1529/D1528</f>
        <v>62.93</v>
      </c>
      <c r="K1529" s="149">
        <f>151+88</f>
        <v>239</v>
      </c>
    </row>
    <row r="1530" spans="1:11" s="152" customFormat="1" x14ac:dyDescent="0.35">
      <c r="A1530" s="265">
        <f>A1528+1</f>
        <v>63</v>
      </c>
      <c r="B1530" s="265">
        <v>6452</v>
      </c>
      <c r="C1530" s="266" t="s">
        <v>519</v>
      </c>
      <c r="D1530" s="295">
        <v>2935.1</v>
      </c>
      <c r="E1530" s="295" t="s">
        <v>74</v>
      </c>
      <c r="F1530" s="296">
        <v>4</v>
      </c>
      <c r="G1530" s="265" t="s">
        <v>71</v>
      </c>
      <c r="H1530" s="151" t="s">
        <v>72</v>
      </c>
      <c r="I1530" s="149">
        <f>I1531</f>
        <v>230413</v>
      </c>
      <c r="J1530" s="149">
        <f>J1531</f>
        <v>78.5</v>
      </c>
      <c r="K1530" s="149">
        <f>K1531</f>
        <v>239</v>
      </c>
    </row>
    <row r="1531" spans="1:11" s="152" customFormat="1" ht="46.5" x14ac:dyDescent="0.35">
      <c r="A1531" s="265">
        <v>65</v>
      </c>
      <c r="B1531" s="265"/>
      <c r="C1531" s="266"/>
      <c r="D1531" s="295"/>
      <c r="E1531" s="295"/>
      <c r="F1531" s="296"/>
      <c r="G1531" s="265"/>
      <c r="H1531" s="136" t="s">
        <v>673</v>
      </c>
      <c r="I1531" s="149">
        <v>230413</v>
      </c>
      <c r="J1531" s="149">
        <f>I1531/D1530</f>
        <v>78.5</v>
      </c>
      <c r="K1531" s="149">
        <f>151+88</f>
        <v>239</v>
      </c>
    </row>
    <row r="1532" spans="1:11" s="152" customFormat="1" x14ac:dyDescent="0.35">
      <c r="A1532" s="265">
        <f>A1530+1</f>
        <v>64</v>
      </c>
      <c r="B1532" s="265">
        <v>6453</v>
      </c>
      <c r="C1532" s="266" t="s">
        <v>520</v>
      </c>
      <c r="D1532" s="295">
        <v>2955.7</v>
      </c>
      <c r="E1532" s="295" t="s">
        <v>74</v>
      </c>
      <c r="F1532" s="296">
        <v>4</v>
      </c>
      <c r="G1532" s="265" t="s">
        <v>71</v>
      </c>
      <c r="H1532" s="151" t="s">
        <v>72</v>
      </c>
      <c r="I1532" s="149">
        <f>I1533</f>
        <v>233239.82</v>
      </c>
      <c r="J1532" s="149">
        <f>J1533</f>
        <v>78.91</v>
      </c>
      <c r="K1532" s="149">
        <f>K1533</f>
        <v>239</v>
      </c>
    </row>
    <row r="1533" spans="1:11" s="152" customFormat="1" ht="46.5" x14ac:dyDescent="0.35">
      <c r="A1533" s="265">
        <v>65</v>
      </c>
      <c r="B1533" s="265"/>
      <c r="C1533" s="266"/>
      <c r="D1533" s="295"/>
      <c r="E1533" s="295"/>
      <c r="F1533" s="296"/>
      <c r="G1533" s="265"/>
      <c r="H1533" s="136" t="s">
        <v>673</v>
      </c>
      <c r="I1533" s="149">
        <v>233239.82</v>
      </c>
      <c r="J1533" s="149">
        <f>I1533/D1532</f>
        <v>78.91</v>
      </c>
      <c r="K1533" s="149">
        <f>151+88</f>
        <v>239</v>
      </c>
    </row>
    <row r="1534" spans="1:11" s="152" customFormat="1" x14ac:dyDescent="0.35">
      <c r="A1534" s="259">
        <f>A1532+1</f>
        <v>65</v>
      </c>
      <c r="B1534" s="259">
        <v>6461</v>
      </c>
      <c r="C1534" s="262" t="s">
        <v>521</v>
      </c>
      <c r="D1534" s="256">
        <v>483.4</v>
      </c>
      <c r="E1534" s="256" t="s">
        <v>633</v>
      </c>
      <c r="F1534" s="280">
        <v>2</v>
      </c>
      <c r="G1534" s="265" t="s">
        <v>71</v>
      </c>
      <c r="H1534" s="151" t="s">
        <v>72</v>
      </c>
      <c r="I1534" s="149">
        <f>I1535</f>
        <v>86045.2</v>
      </c>
      <c r="J1534" s="149">
        <f>J1535</f>
        <v>178</v>
      </c>
      <c r="K1534" s="149">
        <f>K1535</f>
        <v>260</v>
      </c>
    </row>
    <row r="1535" spans="1:11" s="152" customFormat="1" ht="46.5" x14ac:dyDescent="0.35">
      <c r="A1535" s="260"/>
      <c r="B1535" s="260"/>
      <c r="C1535" s="263"/>
      <c r="D1535" s="257"/>
      <c r="E1535" s="257"/>
      <c r="F1535" s="281"/>
      <c r="G1535" s="265"/>
      <c r="H1535" s="136" t="s">
        <v>673</v>
      </c>
      <c r="I1535" s="149">
        <v>86045.2</v>
      </c>
      <c r="J1535" s="149">
        <f>I1535/D1534</f>
        <v>178</v>
      </c>
      <c r="K1535" s="149">
        <f>164+96</f>
        <v>260</v>
      </c>
    </row>
    <row r="1536" spans="1:11" s="152" customFormat="1" x14ac:dyDescent="0.35">
      <c r="A1536" s="265">
        <f>A1534+1</f>
        <v>66</v>
      </c>
      <c r="B1536" s="265">
        <v>6480</v>
      </c>
      <c r="C1536" s="266" t="s">
        <v>522</v>
      </c>
      <c r="D1536" s="256">
        <v>402.4</v>
      </c>
      <c r="E1536" s="256" t="s">
        <v>633</v>
      </c>
      <c r="F1536" s="280">
        <v>2</v>
      </c>
      <c r="G1536" s="265" t="s">
        <v>71</v>
      </c>
      <c r="H1536" s="151" t="s">
        <v>72</v>
      </c>
      <c r="I1536" s="149">
        <f>I1537+I1538</f>
        <v>120317.6</v>
      </c>
      <c r="J1536" s="149">
        <f>J1537+J1538</f>
        <v>299</v>
      </c>
      <c r="K1536" s="149">
        <f>K1537+K1538</f>
        <v>412</v>
      </c>
    </row>
    <row r="1537" spans="1:215" s="152" customFormat="1" ht="46.5" x14ac:dyDescent="0.35">
      <c r="A1537" s="265"/>
      <c r="B1537" s="265"/>
      <c r="C1537" s="266"/>
      <c r="D1537" s="257"/>
      <c r="E1537" s="257"/>
      <c r="F1537" s="281"/>
      <c r="G1537" s="265"/>
      <c r="H1537" s="136" t="s">
        <v>673</v>
      </c>
      <c r="I1537" s="149">
        <v>71627.199999999997</v>
      </c>
      <c r="J1537" s="149">
        <f>I1537/D1536</f>
        <v>178</v>
      </c>
      <c r="K1537" s="149">
        <f>164+96</f>
        <v>260</v>
      </c>
    </row>
    <row r="1538" spans="1:215" s="152" customFormat="1" ht="115" customHeight="1" x14ac:dyDescent="0.35">
      <c r="A1538" s="265"/>
      <c r="B1538" s="265"/>
      <c r="C1538" s="266"/>
      <c r="D1538" s="258"/>
      <c r="E1538" s="258"/>
      <c r="F1538" s="294"/>
      <c r="G1538" s="153" t="s">
        <v>108</v>
      </c>
      <c r="H1538" s="151" t="s">
        <v>634</v>
      </c>
      <c r="I1538" s="149">
        <v>48690.400000000001</v>
      </c>
      <c r="J1538" s="149">
        <f>I1538/D1536</f>
        <v>121</v>
      </c>
      <c r="K1538" s="149">
        <f>112+40</f>
        <v>152</v>
      </c>
    </row>
    <row r="1539" spans="1:215" s="152" customFormat="1" x14ac:dyDescent="0.35">
      <c r="A1539" s="280">
        <f>A1536+1</f>
        <v>67</v>
      </c>
      <c r="B1539" s="280">
        <v>6482</v>
      </c>
      <c r="C1539" s="297" t="s">
        <v>654</v>
      </c>
      <c r="D1539" s="256">
        <v>892.1</v>
      </c>
      <c r="E1539" s="280" t="s">
        <v>79</v>
      </c>
      <c r="F1539" s="280">
        <v>2</v>
      </c>
      <c r="G1539" s="153"/>
      <c r="H1539" s="151" t="s">
        <v>72</v>
      </c>
      <c r="I1539" s="149">
        <f>I1540+I1541+I1542+I1543+I1544+I1545+I1546+I1547</f>
        <v>3299505.42</v>
      </c>
      <c r="J1539" s="149">
        <f>J1540+J1541+J1542+J1543+J1544+J1545+J1546+J1547</f>
        <v>3698.58</v>
      </c>
      <c r="K1539" s="149">
        <f>K1540+K1541+K1542+K1543+K1544+K1545+K1546+K1547</f>
        <v>4843</v>
      </c>
    </row>
    <row r="1540" spans="1:215" s="152" customFormat="1" x14ac:dyDescent="0.35">
      <c r="A1540" s="281"/>
      <c r="B1540" s="281"/>
      <c r="C1540" s="298"/>
      <c r="D1540" s="257"/>
      <c r="E1540" s="281"/>
      <c r="F1540" s="281"/>
      <c r="G1540" s="259" t="s">
        <v>76</v>
      </c>
      <c r="H1540" s="151" t="s">
        <v>73</v>
      </c>
      <c r="I1540" s="149">
        <v>1473083.63</v>
      </c>
      <c r="J1540" s="149">
        <f>I1540/D1539</f>
        <v>1651.25</v>
      </c>
      <c r="K1540" s="149">
        <v>2691</v>
      </c>
    </row>
    <row r="1541" spans="1:215" x14ac:dyDescent="0.35">
      <c r="A1541" s="281"/>
      <c r="B1541" s="281"/>
      <c r="C1541" s="298"/>
      <c r="D1541" s="257"/>
      <c r="E1541" s="281"/>
      <c r="F1541" s="281"/>
      <c r="G1541" s="261"/>
      <c r="H1541" s="151" t="s">
        <v>75</v>
      </c>
      <c r="I1541" s="149">
        <v>0</v>
      </c>
      <c r="J1541" s="149">
        <v>0</v>
      </c>
      <c r="K1541" s="149">
        <v>58</v>
      </c>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row>
    <row r="1542" spans="1:215" x14ac:dyDescent="0.35">
      <c r="A1542" s="281"/>
      <c r="B1542" s="281"/>
      <c r="C1542" s="298"/>
      <c r="D1542" s="257"/>
      <c r="E1542" s="281"/>
      <c r="F1542" s="281"/>
      <c r="G1542" s="259" t="s">
        <v>655</v>
      </c>
      <c r="H1542" s="151" t="s">
        <v>656</v>
      </c>
      <c r="I1542" s="149">
        <v>1046726.39</v>
      </c>
      <c r="J1542" s="149">
        <f>I1542/D1539</f>
        <v>1173.33</v>
      </c>
      <c r="K1542" s="149">
        <v>1176</v>
      </c>
    </row>
    <row r="1543" spans="1:215" ht="105" customHeight="1" x14ac:dyDescent="0.35">
      <c r="A1543" s="281"/>
      <c r="B1543" s="281"/>
      <c r="C1543" s="298"/>
      <c r="D1543" s="257"/>
      <c r="E1543" s="281"/>
      <c r="F1543" s="281"/>
      <c r="G1543" s="261"/>
      <c r="H1543" s="151" t="s">
        <v>75</v>
      </c>
      <c r="I1543" s="149">
        <v>0</v>
      </c>
      <c r="J1543" s="149">
        <v>0</v>
      </c>
      <c r="K1543" s="149">
        <v>25</v>
      </c>
    </row>
    <row r="1544" spans="1:215" x14ac:dyDescent="0.35">
      <c r="A1544" s="281"/>
      <c r="B1544" s="281"/>
      <c r="C1544" s="298"/>
      <c r="D1544" s="257"/>
      <c r="E1544" s="281"/>
      <c r="F1544" s="281"/>
      <c r="G1544" s="259" t="s">
        <v>77</v>
      </c>
      <c r="H1544" s="151" t="s">
        <v>73</v>
      </c>
      <c r="I1544" s="149">
        <f>D1539*K1544</f>
        <v>403229.2</v>
      </c>
      <c r="J1544" s="149">
        <f>I1544/D1539</f>
        <v>452</v>
      </c>
      <c r="K1544" s="149">
        <v>452</v>
      </c>
    </row>
    <row r="1545" spans="1:215" s="145" customFormat="1" x14ac:dyDescent="0.35">
      <c r="A1545" s="281"/>
      <c r="B1545" s="281"/>
      <c r="C1545" s="298"/>
      <c r="D1545" s="257"/>
      <c r="E1545" s="281"/>
      <c r="F1545" s="281"/>
      <c r="G1545" s="261"/>
      <c r="H1545" s="151" t="s">
        <v>75</v>
      </c>
      <c r="I1545" s="149">
        <v>0</v>
      </c>
      <c r="J1545" s="149">
        <v>0</v>
      </c>
      <c r="K1545" s="149">
        <v>10</v>
      </c>
      <c r="L1545" s="123"/>
      <c r="M1545" s="123"/>
      <c r="N1545" s="123"/>
      <c r="O1545" s="123"/>
      <c r="P1545" s="123"/>
      <c r="Q1545" s="123"/>
      <c r="R1545" s="123"/>
      <c r="S1545" s="123"/>
      <c r="T1545" s="123"/>
      <c r="U1545" s="123"/>
      <c r="V1545" s="123"/>
      <c r="W1545" s="123"/>
      <c r="X1545" s="123"/>
      <c r="Y1545" s="123"/>
      <c r="Z1545" s="123"/>
      <c r="AA1545" s="123"/>
      <c r="AB1545" s="123"/>
      <c r="AC1545" s="123"/>
      <c r="AD1545" s="123"/>
      <c r="AE1545" s="123"/>
      <c r="AF1545" s="123"/>
      <c r="AG1545" s="123"/>
      <c r="AH1545" s="123"/>
      <c r="AI1545" s="123"/>
      <c r="AJ1545" s="123"/>
      <c r="AK1545" s="123"/>
      <c r="AL1545" s="123"/>
      <c r="AM1545" s="123"/>
      <c r="AN1545" s="123"/>
      <c r="AO1545" s="123"/>
      <c r="AP1545" s="123"/>
      <c r="AQ1545" s="123"/>
      <c r="AR1545" s="123"/>
      <c r="AS1545" s="123"/>
      <c r="AT1545" s="123"/>
      <c r="AU1545" s="123"/>
      <c r="AV1545" s="123"/>
      <c r="AW1545" s="123"/>
      <c r="AX1545" s="123"/>
      <c r="AY1545" s="123"/>
      <c r="AZ1545" s="123"/>
      <c r="BA1545" s="123"/>
      <c r="BB1545" s="123"/>
      <c r="BC1545" s="123"/>
      <c r="BD1545" s="123"/>
      <c r="BE1545" s="123"/>
      <c r="BF1545" s="123"/>
      <c r="BG1545" s="123"/>
      <c r="BH1545" s="123"/>
      <c r="BI1545" s="123"/>
      <c r="BJ1545" s="123"/>
      <c r="BK1545" s="123"/>
      <c r="BL1545" s="123"/>
      <c r="BM1545" s="123"/>
      <c r="BN1545" s="123"/>
      <c r="BO1545" s="123"/>
      <c r="BP1545" s="123"/>
      <c r="BQ1545" s="123"/>
      <c r="BR1545" s="123"/>
      <c r="BS1545" s="123"/>
      <c r="BT1545" s="123"/>
      <c r="BU1545" s="123"/>
      <c r="BV1545" s="123"/>
      <c r="BW1545" s="123"/>
      <c r="BX1545" s="123"/>
      <c r="BY1545" s="123"/>
      <c r="BZ1545" s="123"/>
      <c r="CA1545" s="123"/>
      <c r="CB1545" s="123"/>
      <c r="CC1545" s="123"/>
      <c r="CD1545" s="123"/>
      <c r="CE1545" s="123"/>
      <c r="CF1545" s="123"/>
      <c r="CG1545" s="123"/>
      <c r="CH1545" s="123"/>
      <c r="CI1545" s="123"/>
      <c r="CJ1545" s="123"/>
      <c r="CK1545" s="123"/>
      <c r="CL1545" s="123"/>
      <c r="CM1545" s="123"/>
      <c r="CN1545" s="123"/>
      <c r="CO1545" s="123"/>
      <c r="CP1545" s="123"/>
      <c r="CQ1545" s="123"/>
      <c r="CR1545" s="123"/>
      <c r="CS1545" s="123"/>
      <c r="CT1545" s="123"/>
      <c r="CU1545" s="123"/>
      <c r="CV1545" s="123"/>
      <c r="CW1545" s="123"/>
      <c r="CX1545" s="123"/>
      <c r="CY1545" s="123"/>
      <c r="CZ1545" s="123"/>
      <c r="DA1545" s="123"/>
      <c r="DB1545" s="123"/>
      <c r="DC1545" s="123"/>
      <c r="DD1545" s="123"/>
      <c r="DE1545" s="123"/>
      <c r="DF1545" s="123"/>
      <c r="DG1545" s="123"/>
      <c r="DH1545" s="123"/>
      <c r="DI1545" s="123"/>
      <c r="DJ1545" s="123"/>
      <c r="DK1545" s="123"/>
      <c r="DL1545" s="123"/>
      <c r="DM1545" s="123"/>
      <c r="DN1545" s="123"/>
      <c r="DO1545" s="123"/>
      <c r="DP1545" s="123"/>
      <c r="DQ1545" s="123"/>
      <c r="DR1545" s="123"/>
      <c r="DS1545" s="123"/>
      <c r="DT1545" s="123"/>
      <c r="DU1545" s="123"/>
      <c r="DV1545" s="123"/>
      <c r="DW1545" s="123"/>
      <c r="DX1545" s="123"/>
      <c r="DY1545" s="123"/>
      <c r="DZ1545" s="123"/>
      <c r="EA1545" s="123"/>
      <c r="EB1545" s="123"/>
      <c r="EC1545" s="123"/>
      <c r="ED1545" s="123"/>
      <c r="EE1545" s="123"/>
      <c r="EF1545" s="123"/>
      <c r="EG1545" s="123"/>
      <c r="EH1545" s="123"/>
      <c r="EI1545" s="123"/>
      <c r="EJ1545" s="123"/>
      <c r="EK1545" s="123"/>
      <c r="EL1545" s="123"/>
      <c r="EM1545" s="123"/>
      <c r="EN1545" s="123"/>
      <c r="EO1545" s="123"/>
      <c r="EP1545" s="123"/>
      <c r="EQ1545" s="123"/>
      <c r="ER1545" s="123"/>
      <c r="ES1545" s="123"/>
      <c r="ET1545" s="123"/>
      <c r="EU1545" s="123"/>
      <c r="EV1545" s="123"/>
      <c r="EW1545" s="123"/>
      <c r="EX1545" s="123"/>
      <c r="EY1545" s="123"/>
      <c r="EZ1545" s="123"/>
      <c r="FA1545" s="123"/>
      <c r="FB1545" s="123"/>
      <c r="FC1545" s="123"/>
      <c r="FD1545" s="123"/>
      <c r="FE1545" s="123"/>
      <c r="FF1545" s="123"/>
      <c r="FG1545" s="123"/>
      <c r="FH1545" s="123"/>
      <c r="FI1545" s="123"/>
      <c r="FJ1545" s="123"/>
      <c r="FK1545" s="123"/>
      <c r="FL1545" s="123"/>
      <c r="FM1545" s="123"/>
      <c r="FN1545" s="123"/>
      <c r="FO1545" s="123"/>
      <c r="FP1545" s="123"/>
      <c r="FQ1545" s="123"/>
      <c r="FR1545" s="123"/>
      <c r="FS1545" s="123"/>
      <c r="FT1545" s="123"/>
      <c r="FU1545" s="123"/>
      <c r="FV1545" s="123"/>
      <c r="FW1545" s="123"/>
      <c r="FX1545" s="123"/>
      <c r="FY1545" s="123"/>
      <c r="FZ1545" s="123"/>
      <c r="GA1545" s="123"/>
      <c r="GB1545" s="123"/>
      <c r="GC1545" s="123"/>
      <c r="GD1545" s="123"/>
      <c r="GE1545" s="123"/>
      <c r="GF1545" s="123"/>
      <c r="GG1545" s="123"/>
      <c r="GH1545" s="123"/>
      <c r="GI1545" s="123"/>
      <c r="GJ1545" s="123"/>
      <c r="GK1545" s="123"/>
      <c r="GL1545" s="123"/>
      <c r="GM1545" s="123"/>
      <c r="GN1545" s="123"/>
      <c r="GO1545" s="123"/>
      <c r="GP1545" s="123"/>
      <c r="GQ1545" s="123"/>
      <c r="GR1545" s="123"/>
      <c r="GS1545" s="123"/>
      <c r="GT1545" s="123"/>
      <c r="GU1545" s="123"/>
      <c r="GV1545" s="123"/>
      <c r="GW1545" s="123"/>
      <c r="GX1545" s="123"/>
      <c r="GY1545" s="123"/>
      <c r="GZ1545" s="123"/>
      <c r="HA1545" s="123"/>
      <c r="HB1545" s="123"/>
      <c r="HC1545" s="123"/>
      <c r="HD1545" s="123"/>
      <c r="HE1545" s="123"/>
      <c r="HF1545" s="123"/>
      <c r="HG1545" s="123"/>
    </row>
    <row r="1546" spans="1:215" s="145" customFormat="1" x14ac:dyDescent="0.35">
      <c r="A1546" s="281"/>
      <c r="B1546" s="281"/>
      <c r="C1546" s="298"/>
      <c r="D1546" s="257"/>
      <c r="E1546" s="281"/>
      <c r="F1546" s="281"/>
      <c r="G1546" s="259" t="s">
        <v>78</v>
      </c>
      <c r="H1546" s="151" t="s">
        <v>73</v>
      </c>
      <c r="I1546" s="149">
        <f>D1539*K1546</f>
        <v>376466.2</v>
      </c>
      <c r="J1546" s="149">
        <f>I1546/D1539</f>
        <v>422</v>
      </c>
      <c r="K1546" s="149">
        <v>422</v>
      </c>
      <c r="L1546" s="123"/>
      <c r="M1546" s="123"/>
      <c r="N1546" s="123"/>
      <c r="O1546" s="123"/>
      <c r="P1546" s="123"/>
      <c r="Q1546" s="123"/>
      <c r="R1546" s="123"/>
      <c r="S1546" s="123"/>
      <c r="T1546" s="123"/>
      <c r="U1546" s="123"/>
      <c r="V1546" s="123"/>
      <c r="W1546" s="123"/>
      <c r="X1546" s="123"/>
      <c r="Y1546" s="123"/>
      <c r="Z1546" s="123"/>
      <c r="AA1546" s="123"/>
      <c r="AB1546" s="123"/>
      <c r="AC1546" s="123"/>
      <c r="AD1546" s="123"/>
      <c r="AE1546" s="123"/>
      <c r="AF1546" s="123"/>
      <c r="AG1546" s="123"/>
      <c r="AH1546" s="123"/>
      <c r="AI1546" s="123"/>
      <c r="AJ1546" s="123"/>
      <c r="AK1546" s="123"/>
      <c r="AL1546" s="123"/>
      <c r="AM1546" s="123"/>
      <c r="AN1546" s="123"/>
      <c r="AO1546" s="123"/>
      <c r="AP1546" s="123"/>
      <c r="AQ1546" s="123"/>
      <c r="AR1546" s="123"/>
      <c r="AS1546" s="123"/>
      <c r="AT1546" s="123"/>
      <c r="AU1546" s="123"/>
      <c r="AV1546" s="123"/>
      <c r="AW1546" s="123"/>
      <c r="AX1546" s="123"/>
      <c r="AY1546" s="123"/>
      <c r="AZ1546" s="123"/>
      <c r="BA1546" s="123"/>
      <c r="BB1546" s="123"/>
      <c r="BC1546" s="123"/>
      <c r="BD1546" s="123"/>
      <c r="BE1546" s="123"/>
      <c r="BF1546" s="123"/>
      <c r="BG1546" s="123"/>
      <c r="BH1546" s="123"/>
      <c r="BI1546" s="123"/>
      <c r="BJ1546" s="123"/>
      <c r="BK1546" s="123"/>
      <c r="BL1546" s="123"/>
      <c r="BM1546" s="123"/>
      <c r="BN1546" s="123"/>
      <c r="BO1546" s="123"/>
      <c r="BP1546" s="123"/>
      <c r="BQ1546" s="123"/>
      <c r="BR1546" s="123"/>
      <c r="BS1546" s="123"/>
      <c r="BT1546" s="123"/>
      <c r="BU1546" s="123"/>
      <c r="BV1546" s="123"/>
      <c r="BW1546" s="123"/>
      <c r="BX1546" s="123"/>
      <c r="BY1546" s="123"/>
      <c r="BZ1546" s="123"/>
      <c r="CA1546" s="123"/>
      <c r="CB1546" s="123"/>
      <c r="CC1546" s="123"/>
      <c r="CD1546" s="123"/>
      <c r="CE1546" s="123"/>
      <c r="CF1546" s="123"/>
      <c r="CG1546" s="123"/>
      <c r="CH1546" s="123"/>
      <c r="CI1546" s="123"/>
      <c r="CJ1546" s="123"/>
      <c r="CK1546" s="123"/>
      <c r="CL1546" s="123"/>
      <c r="CM1546" s="123"/>
      <c r="CN1546" s="123"/>
      <c r="CO1546" s="123"/>
      <c r="CP1546" s="123"/>
      <c r="CQ1546" s="123"/>
      <c r="CR1546" s="123"/>
      <c r="CS1546" s="123"/>
      <c r="CT1546" s="123"/>
      <c r="CU1546" s="123"/>
      <c r="CV1546" s="123"/>
      <c r="CW1546" s="123"/>
      <c r="CX1546" s="123"/>
      <c r="CY1546" s="123"/>
      <c r="CZ1546" s="123"/>
      <c r="DA1546" s="123"/>
      <c r="DB1546" s="123"/>
      <c r="DC1546" s="123"/>
      <c r="DD1546" s="123"/>
      <c r="DE1546" s="123"/>
      <c r="DF1546" s="123"/>
      <c r="DG1546" s="123"/>
      <c r="DH1546" s="123"/>
      <c r="DI1546" s="123"/>
      <c r="DJ1546" s="123"/>
      <c r="DK1546" s="123"/>
      <c r="DL1546" s="123"/>
      <c r="DM1546" s="123"/>
      <c r="DN1546" s="123"/>
      <c r="DO1546" s="123"/>
      <c r="DP1546" s="123"/>
      <c r="DQ1546" s="123"/>
      <c r="DR1546" s="123"/>
      <c r="DS1546" s="123"/>
      <c r="DT1546" s="123"/>
      <c r="DU1546" s="123"/>
      <c r="DV1546" s="123"/>
      <c r="DW1546" s="123"/>
      <c r="DX1546" s="123"/>
      <c r="DY1546" s="123"/>
      <c r="DZ1546" s="123"/>
      <c r="EA1546" s="123"/>
      <c r="EB1546" s="123"/>
      <c r="EC1546" s="123"/>
      <c r="ED1546" s="123"/>
      <c r="EE1546" s="123"/>
      <c r="EF1546" s="123"/>
      <c r="EG1546" s="123"/>
      <c r="EH1546" s="123"/>
      <c r="EI1546" s="123"/>
      <c r="EJ1546" s="123"/>
      <c r="EK1546" s="123"/>
      <c r="EL1546" s="123"/>
      <c r="EM1546" s="123"/>
      <c r="EN1546" s="123"/>
      <c r="EO1546" s="123"/>
      <c r="EP1546" s="123"/>
      <c r="EQ1546" s="123"/>
      <c r="ER1546" s="123"/>
      <c r="ES1546" s="123"/>
      <c r="ET1546" s="123"/>
      <c r="EU1546" s="123"/>
      <c r="EV1546" s="123"/>
      <c r="EW1546" s="123"/>
      <c r="EX1546" s="123"/>
      <c r="EY1546" s="123"/>
      <c r="EZ1546" s="123"/>
      <c r="FA1546" s="123"/>
      <c r="FB1546" s="123"/>
      <c r="FC1546" s="123"/>
      <c r="FD1546" s="123"/>
      <c r="FE1546" s="123"/>
      <c r="FF1546" s="123"/>
      <c r="FG1546" s="123"/>
      <c r="FH1546" s="123"/>
      <c r="FI1546" s="123"/>
      <c r="FJ1546" s="123"/>
      <c r="FK1546" s="123"/>
      <c r="FL1546" s="123"/>
      <c r="FM1546" s="123"/>
      <c r="FN1546" s="123"/>
      <c r="FO1546" s="123"/>
      <c r="FP1546" s="123"/>
      <c r="FQ1546" s="123"/>
      <c r="FR1546" s="123"/>
      <c r="FS1546" s="123"/>
      <c r="FT1546" s="123"/>
      <c r="FU1546" s="123"/>
      <c r="FV1546" s="123"/>
      <c r="FW1546" s="123"/>
      <c r="FX1546" s="123"/>
      <c r="FY1546" s="123"/>
      <c r="FZ1546" s="123"/>
      <c r="GA1546" s="123"/>
      <c r="GB1546" s="123"/>
      <c r="GC1546" s="123"/>
      <c r="GD1546" s="123"/>
      <c r="GE1546" s="123"/>
      <c r="GF1546" s="123"/>
      <c r="GG1546" s="123"/>
      <c r="GH1546" s="123"/>
      <c r="GI1546" s="123"/>
      <c r="GJ1546" s="123"/>
      <c r="GK1546" s="123"/>
      <c r="GL1546" s="123"/>
      <c r="GM1546" s="123"/>
      <c r="GN1546" s="123"/>
      <c r="GO1546" s="123"/>
      <c r="GP1546" s="123"/>
      <c r="GQ1546" s="123"/>
      <c r="GR1546" s="123"/>
      <c r="GS1546" s="123"/>
      <c r="GT1546" s="123"/>
      <c r="GU1546" s="123"/>
      <c r="GV1546" s="123"/>
      <c r="GW1546" s="123"/>
      <c r="GX1546" s="123"/>
      <c r="GY1546" s="123"/>
      <c r="GZ1546" s="123"/>
      <c r="HA1546" s="123"/>
      <c r="HB1546" s="123"/>
      <c r="HC1546" s="123"/>
      <c r="HD1546" s="123"/>
      <c r="HE1546" s="123"/>
      <c r="HF1546" s="123"/>
      <c r="HG1546" s="123"/>
    </row>
    <row r="1547" spans="1:215" x14ac:dyDescent="0.35">
      <c r="A1547" s="294"/>
      <c r="B1547" s="294"/>
      <c r="C1547" s="299"/>
      <c r="D1547" s="258"/>
      <c r="E1547" s="294"/>
      <c r="F1547" s="294"/>
      <c r="G1547" s="261"/>
      <c r="H1547" s="151" t="s">
        <v>75</v>
      </c>
      <c r="I1547" s="149">
        <v>0</v>
      </c>
      <c r="J1547" s="149">
        <v>0</v>
      </c>
      <c r="K1547" s="149">
        <v>9</v>
      </c>
    </row>
    <row r="1548" spans="1:215" x14ac:dyDescent="0.35">
      <c r="A1548" s="265">
        <f>A1539+1</f>
        <v>68</v>
      </c>
      <c r="B1548" s="265">
        <v>6496</v>
      </c>
      <c r="C1548" s="266" t="s">
        <v>523</v>
      </c>
      <c r="D1548" s="295">
        <v>3824.9</v>
      </c>
      <c r="E1548" s="295" t="s">
        <v>70</v>
      </c>
      <c r="F1548" s="296">
        <v>5</v>
      </c>
      <c r="G1548" s="265" t="s">
        <v>71</v>
      </c>
      <c r="H1548" s="151" t="s">
        <v>72</v>
      </c>
      <c r="I1548" s="149">
        <f>I1549</f>
        <v>274741.08</v>
      </c>
      <c r="J1548" s="149">
        <f>J1549</f>
        <v>71.83</v>
      </c>
      <c r="K1548" s="149">
        <f>K1549</f>
        <v>169</v>
      </c>
    </row>
    <row r="1549" spans="1:215" ht="46.5" x14ac:dyDescent="0.35">
      <c r="A1549" s="265">
        <v>65</v>
      </c>
      <c r="B1549" s="265"/>
      <c r="C1549" s="266"/>
      <c r="D1549" s="295"/>
      <c r="E1549" s="295"/>
      <c r="F1549" s="296"/>
      <c r="G1549" s="265"/>
      <c r="H1549" s="136" t="s">
        <v>673</v>
      </c>
      <c r="I1549" s="149">
        <f>225017.38+49723.7</f>
        <v>274741.08</v>
      </c>
      <c r="J1549" s="149">
        <f>I1549/D1548</f>
        <v>71.83</v>
      </c>
      <c r="K1549" s="149">
        <f>151+18</f>
        <v>169</v>
      </c>
    </row>
    <row r="1550" spans="1:215" x14ac:dyDescent="0.35">
      <c r="A1550" s="259">
        <f>A1548+1</f>
        <v>69</v>
      </c>
      <c r="B1550" s="259">
        <v>6550</v>
      </c>
      <c r="C1550" s="262" t="s">
        <v>229</v>
      </c>
      <c r="D1550" s="256">
        <v>485.6</v>
      </c>
      <c r="E1550" s="256" t="s">
        <v>633</v>
      </c>
      <c r="F1550" s="280">
        <v>2</v>
      </c>
      <c r="G1550" s="156"/>
      <c r="H1550" s="151" t="s">
        <v>72</v>
      </c>
      <c r="I1550" s="149">
        <f>SUM(I1551:I1552)</f>
        <v>1023660.5</v>
      </c>
      <c r="J1550" s="149">
        <f>SUM(J1551:J1552)</f>
        <v>2108.0300000000002</v>
      </c>
      <c r="K1550" s="149">
        <f>SUM(K1551:K1552)</f>
        <v>5909</v>
      </c>
    </row>
    <row r="1551" spans="1:215" ht="46.5" x14ac:dyDescent="0.35">
      <c r="A1551" s="260"/>
      <c r="B1551" s="260"/>
      <c r="C1551" s="263"/>
      <c r="D1551" s="257"/>
      <c r="E1551" s="257"/>
      <c r="F1551" s="281"/>
      <c r="G1551" s="259" t="s">
        <v>81</v>
      </c>
      <c r="H1551" s="151" t="s">
        <v>634</v>
      </c>
      <c r="I1551" s="149">
        <f>254324.42+D1550*48</f>
        <v>277633.21999999997</v>
      </c>
      <c r="J1551" s="149">
        <f>I1551/D1550</f>
        <v>571.73</v>
      </c>
      <c r="K1551" s="149">
        <f>740+48</f>
        <v>788</v>
      </c>
    </row>
    <row r="1552" spans="1:215" x14ac:dyDescent="0.35">
      <c r="A1552" s="260"/>
      <c r="B1552" s="260"/>
      <c r="C1552" s="263"/>
      <c r="D1552" s="257"/>
      <c r="E1552" s="257"/>
      <c r="F1552" s="281"/>
      <c r="G1552" s="261"/>
      <c r="H1552" s="151" t="s">
        <v>73</v>
      </c>
      <c r="I1552" s="149">
        <f>D1550*K1552*30/100</f>
        <v>746027.28</v>
      </c>
      <c r="J1552" s="149">
        <f>I1552/D1550</f>
        <v>1536.3</v>
      </c>
      <c r="K1552" s="149">
        <v>5121</v>
      </c>
    </row>
    <row r="1553" spans="1:215" x14ac:dyDescent="0.35">
      <c r="A1553" s="280">
        <f>A1550+1</f>
        <v>70</v>
      </c>
      <c r="B1553" s="280">
        <v>6514</v>
      </c>
      <c r="C1553" s="297" t="s">
        <v>231</v>
      </c>
      <c r="D1553" s="256">
        <v>432.5</v>
      </c>
      <c r="E1553" s="280" t="s">
        <v>633</v>
      </c>
      <c r="F1553" s="280">
        <v>2</v>
      </c>
      <c r="G1553" s="156"/>
      <c r="H1553" s="151" t="s">
        <v>72</v>
      </c>
      <c r="I1553" s="149">
        <f>I1554+I1555+I1556+I1557+I1558+I1559</f>
        <v>1541862.5</v>
      </c>
      <c r="J1553" s="149">
        <f>J1554+J1555+J1556+J1557+J1558+J1559</f>
        <v>3565</v>
      </c>
      <c r="K1553" s="149">
        <f>K1554+K1555+K1556+K1557+K1558+K1559</f>
        <v>3642</v>
      </c>
    </row>
    <row r="1554" spans="1:215" x14ac:dyDescent="0.35">
      <c r="A1554" s="281"/>
      <c r="B1554" s="281"/>
      <c r="C1554" s="298"/>
      <c r="D1554" s="257"/>
      <c r="E1554" s="281"/>
      <c r="F1554" s="281"/>
      <c r="G1554" s="259" t="s">
        <v>77</v>
      </c>
      <c r="H1554" s="151" t="s">
        <v>73</v>
      </c>
      <c r="I1554" s="149">
        <f>K1554*D1553</f>
        <v>195490</v>
      </c>
      <c r="J1554" s="149">
        <f>I1554/D1553</f>
        <v>452</v>
      </c>
      <c r="K1554" s="149">
        <v>452</v>
      </c>
    </row>
    <row r="1555" spans="1:215" x14ac:dyDescent="0.35">
      <c r="A1555" s="281"/>
      <c r="B1555" s="281"/>
      <c r="C1555" s="298"/>
      <c r="D1555" s="257"/>
      <c r="E1555" s="281"/>
      <c r="F1555" s="281"/>
      <c r="G1555" s="261"/>
      <c r="H1555" s="151" t="s">
        <v>75</v>
      </c>
      <c r="I1555" s="149">
        <v>0</v>
      </c>
      <c r="J1555" s="149">
        <v>0</v>
      </c>
      <c r="K1555" s="149">
        <v>10</v>
      </c>
    </row>
    <row r="1556" spans="1:215" x14ac:dyDescent="0.35">
      <c r="A1556" s="281"/>
      <c r="B1556" s="281"/>
      <c r="C1556" s="298"/>
      <c r="D1556" s="257"/>
      <c r="E1556" s="281"/>
      <c r="F1556" s="281"/>
      <c r="G1556" s="259" t="s">
        <v>78</v>
      </c>
      <c r="H1556" s="151" t="s">
        <v>73</v>
      </c>
      <c r="I1556" s="149">
        <f>K1556*D1553</f>
        <v>182515</v>
      </c>
      <c r="J1556" s="149">
        <f>I1556/D1553</f>
        <v>422</v>
      </c>
      <c r="K1556" s="149">
        <v>422</v>
      </c>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row>
    <row r="1557" spans="1:215" x14ac:dyDescent="0.35">
      <c r="A1557" s="281"/>
      <c r="B1557" s="281"/>
      <c r="C1557" s="298"/>
      <c r="D1557" s="257"/>
      <c r="E1557" s="281"/>
      <c r="F1557" s="281"/>
      <c r="G1557" s="261"/>
      <c r="H1557" s="151" t="s">
        <v>75</v>
      </c>
      <c r="I1557" s="149">
        <v>0</v>
      </c>
      <c r="J1557" s="149">
        <v>0</v>
      </c>
      <c r="K1557" s="149">
        <v>9</v>
      </c>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row>
    <row r="1558" spans="1:215" x14ac:dyDescent="0.35">
      <c r="A1558" s="281"/>
      <c r="B1558" s="281"/>
      <c r="C1558" s="298"/>
      <c r="D1558" s="257"/>
      <c r="E1558" s="281"/>
      <c r="F1558" s="281"/>
      <c r="G1558" s="259" t="s">
        <v>76</v>
      </c>
      <c r="H1558" s="151" t="s">
        <v>73</v>
      </c>
      <c r="I1558" s="149">
        <f>K1558*D1553</f>
        <v>1163857.5</v>
      </c>
      <c r="J1558" s="149">
        <f>I1558/D1553</f>
        <v>2691</v>
      </c>
      <c r="K1558" s="149">
        <v>2691</v>
      </c>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row>
    <row r="1559" spans="1:215" x14ac:dyDescent="0.35">
      <c r="A1559" s="294"/>
      <c r="B1559" s="294"/>
      <c r="C1559" s="299"/>
      <c r="D1559" s="258"/>
      <c r="E1559" s="294"/>
      <c r="F1559" s="294"/>
      <c r="G1559" s="261"/>
      <c r="H1559" s="151" t="s">
        <v>75</v>
      </c>
      <c r="I1559" s="149">
        <v>0</v>
      </c>
      <c r="J1559" s="149">
        <v>0</v>
      </c>
      <c r="K1559" s="149">
        <v>58</v>
      </c>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row>
    <row r="1560" spans="1:215" ht="14" customHeight="1" x14ac:dyDescent="0.35">
      <c r="A1560" s="280">
        <f>A1553+1</f>
        <v>71</v>
      </c>
      <c r="B1560" s="280">
        <v>6516</v>
      </c>
      <c r="C1560" s="297" t="s">
        <v>232</v>
      </c>
      <c r="D1560" s="256">
        <v>424.9</v>
      </c>
      <c r="E1560" s="280" t="s">
        <v>633</v>
      </c>
      <c r="F1560" s="280">
        <v>2</v>
      </c>
      <c r="G1560" s="156"/>
      <c r="H1560" s="151" t="s">
        <v>72</v>
      </c>
      <c r="I1560" s="149">
        <f>I1561+I1562+I1563+I1564+I1565+I1566</f>
        <v>1514768.5</v>
      </c>
      <c r="J1560" s="149">
        <f>J1561+J1562+J1563+J1564+J1565+J1566</f>
        <v>3565</v>
      </c>
      <c r="K1560" s="149">
        <f>K1561+K1562+K1563+K1564+K1565+K1566</f>
        <v>3642</v>
      </c>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row>
    <row r="1561" spans="1:215" x14ac:dyDescent="0.35">
      <c r="A1561" s="281"/>
      <c r="B1561" s="281"/>
      <c r="C1561" s="298"/>
      <c r="D1561" s="257"/>
      <c r="E1561" s="281"/>
      <c r="F1561" s="281"/>
      <c r="G1561" s="259" t="s">
        <v>77</v>
      </c>
      <c r="H1561" s="151" t="s">
        <v>73</v>
      </c>
      <c r="I1561" s="149">
        <f>K1561*D1560</f>
        <v>192054.8</v>
      </c>
      <c r="J1561" s="149">
        <f>I1561/D1560</f>
        <v>452</v>
      </c>
      <c r="K1561" s="149">
        <v>452</v>
      </c>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row>
    <row r="1562" spans="1:215" x14ac:dyDescent="0.35">
      <c r="A1562" s="281"/>
      <c r="B1562" s="281"/>
      <c r="C1562" s="298"/>
      <c r="D1562" s="257"/>
      <c r="E1562" s="281"/>
      <c r="F1562" s="281"/>
      <c r="G1562" s="261"/>
      <c r="H1562" s="151" t="s">
        <v>75</v>
      </c>
      <c r="I1562" s="149">
        <v>0</v>
      </c>
      <c r="J1562" s="149">
        <v>0</v>
      </c>
      <c r="K1562" s="149">
        <v>10</v>
      </c>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row>
    <row r="1563" spans="1:215" x14ac:dyDescent="0.35">
      <c r="A1563" s="281"/>
      <c r="B1563" s="281"/>
      <c r="C1563" s="298"/>
      <c r="D1563" s="257"/>
      <c r="E1563" s="281"/>
      <c r="F1563" s="281"/>
      <c r="G1563" s="259" t="s">
        <v>78</v>
      </c>
      <c r="H1563" s="151" t="s">
        <v>73</v>
      </c>
      <c r="I1563" s="149">
        <f>K1563*D1560</f>
        <v>179307.8</v>
      </c>
      <c r="J1563" s="149">
        <f>I1563/D1560</f>
        <v>422</v>
      </c>
      <c r="K1563" s="149">
        <v>422</v>
      </c>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row>
    <row r="1564" spans="1:215" x14ac:dyDescent="0.35">
      <c r="A1564" s="281"/>
      <c r="B1564" s="281"/>
      <c r="C1564" s="298"/>
      <c r="D1564" s="257"/>
      <c r="E1564" s="281"/>
      <c r="F1564" s="281"/>
      <c r="G1564" s="261"/>
      <c r="H1564" s="151" t="s">
        <v>75</v>
      </c>
      <c r="I1564" s="149">
        <v>0</v>
      </c>
      <c r="J1564" s="149">
        <v>0</v>
      </c>
      <c r="K1564" s="149">
        <v>9</v>
      </c>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row>
    <row r="1565" spans="1:215" x14ac:dyDescent="0.35">
      <c r="A1565" s="281"/>
      <c r="B1565" s="281"/>
      <c r="C1565" s="298"/>
      <c r="D1565" s="257"/>
      <c r="E1565" s="281"/>
      <c r="F1565" s="281"/>
      <c r="G1565" s="259" t="s">
        <v>76</v>
      </c>
      <c r="H1565" s="151" t="s">
        <v>73</v>
      </c>
      <c r="I1565" s="149">
        <f>K1565*D1560</f>
        <v>1143405.8999999999</v>
      </c>
      <c r="J1565" s="149">
        <f>I1565/D1560</f>
        <v>2691</v>
      </c>
      <c r="K1565" s="149">
        <v>2691</v>
      </c>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row>
    <row r="1566" spans="1:215" x14ac:dyDescent="0.35">
      <c r="A1566" s="294"/>
      <c r="B1566" s="294"/>
      <c r="C1566" s="299"/>
      <c r="D1566" s="258"/>
      <c r="E1566" s="294"/>
      <c r="F1566" s="294"/>
      <c r="G1566" s="261"/>
      <c r="H1566" s="151" t="s">
        <v>75</v>
      </c>
      <c r="I1566" s="149">
        <v>0</v>
      </c>
      <c r="J1566" s="149">
        <v>0</v>
      </c>
      <c r="K1566" s="149">
        <v>58</v>
      </c>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row>
    <row r="1567" spans="1:215" ht="13.5" customHeight="1" x14ac:dyDescent="0.35">
      <c r="A1567" s="280">
        <f>A1560+1</f>
        <v>72</v>
      </c>
      <c r="B1567" s="280">
        <v>6517</v>
      </c>
      <c r="C1567" s="297" t="s">
        <v>233</v>
      </c>
      <c r="D1567" s="256">
        <v>315.08999999999997</v>
      </c>
      <c r="E1567" s="280" t="s">
        <v>633</v>
      </c>
      <c r="F1567" s="280">
        <v>2</v>
      </c>
      <c r="G1567" s="156"/>
      <c r="H1567" s="151" t="s">
        <v>72</v>
      </c>
      <c r="I1567" s="149">
        <f>I1568+I1569+I1570+I1571+I1572+I1573</f>
        <v>909743.18</v>
      </c>
      <c r="J1567" s="149">
        <f>J1568+J1569+J1570+J1571+J1572+J1573</f>
        <v>2887.25</v>
      </c>
      <c r="K1567" s="149">
        <f>K1568+K1569+K1570+K1571+K1572+K1573</f>
        <v>3669</v>
      </c>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row>
    <row r="1568" spans="1:215" x14ac:dyDescent="0.35">
      <c r="A1568" s="281"/>
      <c r="B1568" s="281"/>
      <c r="C1568" s="298"/>
      <c r="D1568" s="257"/>
      <c r="E1568" s="281"/>
      <c r="F1568" s="281"/>
      <c r="G1568" s="259" t="s">
        <v>76</v>
      </c>
      <c r="H1568" s="151" t="s">
        <v>635</v>
      </c>
      <c r="I1568" s="149">
        <v>677652.08</v>
      </c>
      <c r="J1568" s="149">
        <f>I1568/D1567</f>
        <v>2150.66</v>
      </c>
      <c r="K1568" s="149">
        <v>2691</v>
      </c>
    </row>
    <row r="1569" spans="1:11" x14ac:dyDescent="0.35">
      <c r="A1569" s="281"/>
      <c r="B1569" s="281"/>
      <c r="C1569" s="298"/>
      <c r="D1569" s="257"/>
      <c r="E1569" s="281"/>
      <c r="F1569" s="281"/>
      <c r="G1569" s="261"/>
      <c r="H1569" s="151" t="s">
        <v>75</v>
      </c>
      <c r="I1569" s="149">
        <v>0</v>
      </c>
      <c r="J1569" s="149">
        <v>0</v>
      </c>
      <c r="K1569" s="149">
        <v>58</v>
      </c>
    </row>
    <row r="1570" spans="1:11" x14ac:dyDescent="0.35">
      <c r="A1570" s="281"/>
      <c r="B1570" s="281"/>
      <c r="C1570" s="298"/>
      <c r="D1570" s="257"/>
      <c r="E1570" s="281"/>
      <c r="F1570" s="281"/>
      <c r="G1570" s="259" t="s">
        <v>77</v>
      </c>
      <c r="H1570" s="151" t="s">
        <v>635</v>
      </c>
      <c r="I1570" s="149">
        <v>90930.78</v>
      </c>
      <c r="J1570" s="149">
        <f>I1570/D1567</f>
        <v>288.58999999999997</v>
      </c>
      <c r="K1570" s="149">
        <v>452</v>
      </c>
    </row>
    <row r="1571" spans="1:11" x14ac:dyDescent="0.35">
      <c r="A1571" s="281"/>
      <c r="B1571" s="281"/>
      <c r="C1571" s="298"/>
      <c r="D1571" s="257"/>
      <c r="E1571" s="281"/>
      <c r="F1571" s="281"/>
      <c r="G1571" s="261"/>
      <c r="H1571" s="151" t="s">
        <v>75</v>
      </c>
      <c r="I1571" s="149">
        <v>0</v>
      </c>
      <c r="J1571" s="149">
        <v>0</v>
      </c>
      <c r="K1571" s="149">
        <v>10</v>
      </c>
    </row>
    <row r="1572" spans="1:11" x14ac:dyDescent="0.35">
      <c r="A1572" s="281"/>
      <c r="B1572" s="281"/>
      <c r="C1572" s="298"/>
      <c r="D1572" s="257"/>
      <c r="E1572" s="281"/>
      <c r="F1572" s="281"/>
      <c r="G1572" s="259" t="s">
        <v>89</v>
      </c>
      <c r="H1572" s="151" t="s">
        <v>635</v>
      </c>
      <c r="I1572" s="149">
        <v>141160.32000000001</v>
      </c>
      <c r="J1572" s="149">
        <f>I1572/D1567</f>
        <v>448</v>
      </c>
      <c r="K1572" s="149">
        <v>448</v>
      </c>
    </row>
    <row r="1573" spans="1:11" x14ac:dyDescent="0.35">
      <c r="A1573" s="294"/>
      <c r="B1573" s="294"/>
      <c r="C1573" s="299"/>
      <c r="D1573" s="258"/>
      <c r="E1573" s="294"/>
      <c r="F1573" s="294"/>
      <c r="G1573" s="261"/>
      <c r="H1573" s="151" t="s">
        <v>75</v>
      </c>
      <c r="I1573" s="149">
        <v>0</v>
      </c>
      <c r="J1573" s="149">
        <v>0</v>
      </c>
      <c r="K1573" s="149">
        <v>10</v>
      </c>
    </row>
    <row r="1574" spans="1:11" x14ac:dyDescent="0.35">
      <c r="A1574" s="259">
        <f>A1567+1</f>
        <v>73</v>
      </c>
      <c r="B1574" s="259">
        <v>6524</v>
      </c>
      <c r="C1574" s="262" t="s">
        <v>234</v>
      </c>
      <c r="D1574" s="256">
        <v>536.63</v>
      </c>
      <c r="E1574" s="259" t="s">
        <v>633</v>
      </c>
      <c r="F1574" s="259">
        <v>2</v>
      </c>
      <c r="G1574" s="259" t="s">
        <v>76</v>
      </c>
      <c r="H1574" s="151" t="s">
        <v>72</v>
      </c>
      <c r="I1574" s="149">
        <f>I1575+I1576</f>
        <v>1099876.1599999999</v>
      </c>
      <c r="J1574" s="149">
        <f>J1575+J1576</f>
        <v>2049.6</v>
      </c>
      <c r="K1574" s="149">
        <f>K1575+K1576</f>
        <v>2749</v>
      </c>
    </row>
    <row r="1575" spans="1:11" x14ac:dyDescent="0.35">
      <c r="A1575" s="260"/>
      <c r="B1575" s="260"/>
      <c r="C1575" s="263"/>
      <c r="D1575" s="257"/>
      <c r="E1575" s="260"/>
      <c r="F1575" s="260"/>
      <c r="G1575" s="260"/>
      <c r="H1575" s="151" t="s">
        <v>635</v>
      </c>
      <c r="I1575" s="149">
        <v>1099876.1599999999</v>
      </c>
      <c r="J1575" s="149">
        <f>I1575/D1574</f>
        <v>2049.6</v>
      </c>
      <c r="K1575" s="149">
        <v>2691</v>
      </c>
    </row>
    <row r="1576" spans="1:11" x14ac:dyDescent="0.35">
      <c r="A1576" s="261"/>
      <c r="B1576" s="261"/>
      <c r="C1576" s="264"/>
      <c r="D1576" s="258"/>
      <c r="E1576" s="261"/>
      <c r="F1576" s="261"/>
      <c r="G1576" s="261"/>
      <c r="H1576" s="151" t="s">
        <v>75</v>
      </c>
      <c r="I1576" s="149">
        <v>0</v>
      </c>
      <c r="J1576" s="149">
        <v>0</v>
      </c>
      <c r="K1576" s="149">
        <v>58</v>
      </c>
    </row>
    <row r="1577" spans="1:11" x14ac:dyDescent="0.35">
      <c r="A1577" s="168" t="s">
        <v>46</v>
      </c>
      <c r="B1577" s="189"/>
      <c r="C1577" s="144"/>
      <c r="D1577" s="166">
        <f>D1578+D1583+D1589+D1595+D1598+D1607+D1609+D1614+D1617+D1622+D1627+D1632+D1635+D1638+D1641+D1644+D1646+D1657+D1664+D1666+D1668</f>
        <v>69349.05</v>
      </c>
      <c r="E1577" s="166"/>
      <c r="F1577" s="166"/>
      <c r="G1577" s="166"/>
      <c r="H1577" s="137"/>
      <c r="I1577" s="166">
        <f>I1578+I1583+I1589+I1595+I1598+I1607+I1609+I1614+I1617+I1622+I1627+I1632+I1635+I1638+I1641+I1644+I1646+I1657+I1664+I1666+I1668</f>
        <v>79303067.349999994</v>
      </c>
      <c r="J1577" s="146"/>
      <c r="K1577" s="146"/>
    </row>
    <row r="1578" spans="1:11" x14ac:dyDescent="0.35">
      <c r="A1578" s="270">
        <v>1</v>
      </c>
      <c r="B1578" s="270">
        <v>5072</v>
      </c>
      <c r="C1578" s="318" t="s">
        <v>794</v>
      </c>
      <c r="D1578" s="273">
        <v>3100.9</v>
      </c>
      <c r="E1578" s="273" t="s">
        <v>74</v>
      </c>
      <c r="F1578" s="282">
        <v>5</v>
      </c>
      <c r="G1578" s="167"/>
      <c r="H1578" s="136" t="s">
        <v>72</v>
      </c>
      <c r="I1578" s="181">
        <f>I1579+I1580+I1581+I1582</f>
        <v>398075.83</v>
      </c>
      <c r="J1578" s="181">
        <f>J1579+J1580+J1581+J1582</f>
        <v>128.37</v>
      </c>
      <c r="K1578" s="181">
        <f>K1579+K1580+K1581+K1582</f>
        <v>177</v>
      </c>
    </row>
    <row r="1579" spans="1:11" ht="46.5" x14ac:dyDescent="0.35">
      <c r="A1579" s="271"/>
      <c r="B1579" s="271"/>
      <c r="C1579" s="319"/>
      <c r="D1579" s="274"/>
      <c r="E1579" s="274"/>
      <c r="F1579" s="283"/>
      <c r="G1579" s="141" t="s">
        <v>76</v>
      </c>
      <c r="H1579" s="136" t="s">
        <v>634</v>
      </c>
      <c r="I1579" s="181">
        <f>165955.89+6*D1578</f>
        <v>184561.29</v>
      </c>
      <c r="J1579" s="181">
        <f>I1579/D1578</f>
        <v>59.52</v>
      </c>
      <c r="K1579" s="181">
        <f>86+6</f>
        <v>92</v>
      </c>
    </row>
    <row r="1580" spans="1:11" ht="46.5" x14ac:dyDescent="0.35">
      <c r="A1580" s="271"/>
      <c r="B1580" s="271"/>
      <c r="C1580" s="319"/>
      <c r="D1580" s="274"/>
      <c r="E1580" s="274"/>
      <c r="F1580" s="283"/>
      <c r="G1580" s="141" t="s">
        <v>77</v>
      </c>
      <c r="H1580" s="136" t="s">
        <v>634</v>
      </c>
      <c r="I1580" s="181">
        <f>50087.92+8*D1578</f>
        <v>74895.12</v>
      </c>
      <c r="J1580" s="181">
        <f>I1580/D1578</f>
        <v>24.15</v>
      </c>
      <c r="K1580" s="181">
        <f>21+8</f>
        <v>29</v>
      </c>
    </row>
    <row r="1581" spans="1:11" ht="46.5" x14ac:dyDescent="0.35">
      <c r="A1581" s="271"/>
      <c r="B1581" s="271"/>
      <c r="C1581" s="319"/>
      <c r="D1581" s="274"/>
      <c r="E1581" s="274"/>
      <c r="F1581" s="283"/>
      <c r="G1581" s="141" t="s">
        <v>78</v>
      </c>
      <c r="H1581" s="136" t="s">
        <v>634</v>
      </c>
      <c r="I1581" s="181">
        <f>50087.92+7*D1578</f>
        <v>71794.22</v>
      </c>
      <c r="J1581" s="181">
        <f>I1581/D1578</f>
        <v>23.15</v>
      </c>
      <c r="K1581" s="181">
        <f>21+7</f>
        <v>28</v>
      </c>
    </row>
    <row r="1582" spans="1:11" ht="46.5" x14ac:dyDescent="0.35">
      <c r="A1582" s="271"/>
      <c r="B1582" s="271"/>
      <c r="C1582" s="319"/>
      <c r="D1582" s="274"/>
      <c r="E1582" s="274"/>
      <c r="F1582" s="283"/>
      <c r="G1582" s="141" t="s">
        <v>89</v>
      </c>
      <c r="H1582" s="136" t="s">
        <v>634</v>
      </c>
      <c r="I1582" s="181">
        <f>38917.1+9*D1578</f>
        <v>66825.2</v>
      </c>
      <c r="J1582" s="181">
        <f>I1582/D1578</f>
        <v>21.55</v>
      </c>
      <c r="K1582" s="181">
        <f>19+9</f>
        <v>28</v>
      </c>
    </row>
    <row r="1583" spans="1:11" x14ac:dyDescent="0.35">
      <c r="A1583" s="270">
        <f>A1578+1</f>
        <v>2</v>
      </c>
      <c r="B1583" s="270">
        <v>5098</v>
      </c>
      <c r="C1583" s="278" t="s">
        <v>795</v>
      </c>
      <c r="D1583" s="273">
        <v>374.5</v>
      </c>
      <c r="E1583" s="273" t="s">
        <v>70</v>
      </c>
      <c r="F1583" s="282">
        <v>2</v>
      </c>
      <c r="G1583" s="165"/>
      <c r="H1583" s="136" t="s">
        <v>72</v>
      </c>
      <c r="I1583" s="181">
        <f>SUM(I1584:I1588)</f>
        <v>147553</v>
      </c>
      <c r="J1583" s="181">
        <f>SUM(J1584:J1588)</f>
        <v>394</v>
      </c>
      <c r="K1583" s="181">
        <f>SUM(K1584:K1588)</f>
        <v>394</v>
      </c>
    </row>
    <row r="1584" spans="1:11" ht="46.5" x14ac:dyDescent="0.35">
      <c r="A1584" s="271"/>
      <c r="B1584" s="271"/>
      <c r="C1584" s="279"/>
      <c r="D1584" s="274"/>
      <c r="E1584" s="274"/>
      <c r="F1584" s="283"/>
      <c r="G1584" s="141" t="s">
        <v>76</v>
      </c>
      <c r="H1584" s="136" t="s">
        <v>634</v>
      </c>
      <c r="I1584" s="181">
        <f>41195+D1583*21</f>
        <v>49059.5</v>
      </c>
      <c r="J1584" s="181">
        <f>I1584/D1583</f>
        <v>131</v>
      </c>
      <c r="K1584" s="181">
        <f>110+21</f>
        <v>131</v>
      </c>
    </row>
    <row r="1585" spans="1:215" ht="46.5" x14ac:dyDescent="0.35">
      <c r="A1585" s="271"/>
      <c r="B1585" s="271"/>
      <c r="C1585" s="279"/>
      <c r="D1585" s="274"/>
      <c r="E1585" s="274"/>
      <c r="F1585" s="283"/>
      <c r="G1585" s="141" t="s">
        <v>690</v>
      </c>
      <c r="H1585" s="136" t="s">
        <v>634</v>
      </c>
      <c r="I1585" s="181">
        <f>7864.5+21*D1583</f>
        <v>15729</v>
      </c>
      <c r="J1585" s="181">
        <f>I1585/D1583</f>
        <v>42</v>
      </c>
      <c r="K1585" s="181">
        <f>21+21</f>
        <v>42</v>
      </c>
    </row>
    <row r="1586" spans="1:215" ht="46.5" x14ac:dyDescent="0.35">
      <c r="A1586" s="271"/>
      <c r="B1586" s="271"/>
      <c r="C1586" s="279"/>
      <c r="D1586" s="274"/>
      <c r="E1586" s="274"/>
      <c r="F1586" s="283"/>
      <c r="G1586" s="141" t="s">
        <v>78</v>
      </c>
      <c r="H1586" s="136" t="s">
        <v>634</v>
      </c>
      <c r="I1586" s="181">
        <f>7864.5+19*D1583</f>
        <v>14980</v>
      </c>
      <c r="J1586" s="181">
        <f>I1586/D1583</f>
        <v>40</v>
      </c>
      <c r="K1586" s="181">
        <f>21+19</f>
        <v>40</v>
      </c>
    </row>
    <row r="1587" spans="1:215" ht="46.5" x14ac:dyDescent="0.35">
      <c r="A1587" s="271"/>
      <c r="B1587" s="271"/>
      <c r="C1587" s="279"/>
      <c r="D1587" s="274"/>
      <c r="E1587" s="274"/>
      <c r="F1587" s="283"/>
      <c r="G1587" s="141" t="s">
        <v>89</v>
      </c>
      <c r="H1587" s="136" t="s">
        <v>634</v>
      </c>
      <c r="I1587" s="181">
        <f>7115.5+9*D1583</f>
        <v>10486</v>
      </c>
      <c r="J1587" s="181">
        <f>I1587/D1583</f>
        <v>28</v>
      </c>
      <c r="K1587" s="181">
        <f>19+9</f>
        <v>28</v>
      </c>
    </row>
    <row r="1588" spans="1:215" ht="225" customHeight="1" x14ac:dyDescent="0.35">
      <c r="A1588" s="271"/>
      <c r="B1588" s="271"/>
      <c r="C1588" s="279"/>
      <c r="D1588" s="274"/>
      <c r="E1588" s="274"/>
      <c r="F1588" s="283"/>
      <c r="G1588" s="141" t="s">
        <v>663</v>
      </c>
      <c r="H1588" s="190" t="s">
        <v>634</v>
      </c>
      <c r="I1588" s="181">
        <f>52804.5+D1583*4*3</f>
        <v>57298.5</v>
      </c>
      <c r="J1588" s="181">
        <f>I1588/D1583</f>
        <v>153</v>
      </c>
      <c r="K1588" s="181">
        <f>(47+4)*3</f>
        <v>153</v>
      </c>
    </row>
    <row r="1589" spans="1:215" x14ac:dyDescent="0.35">
      <c r="A1589" s="270">
        <f>A1583+1</f>
        <v>3</v>
      </c>
      <c r="B1589" s="270">
        <v>5099</v>
      </c>
      <c r="C1589" s="278" t="s">
        <v>796</v>
      </c>
      <c r="D1589" s="273">
        <v>368.8</v>
      </c>
      <c r="E1589" s="273" t="s">
        <v>70</v>
      </c>
      <c r="F1589" s="282">
        <v>2</v>
      </c>
      <c r="G1589" s="165"/>
      <c r="H1589" s="136" t="s">
        <v>72</v>
      </c>
      <c r="I1589" s="181">
        <f>SUM(I1590:I1594)</f>
        <v>145307.20000000001</v>
      </c>
      <c r="J1589" s="181">
        <f>SUM(J1590:J1594)</f>
        <v>394</v>
      </c>
      <c r="K1589" s="181">
        <f>SUM(K1590:K1594)</f>
        <v>394</v>
      </c>
    </row>
    <row r="1590" spans="1:215" ht="53.5" customHeight="1" x14ac:dyDescent="0.35">
      <c r="A1590" s="271"/>
      <c r="B1590" s="271"/>
      <c r="C1590" s="279"/>
      <c r="D1590" s="274"/>
      <c r="E1590" s="274"/>
      <c r="F1590" s="283"/>
      <c r="G1590" s="141" t="s">
        <v>76</v>
      </c>
      <c r="H1590" s="136" t="s">
        <v>634</v>
      </c>
      <c r="I1590" s="181">
        <f>40568+D1589*21</f>
        <v>48312.800000000003</v>
      </c>
      <c r="J1590" s="181">
        <f>I1590/D1589</f>
        <v>131</v>
      </c>
      <c r="K1590" s="181">
        <f>110+21</f>
        <v>131</v>
      </c>
    </row>
    <row r="1591" spans="1:215" ht="46.5" x14ac:dyDescent="0.35">
      <c r="A1591" s="271"/>
      <c r="B1591" s="271"/>
      <c r="C1591" s="279"/>
      <c r="D1591" s="274"/>
      <c r="E1591" s="274"/>
      <c r="F1591" s="283"/>
      <c r="G1591" s="141" t="s">
        <v>690</v>
      </c>
      <c r="H1591" s="136" t="s">
        <v>634</v>
      </c>
      <c r="I1591" s="181">
        <f>21*D1589+7744.8</f>
        <v>15489.6</v>
      </c>
      <c r="J1591" s="181">
        <f>I1591/D1589</f>
        <v>42</v>
      </c>
      <c r="K1591" s="181">
        <f>21+21</f>
        <v>42</v>
      </c>
    </row>
    <row r="1592" spans="1:215" ht="60" customHeight="1" x14ac:dyDescent="0.35">
      <c r="A1592" s="271"/>
      <c r="B1592" s="271"/>
      <c r="C1592" s="279"/>
      <c r="D1592" s="274"/>
      <c r="E1592" s="274"/>
      <c r="F1592" s="283"/>
      <c r="G1592" s="141" t="s">
        <v>78</v>
      </c>
      <c r="H1592" s="136" t="s">
        <v>634</v>
      </c>
      <c r="I1592" s="181">
        <f>19*D1589+7744.8</f>
        <v>14752</v>
      </c>
      <c r="J1592" s="181">
        <f>I1592/D1589</f>
        <v>40</v>
      </c>
      <c r="K1592" s="181">
        <f>21+19</f>
        <v>40</v>
      </c>
    </row>
    <row r="1593" spans="1:215" ht="56.5" customHeight="1" x14ac:dyDescent="0.35">
      <c r="A1593" s="271"/>
      <c r="B1593" s="271"/>
      <c r="C1593" s="279"/>
      <c r="D1593" s="274"/>
      <c r="E1593" s="274"/>
      <c r="F1593" s="283"/>
      <c r="G1593" s="141" t="s">
        <v>89</v>
      </c>
      <c r="H1593" s="136" t="s">
        <v>634</v>
      </c>
      <c r="I1593" s="181">
        <f>D1589*9+7007.2</f>
        <v>10326.4</v>
      </c>
      <c r="J1593" s="181">
        <f>I1593/D1589</f>
        <v>28</v>
      </c>
      <c r="K1593" s="181">
        <f>19+9</f>
        <v>28</v>
      </c>
    </row>
    <row r="1594" spans="1:215" ht="237" customHeight="1" x14ac:dyDescent="0.35">
      <c r="A1594" s="271"/>
      <c r="B1594" s="271"/>
      <c r="C1594" s="279"/>
      <c r="D1594" s="274"/>
      <c r="E1594" s="274"/>
      <c r="F1594" s="283"/>
      <c r="G1594" s="141" t="s">
        <v>663</v>
      </c>
      <c r="H1594" s="136" t="s">
        <v>634</v>
      </c>
      <c r="I1594" s="181">
        <f>52000.8+D1589*4*3</f>
        <v>56426.400000000001</v>
      </c>
      <c r="J1594" s="181">
        <f>I1594/D1589</f>
        <v>153</v>
      </c>
      <c r="K1594" s="181">
        <f>(47+4)*3</f>
        <v>153</v>
      </c>
    </row>
    <row r="1595" spans="1:215" x14ac:dyDescent="0.35">
      <c r="A1595" s="259">
        <f>A1589+1</f>
        <v>4</v>
      </c>
      <c r="B1595" s="259">
        <v>5100</v>
      </c>
      <c r="C1595" s="278" t="s">
        <v>797</v>
      </c>
      <c r="D1595" s="256">
        <v>2705.3</v>
      </c>
      <c r="E1595" s="256" t="s">
        <v>70</v>
      </c>
      <c r="F1595" s="300">
        <v>5</v>
      </c>
      <c r="G1595" s="259" t="s">
        <v>71</v>
      </c>
      <c r="H1595" s="151" t="s">
        <v>72</v>
      </c>
      <c r="I1595" s="181">
        <f>I1596+I1597</f>
        <v>2902516.37</v>
      </c>
      <c r="J1595" s="181">
        <f>J1596+J1597</f>
        <v>1072.9000000000001</v>
      </c>
      <c r="K1595" s="181">
        <f>K1596+K1597</f>
        <v>3175</v>
      </c>
    </row>
    <row r="1596" spans="1:215" ht="46.5" x14ac:dyDescent="0.35">
      <c r="A1596" s="260"/>
      <c r="B1596" s="260"/>
      <c r="C1596" s="279"/>
      <c r="D1596" s="257"/>
      <c r="E1596" s="257"/>
      <c r="F1596" s="301"/>
      <c r="G1596" s="260"/>
      <c r="H1596" s="136" t="s">
        <v>673</v>
      </c>
      <c r="I1596" s="181">
        <f>D1595*K1596</f>
        <v>465311.6</v>
      </c>
      <c r="J1596" s="181">
        <f>I1596/D1595</f>
        <v>172</v>
      </c>
      <c r="K1596" s="181">
        <f>154+18</f>
        <v>172</v>
      </c>
    </row>
    <row r="1597" spans="1:215" x14ac:dyDescent="0.35">
      <c r="A1597" s="261"/>
      <c r="B1597" s="261"/>
      <c r="C1597" s="285"/>
      <c r="D1597" s="258"/>
      <c r="E1597" s="258"/>
      <c r="F1597" s="302"/>
      <c r="G1597" s="261"/>
      <c r="H1597" s="151" t="s">
        <v>73</v>
      </c>
      <c r="I1597" s="181">
        <f>D1595*K1597*30/100</f>
        <v>2437204.77</v>
      </c>
      <c r="J1597" s="181">
        <f>I1597/D1595</f>
        <v>900.9</v>
      </c>
      <c r="K1597" s="181">
        <v>3003</v>
      </c>
    </row>
    <row r="1598" spans="1:215" x14ac:dyDescent="0.35">
      <c r="A1598" s="259">
        <f>A1595+1</f>
        <v>5</v>
      </c>
      <c r="B1598" s="259">
        <v>5102</v>
      </c>
      <c r="C1598" s="308" t="s">
        <v>798</v>
      </c>
      <c r="D1598" s="256">
        <v>3535.3</v>
      </c>
      <c r="E1598" s="256" t="s">
        <v>70</v>
      </c>
      <c r="F1598" s="300">
        <v>5</v>
      </c>
      <c r="G1598" s="160"/>
      <c r="H1598" s="151" t="s">
        <v>72</v>
      </c>
      <c r="I1598" s="149">
        <f>I1600+I1602+I1604+I1606+I1599+I1601+I1603+I1605</f>
        <v>3978356.45</v>
      </c>
      <c r="J1598" s="149">
        <f>J1600+J1602+J1604+J1606+J1599+J1601+J1603+J1605</f>
        <v>1125.32</v>
      </c>
      <c r="K1598" s="149">
        <f>K1600+K1602+K1604+K1606+K1599+K1601+K1603+K1605</f>
        <v>3866</v>
      </c>
    </row>
    <row r="1599" spans="1:215" ht="46.5" x14ac:dyDescent="0.35">
      <c r="A1599" s="260"/>
      <c r="B1599" s="260"/>
      <c r="C1599" s="309"/>
      <c r="D1599" s="257"/>
      <c r="E1599" s="257"/>
      <c r="F1599" s="301"/>
      <c r="G1599" s="260" t="s">
        <v>76</v>
      </c>
      <c r="H1599" s="151" t="s">
        <v>634</v>
      </c>
      <c r="I1599" s="149">
        <f>126669.52+6*D1598</f>
        <v>147881.32</v>
      </c>
      <c r="J1599" s="149">
        <f>I1599/D1598</f>
        <v>41.83</v>
      </c>
      <c r="K1599" s="149">
        <f>86+6</f>
        <v>92</v>
      </c>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row>
    <row r="1600" spans="1:215" x14ac:dyDescent="0.35">
      <c r="A1600" s="260"/>
      <c r="B1600" s="260"/>
      <c r="C1600" s="309"/>
      <c r="D1600" s="257"/>
      <c r="E1600" s="257"/>
      <c r="F1600" s="301"/>
      <c r="G1600" s="261"/>
      <c r="H1600" s="151" t="s">
        <v>73</v>
      </c>
      <c r="I1600" s="149">
        <f>D1598*K1600*0.3</f>
        <v>2282389.6800000002</v>
      </c>
      <c r="J1600" s="149">
        <f>I1600/D1598</f>
        <v>645.6</v>
      </c>
      <c r="K1600" s="149">
        <v>2152</v>
      </c>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row>
    <row r="1601" spans="1:215" ht="46.5" x14ac:dyDescent="0.35">
      <c r="A1601" s="260"/>
      <c r="B1601" s="260"/>
      <c r="C1601" s="309"/>
      <c r="D1601" s="257"/>
      <c r="E1601" s="257"/>
      <c r="F1601" s="301"/>
      <c r="G1601" s="259" t="s">
        <v>77</v>
      </c>
      <c r="H1601" s="151" t="s">
        <v>634</v>
      </c>
      <c r="I1601" s="149">
        <f>58227.57+8*D1598</f>
        <v>86509.97</v>
      </c>
      <c r="J1601" s="149">
        <f>I1601/D1598</f>
        <v>24.47</v>
      </c>
      <c r="K1601" s="149">
        <f>21+8</f>
        <v>29</v>
      </c>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row>
    <row r="1602" spans="1:215" x14ac:dyDescent="0.35">
      <c r="A1602" s="260"/>
      <c r="B1602" s="260"/>
      <c r="C1602" s="309"/>
      <c r="D1602" s="257"/>
      <c r="E1602" s="257"/>
      <c r="F1602" s="301"/>
      <c r="G1602" s="261"/>
      <c r="H1602" s="151" t="s">
        <v>73</v>
      </c>
      <c r="I1602" s="149">
        <f>735138.02*0.3</f>
        <v>220541.41</v>
      </c>
      <c r="J1602" s="149">
        <f>I1602/D1598</f>
        <v>62.38</v>
      </c>
      <c r="K1602" s="149">
        <v>530</v>
      </c>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row>
    <row r="1603" spans="1:215" ht="46.5" x14ac:dyDescent="0.35">
      <c r="A1603" s="260"/>
      <c r="B1603" s="260"/>
      <c r="C1603" s="309"/>
      <c r="D1603" s="257"/>
      <c r="E1603" s="257"/>
      <c r="F1603" s="301"/>
      <c r="G1603" s="259" t="s">
        <v>78</v>
      </c>
      <c r="H1603" s="151" t="s">
        <v>634</v>
      </c>
      <c r="I1603" s="149">
        <f>58227.57+7*D1598</f>
        <v>82974.67</v>
      </c>
      <c r="J1603" s="149">
        <f>I1603/D1598</f>
        <v>23.47</v>
      </c>
      <c r="K1603" s="149">
        <f>21+7</f>
        <v>28</v>
      </c>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row>
    <row r="1604" spans="1:215" x14ac:dyDescent="0.35">
      <c r="A1604" s="260"/>
      <c r="B1604" s="260"/>
      <c r="C1604" s="309"/>
      <c r="D1604" s="257"/>
      <c r="E1604" s="257"/>
      <c r="F1604" s="301"/>
      <c r="G1604" s="261"/>
      <c r="H1604" s="151" t="s">
        <v>73</v>
      </c>
      <c r="I1604" s="149">
        <f>D1598*K1604*0.3</f>
        <v>551506.80000000005</v>
      </c>
      <c r="J1604" s="149">
        <f>I1604/D1598</f>
        <v>156</v>
      </c>
      <c r="K1604" s="149">
        <v>520</v>
      </c>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row>
    <row r="1605" spans="1:215" ht="46.5" x14ac:dyDescent="0.35">
      <c r="A1605" s="260"/>
      <c r="B1605" s="260"/>
      <c r="C1605" s="309"/>
      <c r="D1605" s="257"/>
      <c r="E1605" s="257"/>
      <c r="F1605" s="301"/>
      <c r="G1605" s="259" t="s">
        <v>89</v>
      </c>
      <c r="H1605" s="151" t="s">
        <v>634</v>
      </c>
      <c r="I1605" s="149">
        <f>58227.57+9*D1598</f>
        <v>90045.27</v>
      </c>
      <c r="J1605" s="149">
        <f>I1605/D1598</f>
        <v>25.47</v>
      </c>
      <c r="K1605" s="149">
        <f>19+9</f>
        <v>28</v>
      </c>
    </row>
    <row r="1606" spans="1:215" x14ac:dyDescent="0.35">
      <c r="A1606" s="261"/>
      <c r="B1606" s="261"/>
      <c r="C1606" s="310"/>
      <c r="D1606" s="258"/>
      <c r="E1606" s="258"/>
      <c r="F1606" s="302"/>
      <c r="G1606" s="261"/>
      <c r="H1606" s="151" t="s">
        <v>73</v>
      </c>
      <c r="I1606" s="149">
        <f>K1606*D1598*0.3</f>
        <v>516507.33</v>
      </c>
      <c r="J1606" s="149">
        <f>I1606/D1598</f>
        <v>146.1</v>
      </c>
      <c r="K1606" s="149">
        <v>487</v>
      </c>
    </row>
    <row r="1607" spans="1:215" x14ac:dyDescent="0.35">
      <c r="A1607" s="277">
        <f>A1598+1</f>
        <v>6</v>
      </c>
      <c r="B1607" s="277">
        <v>5107</v>
      </c>
      <c r="C1607" s="286" t="s">
        <v>799</v>
      </c>
      <c r="D1607" s="287">
        <v>743</v>
      </c>
      <c r="E1607" s="287" t="s">
        <v>74</v>
      </c>
      <c r="F1607" s="304">
        <v>2</v>
      </c>
      <c r="G1607" s="277" t="s">
        <v>71</v>
      </c>
      <c r="H1607" s="136" t="s">
        <v>72</v>
      </c>
      <c r="I1607" s="181">
        <f>I1608</f>
        <v>94615</v>
      </c>
      <c r="J1607" s="181">
        <f>J1608</f>
        <v>127.34</v>
      </c>
      <c r="K1607" s="181">
        <f>K1608</f>
        <v>250</v>
      </c>
    </row>
    <row r="1608" spans="1:215" ht="46.5" x14ac:dyDescent="0.35">
      <c r="A1608" s="277">
        <v>275</v>
      </c>
      <c r="B1608" s="277"/>
      <c r="C1608" s="286"/>
      <c r="D1608" s="287"/>
      <c r="E1608" s="287"/>
      <c r="F1608" s="304"/>
      <c r="G1608" s="277"/>
      <c r="H1608" s="136" t="s">
        <v>673</v>
      </c>
      <c r="I1608" s="181">
        <v>94615</v>
      </c>
      <c r="J1608" s="181">
        <f>I1608/D1607</f>
        <v>127.34</v>
      </c>
      <c r="K1608" s="181">
        <f>154+96</f>
        <v>250</v>
      </c>
    </row>
    <row r="1609" spans="1:215" x14ac:dyDescent="0.35">
      <c r="A1609" s="277">
        <f>A1607+1</f>
        <v>7</v>
      </c>
      <c r="B1609" s="277">
        <v>5108</v>
      </c>
      <c r="C1609" s="325" t="s">
        <v>800</v>
      </c>
      <c r="D1609" s="287">
        <v>2556</v>
      </c>
      <c r="E1609" s="287" t="s">
        <v>74</v>
      </c>
      <c r="F1609" s="304">
        <v>4</v>
      </c>
      <c r="G1609" s="165"/>
      <c r="H1609" s="136" t="s">
        <v>72</v>
      </c>
      <c r="I1609" s="181">
        <f>I1610+I1611+I1612+I1613</f>
        <v>358477.56</v>
      </c>
      <c r="J1609" s="181">
        <f>J1610+J1611+J1612+J1613</f>
        <v>140.25</v>
      </c>
      <c r="K1609" s="181">
        <f>K1610+K1611+K1612+K1613</f>
        <v>216</v>
      </c>
    </row>
    <row r="1610" spans="1:215" ht="46.5" x14ac:dyDescent="0.35">
      <c r="A1610" s="277"/>
      <c r="B1610" s="277"/>
      <c r="C1610" s="325"/>
      <c r="D1610" s="287"/>
      <c r="E1610" s="287"/>
      <c r="F1610" s="304"/>
      <c r="G1610" s="146" t="s">
        <v>76</v>
      </c>
      <c r="H1610" s="136" t="s">
        <v>634</v>
      </c>
      <c r="I1610" s="181">
        <f>112953.57+21*D1609</f>
        <v>166629.57</v>
      </c>
      <c r="J1610" s="181">
        <f>I1610/D1609</f>
        <v>65.19</v>
      </c>
      <c r="K1610" s="181">
        <f>110+21</f>
        <v>131</v>
      </c>
    </row>
    <row r="1611" spans="1:215" ht="46.5" x14ac:dyDescent="0.35">
      <c r="A1611" s="277"/>
      <c r="B1611" s="277"/>
      <c r="C1611" s="325"/>
      <c r="D1611" s="287"/>
      <c r="E1611" s="287"/>
      <c r="F1611" s="304"/>
      <c r="G1611" s="146" t="s">
        <v>77</v>
      </c>
      <c r="H1611" s="136" t="s">
        <v>634</v>
      </c>
      <c r="I1611" s="181">
        <f>45828.77+8*D1609</f>
        <v>66276.77</v>
      </c>
      <c r="J1611" s="181">
        <f>I1611/D1609</f>
        <v>25.93</v>
      </c>
      <c r="K1611" s="181">
        <f>21+8</f>
        <v>29</v>
      </c>
    </row>
    <row r="1612" spans="1:215" ht="46.5" x14ac:dyDescent="0.35">
      <c r="A1612" s="277"/>
      <c r="B1612" s="277"/>
      <c r="C1612" s="325"/>
      <c r="D1612" s="287"/>
      <c r="E1612" s="287"/>
      <c r="F1612" s="304"/>
      <c r="G1612" s="146" t="s">
        <v>78</v>
      </c>
      <c r="H1612" s="136" t="s">
        <v>634</v>
      </c>
      <c r="I1612" s="181">
        <f>45828.77+7*D1609</f>
        <v>63720.77</v>
      </c>
      <c r="J1612" s="181">
        <f>I1612/D1609</f>
        <v>24.93</v>
      </c>
      <c r="K1612" s="181">
        <f>21+7</f>
        <v>28</v>
      </c>
    </row>
    <row r="1613" spans="1:215" ht="46.5" x14ac:dyDescent="0.35">
      <c r="A1613" s="277"/>
      <c r="B1613" s="277"/>
      <c r="C1613" s="325"/>
      <c r="D1613" s="287"/>
      <c r="E1613" s="287"/>
      <c r="F1613" s="304"/>
      <c r="G1613" s="146" t="s">
        <v>89</v>
      </c>
      <c r="H1613" s="136" t="s">
        <v>634</v>
      </c>
      <c r="I1613" s="181">
        <f>38846.45+9*D1609</f>
        <v>61850.45</v>
      </c>
      <c r="J1613" s="181">
        <f>I1613/D1609</f>
        <v>24.2</v>
      </c>
      <c r="K1613" s="181">
        <f>19+9</f>
        <v>28</v>
      </c>
    </row>
    <row r="1614" spans="1:215" x14ac:dyDescent="0.35">
      <c r="A1614" s="270">
        <f>A1609+1</f>
        <v>8</v>
      </c>
      <c r="B1614" s="270">
        <v>5109</v>
      </c>
      <c r="C1614" s="315" t="s">
        <v>801</v>
      </c>
      <c r="D1614" s="273">
        <v>901.46</v>
      </c>
      <c r="E1614" s="273" t="s">
        <v>74</v>
      </c>
      <c r="F1614" s="282">
        <v>2</v>
      </c>
      <c r="G1614" s="270" t="s">
        <v>71</v>
      </c>
      <c r="H1614" s="136" t="s">
        <v>72</v>
      </c>
      <c r="I1614" s="181">
        <f>I1616+I1615</f>
        <v>2089027.3</v>
      </c>
      <c r="J1614" s="181">
        <f>J1616+J1615</f>
        <v>2317.38</v>
      </c>
      <c r="K1614" s="181">
        <f>K1616+K1615</f>
        <v>7631</v>
      </c>
    </row>
    <row r="1615" spans="1:215" ht="46.5" x14ac:dyDescent="0.35">
      <c r="A1615" s="271"/>
      <c r="B1615" s="271"/>
      <c r="C1615" s="316"/>
      <c r="D1615" s="274"/>
      <c r="E1615" s="274"/>
      <c r="F1615" s="283"/>
      <c r="G1615" s="271"/>
      <c r="H1615" s="136" t="s">
        <v>673</v>
      </c>
      <c r="I1615" s="181">
        <f>81205.44+11718.98</f>
        <v>92924.42</v>
      </c>
      <c r="J1615" s="181">
        <f>I1615/D1614</f>
        <v>103.08</v>
      </c>
      <c r="K1615" s="181">
        <f>154+96</f>
        <v>250</v>
      </c>
    </row>
    <row r="1616" spans="1:215" x14ac:dyDescent="0.35">
      <c r="A1616" s="272"/>
      <c r="B1616" s="272"/>
      <c r="C1616" s="326"/>
      <c r="D1616" s="275"/>
      <c r="E1616" s="275"/>
      <c r="F1616" s="284"/>
      <c r="G1616" s="272"/>
      <c r="H1616" s="136" t="s">
        <v>73</v>
      </c>
      <c r="I1616" s="181">
        <f>D1614*K1616*30/100</f>
        <v>1996102.88</v>
      </c>
      <c r="J1616" s="181">
        <f>I1616/D1614</f>
        <v>2214.3000000000002</v>
      </c>
      <c r="K1616" s="181">
        <v>7381</v>
      </c>
    </row>
    <row r="1617" spans="1:215" x14ac:dyDescent="0.35">
      <c r="A1617" s="270">
        <f>A1614+1</f>
        <v>9</v>
      </c>
      <c r="B1617" s="270">
        <v>5114</v>
      </c>
      <c r="C1617" s="315" t="s">
        <v>802</v>
      </c>
      <c r="D1617" s="273">
        <v>909.6</v>
      </c>
      <c r="E1617" s="273" t="s">
        <v>70</v>
      </c>
      <c r="F1617" s="282">
        <v>2</v>
      </c>
      <c r="G1617" s="165"/>
      <c r="H1617" s="136" t="s">
        <v>72</v>
      </c>
      <c r="I1617" s="181">
        <f>I1618+I1619+I1620+I1621</f>
        <v>209383.53</v>
      </c>
      <c r="J1617" s="181">
        <f>J1618+J1619+J1620+J1621</f>
        <v>230.19</v>
      </c>
      <c r="K1617" s="181">
        <f>K1618+K1619+K1620+K1621</f>
        <v>241</v>
      </c>
    </row>
    <row r="1618" spans="1:215" ht="46.5" x14ac:dyDescent="0.35">
      <c r="A1618" s="271"/>
      <c r="B1618" s="271"/>
      <c r="C1618" s="316"/>
      <c r="D1618" s="274"/>
      <c r="E1618" s="274"/>
      <c r="F1618" s="283"/>
      <c r="G1618" s="146" t="s">
        <v>76</v>
      </c>
      <c r="H1618" s="136" t="s">
        <v>634</v>
      </c>
      <c r="I1618" s="181">
        <f>90225.93+21*D1617</f>
        <v>109327.53</v>
      </c>
      <c r="J1618" s="181">
        <f>I1618/D1617</f>
        <v>120.19</v>
      </c>
      <c r="K1618" s="181">
        <f>110+21</f>
        <v>131</v>
      </c>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row>
    <row r="1619" spans="1:215" ht="46.5" x14ac:dyDescent="0.35">
      <c r="A1619" s="271"/>
      <c r="B1619" s="271"/>
      <c r="C1619" s="316"/>
      <c r="D1619" s="274"/>
      <c r="E1619" s="274"/>
      <c r="F1619" s="283"/>
      <c r="G1619" s="146" t="s">
        <v>77</v>
      </c>
      <c r="H1619" s="136" t="s">
        <v>634</v>
      </c>
      <c r="I1619" s="181">
        <f>19101.6+21*D1617</f>
        <v>38203.199999999997</v>
      </c>
      <c r="J1619" s="181">
        <f>I1619/D1617</f>
        <v>42</v>
      </c>
      <c r="K1619" s="181">
        <f>21+21</f>
        <v>42</v>
      </c>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row>
    <row r="1620" spans="1:215" ht="46.5" x14ac:dyDescent="0.35">
      <c r="A1620" s="271"/>
      <c r="B1620" s="271"/>
      <c r="C1620" s="316"/>
      <c r="D1620" s="274"/>
      <c r="E1620" s="274"/>
      <c r="F1620" s="283"/>
      <c r="G1620" s="146" t="s">
        <v>78</v>
      </c>
      <c r="H1620" s="136" t="s">
        <v>634</v>
      </c>
      <c r="I1620" s="181">
        <f>19101.6+19*D1617</f>
        <v>36384</v>
      </c>
      <c r="J1620" s="181">
        <f>I1620/D1617</f>
        <v>40</v>
      </c>
      <c r="K1620" s="181">
        <f>21+19</f>
        <v>40</v>
      </c>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row>
    <row r="1621" spans="1:215" ht="58.5" customHeight="1" x14ac:dyDescent="0.35">
      <c r="A1621" s="272"/>
      <c r="B1621" s="272"/>
      <c r="C1621" s="326"/>
      <c r="D1621" s="275"/>
      <c r="E1621" s="275"/>
      <c r="F1621" s="284"/>
      <c r="G1621" s="146" t="s">
        <v>89</v>
      </c>
      <c r="H1621" s="136" t="s">
        <v>634</v>
      </c>
      <c r="I1621" s="181">
        <f>17282.4+D1617*9</f>
        <v>25468.799999999999</v>
      </c>
      <c r="J1621" s="181">
        <f>I1621/D1617</f>
        <v>28</v>
      </c>
      <c r="K1621" s="181">
        <f>19+9</f>
        <v>28</v>
      </c>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row>
    <row r="1622" spans="1:215" x14ac:dyDescent="0.35">
      <c r="A1622" s="277">
        <f>A1617+1</f>
        <v>10</v>
      </c>
      <c r="B1622" s="277">
        <v>5127</v>
      </c>
      <c r="C1622" s="325" t="s">
        <v>803</v>
      </c>
      <c r="D1622" s="287">
        <v>3273.7</v>
      </c>
      <c r="E1622" s="287" t="s">
        <v>74</v>
      </c>
      <c r="F1622" s="304">
        <v>5</v>
      </c>
      <c r="G1622" s="165"/>
      <c r="H1622" s="136" t="s">
        <v>72</v>
      </c>
      <c r="I1622" s="181">
        <f>I1623+I1624+I1625+I1626</f>
        <v>410459.06</v>
      </c>
      <c r="J1622" s="181">
        <f>J1623+J1624+J1625+J1626</f>
        <v>125.38</v>
      </c>
      <c r="K1622" s="181">
        <f>K1623+K1624+K1625+K1626</f>
        <v>177</v>
      </c>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row>
    <row r="1623" spans="1:215" ht="46.5" x14ac:dyDescent="0.35">
      <c r="A1623" s="277"/>
      <c r="B1623" s="277"/>
      <c r="C1623" s="325"/>
      <c r="D1623" s="287"/>
      <c r="E1623" s="287"/>
      <c r="F1623" s="304"/>
      <c r="G1623" s="146" t="s">
        <v>76</v>
      </c>
      <c r="H1623" s="136" t="s">
        <v>634</v>
      </c>
      <c r="I1623" s="181">
        <f>163744.1+6*D1622</f>
        <v>183386.3</v>
      </c>
      <c r="J1623" s="181">
        <f>I1623/D1622-0.01</f>
        <v>56.01</v>
      </c>
      <c r="K1623" s="181">
        <f>86+6</f>
        <v>92</v>
      </c>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row>
    <row r="1624" spans="1:215" ht="46.5" x14ac:dyDescent="0.35">
      <c r="A1624" s="277"/>
      <c r="B1624" s="277"/>
      <c r="C1624" s="325"/>
      <c r="D1624" s="287"/>
      <c r="E1624" s="287"/>
      <c r="F1624" s="304"/>
      <c r="G1624" s="146" t="s">
        <v>77</v>
      </c>
      <c r="H1624" s="136" t="s">
        <v>634</v>
      </c>
      <c r="I1624" s="181">
        <f>52334.66+8*D1622</f>
        <v>78524.259999999995</v>
      </c>
      <c r="J1624" s="181">
        <f>I1624/D1622</f>
        <v>23.99</v>
      </c>
      <c r="K1624" s="181">
        <f>21+8</f>
        <v>29</v>
      </c>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row>
    <row r="1625" spans="1:215" ht="46.5" x14ac:dyDescent="0.35">
      <c r="A1625" s="277"/>
      <c r="B1625" s="277"/>
      <c r="C1625" s="325"/>
      <c r="D1625" s="287"/>
      <c r="E1625" s="287"/>
      <c r="F1625" s="304"/>
      <c r="G1625" s="146" t="s">
        <v>78</v>
      </c>
      <c r="H1625" s="136" t="s">
        <v>634</v>
      </c>
      <c r="I1625" s="181">
        <f>52334.6+7*D1622</f>
        <v>75250.5</v>
      </c>
      <c r="J1625" s="181">
        <f>I1625/D1622</f>
        <v>22.99</v>
      </c>
      <c r="K1625" s="181">
        <f>21+7</f>
        <v>28</v>
      </c>
    </row>
    <row r="1626" spans="1:215" ht="46.5" x14ac:dyDescent="0.35">
      <c r="A1626" s="277"/>
      <c r="B1626" s="277"/>
      <c r="C1626" s="325"/>
      <c r="D1626" s="287"/>
      <c r="E1626" s="287"/>
      <c r="F1626" s="304"/>
      <c r="G1626" s="146" t="s">
        <v>89</v>
      </c>
      <c r="H1626" s="136" t="s">
        <v>634</v>
      </c>
      <c r="I1626" s="181">
        <f>43834.7+9*D1622</f>
        <v>73298</v>
      </c>
      <c r="J1626" s="181">
        <f>I1626/D1622</f>
        <v>22.39</v>
      </c>
      <c r="K1626" s="181">
        <f>19+9</f>
        <v>28</v>
      </c>
    </row>
    <row r="1627" spans="1:215" x14ac:dyDescent="0.35">
      <c r="A1627" s="277">
        <f>A1622+1</f>
        <v>11</v>
      </c>
      <c r="B1627" s="277">
        <v>5128</v>
      </c>
      <c r="C1627" s="325" t="s">
        <v>804</v>
      </c>
      <c r="D1627" s="287">
        <v>3054.1</v>
      </c>
      <c r="E1627" s="287" t="s">
        <v>74</v>
      </c>
      <c r="F1627" s="304">
        <v>9</v>
      </c>
      <c r="G1627" s="165"/>
      <c r="H1627" s="136" t="s">
        <v>72</v>
      </c>
      <c r="I1627" s="181">
        <f>I1628+I1629+I1630+I1631</f>
        <v>457742.57</v>
      </c>
      <c r="J1627" s="181">
        <f>J1628+J1629+J1630+J1631</f>
        <v>149.88</v>
      </c>
      <c r="K1627" s="181">
        <f>K1628+K1629+K1630+K1631</f>
        <v>177</v>
      </c>
    </row>
    <row r="1628" spans="1:215" ht="46.5" x14ac:dyDescent="0.35">
      <c r="A1628" s="277"/>
      <c r="B1628" s="277"/>
      <c r="C1628" s="325"/>
      <c r="D1628" s="287"/>
      <c r="E1628" s="287"/>
      <c r="F1628" s="304"/>
      <c r="G1628" s="146" t="s">
        <v>76</v>
      </c>
      <c r="H1628" s="136" t="s">
        <v>634</v>
      </c>
      <c r="I1628" s="181">
        <f>183059.78+6*D1627</f>
        <v>201384.38</v>
      </c>
      <c r="J1628" s="181">
        <f>I1628/D1627+0.01</f>
        <v>65.95</v>
      </c>
      <c r="K1628" s="181">
        <f>86+6</f>
        <v>92</v>
      </c>
    </row>
    <row r="1629" spans="1:215" ht="46.5" x14ac:dyDescent="0.35">
      <c r="A1629" s="277"/>
      <c r="B1629" s="277"/>
      <c r="C1629" s="325"/>
      <c r="D1629" s="287"/>
      <c r="E1629" s="287"/>
      <c r="F1629" s="304"/>
      <c r="G1629" s="146" t="s">
        <v>77</v>
      </c>
      <c r="H1629" s="136" t="s">
        <v>634</v>
      </c>
      <c r="I1629" s="181">
        <f>62713.68+8*D1627</f>
        <v>87146.48</v>
      </c>
      <c r="J1629" s="181">
        <f>I1629/D1627</f>
        <v>28.53</v>
      </c>
      <c r="K1629" s="181">
        <f>21+8</f>
        <v>29</v>
      </c>
    </row>
    <row r="1630" spans="1:215" ht="46.5" x14ac:dyDescent="0.35">
      <c r="A1630" s="277"/>
      <c r="B1630" s="277"/>
      <c r="C1630" s="325"/>
      <c r="D1630" s="287"/>
      <c r="E1630" s="287"/>
      <c r="F1630" s="304"/>
      <c r="G1630" s="146" t="s">
        <v>78</v>
      </c>
      <c r="H1630" s="136" t="s">
        <v>634</v>
      </c>
      <c r="I1630" s="181">
        <f>62713.68+7*D1627</f>
        <v>84092.38</v>
      </c>
      <c r="J1630" s="181">
        <f>I1630/D1627</f>
        <v>27.53</v>
      </c>
      <c r="K1630" s="181">
        <f>21+7</f>
        <v>28</v>
      </c>
    </row>
    <row r="1631" spans="1:215" ht="46.5" x14ac:dyDescent="0.35">
      <c r="A1631" s="277"/>
      <c r="B1631" s="277"/>
      <c r="C1631" s="325"/>
      <c r="D1631" s="287"/>
      <c r="E1631" s="287"/>
      <c r="F1631" s="304"/>
      <c r="G1631" s="146" t="s">
        <v>89</v>
      </c>
      <c r="H1631" s="136" t="s">
        <v>634</v>
      </c>
      <c r="I1631" s="181">
        <f>57632.43+9*D1627</f>
        <v>85119.33</v>
      </c>
      <c r="J1631" s="181">
        <f>I1631/D1627</f>
        <v>27.87</v>
      </c>
      <c r="K1631" s="181">
        <f>19+9</f>
        <v>28</v>
      </c>
    </row>
    <row r="1632" spans="1:215" x14ac:dyDescent="0.35">
      <c r="A1632" s="270">
        <f>A1627+1</f>
        <v>12</v>
      </c>
      <c r="B1632" s="270">
        <v>5130</v>
      </c>
      <c r="C1632" s="278" t="s">
        <v>805</v>
      </c>
      <c r="D1632" s="273">
        <v>7561.6</v>
      </c>
      <c r="E1632" s="273" t="s">
        <v>74</v>
      </c>
      <c r="F1632" s="282">
        <v>9</v>
      </c>
      <c r="G1632" s="270" t="s">
        <v>71</v>
      </c>
      <c r="H1632" s="136" t="s">
        <v>72</v>
      </c>
      <c r="I1632" s="181">
        <f>I1633+I1634</f>
        <v>17723771.359999999</v>
      </c>
      <c r="J1632" s="181">
        <f>J1633+J1634</f>
        <v>2343.92</v>
      </c>
      <c r="K1632" s="181">
        <f>K1633+K1634</f>
        <v>2679</v>
      </c>
    </row>
    <row r="1633" spans="1:11" x14ac:dyDescent="0.35">
      <c r="A1633" s="271"/>
      <c r="B1633" s="271"/>
      <c r="C1633" s="279"/>
      <c r="D1633" s="274"/>
      <c r="E1633" s="274"/>
      <c r="F1633" s="283"/>
      <c r="G1633" s="271"/>
      <c r="H1633" s="136" t="s">
        <v>73</v>
      </c>
      <c r="I1633" s="181">
        <v>17460438.640000001</v>
      </c>
      <c r="J1633" s="181">
        <f>I1633/D1632</f>
        <v>2309.09</v>
      </c>
      <c r="K1633" s="181">
        <v>2623</v>
      </c>
    </row>
    <row r="1634" spans="1:11" x14ac:dyDescent="0.35">
      <c r="A1634" s="272"/>
      <c r="B1634" s="272"/>
      <c r="C1634" s="285"/>
      <c r="D1634" s="275"/>
      <c r="E1634" s="275"/>
      <c r="F1634" s="284"/>
      <c r="G1634" s="272"/>
      <c r="H1634" s="136" t="s">
        <v>75</v>
      </c>
      <c r="I1634" s="181">
        <v>263332.71999999997</v>
      </c>
      <c r="J1634" s="181">
        <f>I1634/D1632</f>
        <v>34.83</v>
      </c>
      <c r="K1634" s="181">
        <v>56</v>
      </c>
    </row>
    <row r="1635" spans="1:11" x14ac:dyDescent="0.35">
      <c r="A1635" s="270">
        <f>A1632+1</f>
        <v>13</v>
      </c>
      <c r="B1635" s="270">
        <v>5131</v>
      </c>
      <c r="C1635" s="278" t="s">
        <v>806</v>
      </c>
      <c r="D1635" s="273">
        <v>8069.69</v>
      </c>
      <c r="E1635" s="273" t="s">
        <v>74</v>
      </c>
      <c r="F1635" s="282">
        <v>9</v>
      </c>
      <c r="G1635" s="270" t="s">
        <v>71</v>
      </c>
      <c r="H1635" s="136" t="s">
        <v>72</v>
      </c>
      <c r="I1635" s="181">
        <f>I1636+I1637</f>
        <v>17894835.539999999</v>
      </c>
      <c r="J1635" s="181">
        <f>J1636+J1637</f>
        <v>2217.54</v>
      </c>
      <c r="K1635" s="181">
        <f>K1636+K1637</f>
        <v>2679</v>
      </c>
    </row>
    <row r="1636" spans="1:11" x14ac:dyDescent="0.35">
      <c r="A1636" s="271"/>
      <c r="B1636" s="271"/>
      <c r="C1636" s="279"/>
      <c r="D1636" s="274"/>
      <c r="E1636" s="274"/>
      <c r="F1636" s="283"/>
      <c r="G1636" s="271"/>
      <c r="H1636" s="136" t="s">
        <v>73</v>
      </c>
      <c r="I1636" s="181">
        <v>17613808.579999998</v>
      </c>
      <c r="J1636" s="181">
        <f>I1636/D1635</f>
        <v>2182.71</v>
      </c>
      <c r="K1636" s="181">
        <v>2623</v>
      </c>
    </row>
    <row r="1637" spans="1:11" x14ac:dyDescent="0.35">
      <c r="A1637" s="272"/>
      <c r="B1637" s="272"/>
      <c r="C1637" s="285"/>
      <c r="D1637" s="275"/>
      <c r="E1637" s="275"/>
      <c r="F1637" s="284"/>
      <c r="G1637" s="272"/>
      <c r="H1637" s="136" t="s">
        <v>75</v>
      </c>
      <c r="I1637" s="181">
        <v>281026.96000000002</v>
      </c>
      <c r="J1637" s="181">
        <f>I1637/D1635</f>
        <v>34.83</v>
      </c>
      <c r="K1637" s="181">
        <v>56</v>
      </c>
    </row>
    <row r="1638" spans="1:11" x14ac:dyDescent="0.35">
      <c r="A1638" s="265">
        <f>A1635+1</f>
        <v>14</v>
      </c>
      <c r="B1638" s="265">
        <v>5133</v>
      </c>
      <c r="C1638" s="266" t="s">
        <v>807</v>
      </c>
      <c r="D1638" s="295">
        <v>8595.5</v>
      </c>
      <c r="E1638" s="295" t="s">
        <v>74</v>
      </c>
      <c r="F1638" s="344">
        <v>9</v>
      </c>
      <c r="G1638" s="265" t="s">
        <v>71</v>
      </c>
      <c r="H1638" s="151" t="s">
        <v>72</v>
      </c>
      <c r="I1638" s="149">
        <f>I1639+I1640</f>
        <v>15000621.41</v>
      </c>
      <c r="J1638" s="149">
        <f>J1639+J1640</f>
        <v>1745.17</v>
      </c>
      <c r="K1638" s="149">
        <f>K1639+K1640</f>
        <v>2679</v>
      </c>
    </row>
    <row r="1639" spans="1:11" x14ac:dyDescent="0.35">
      <c r="A1639" s="265">
        <v>275</v>
      </c>
      <c r="B1639" s="265"/>
      <c r="C1639" s="266"/>
      <c r="D1639" s="295"/>
      <c r="E1639" s="295"/>
      <c r="F1639" s="344"/>
      <c r="G1639" s="265"/>
      <c r="H1639" s="151" t="s">
        <v>73</v>
      </c>
      <c r="I1639" s="149">
        <v>14701283.130000001</v>
      </c>
      <c r="J1639" s="149">
        <f>I1639/D1638</f>
        <v>1710.35</v>
      </c>
      <c r="K1639" s="149">
        <v>2623</v>
      </c>
    </row>
    <row r="1640" spans="1:11" x14ac:dyDescent="0.35">
      <c r="A1640" s="265">
        <v>276</v>
      </c>
      <c r="B1640" s="265"/>
      <c r="C1640" s="266"/>
      <c r="D1640" s="295"/>
      <c r="E1640" s="295"/>
      <c r="F1640" s="344"/>
      <c r="G1640" s="265"/>
      <c r="H1640" s="151" t="s">
        <v>75</v>
      </c>
      <c r="I1640" s="149">
        <v>299338.28000000003</v>
      </c>
      <c r="J1640" s="149">
        <f>I1640/D1638</f>
        <v>34.82</v>
      </c>
      <c r="K1640" s="149">
        <v>56</v>
      </c>
    </row>
    <row r="1641" spans="1:11" x14ac:dyDescent="0.35">
      <c r="A1641" s="259">
        <f>A1638+1</f>
        <v>15</v>
      </c>
      <c r="B1641" s="259">
        <v>5140</v>
      </c>
      <c r="C1641" s="262" t="s">
        <v>808</v>
      </c>
      <c r="D1641" s="256">
        <v>8292.2000000000007</v>
      </c>
      <c r="E1641" s="256" t="s">
        <v>74</v>
      </c>
      <c r="F1641" s="300">
        <v>9</v>
      </c>
      <c r="G1641" s="259" t="s">
        <v>71</v>
      </c>
      <c r="H1641" s="151" t="s">
        <v>72</v>
      </c>
      <c r="I1641" s="149">
        <f>I1643+I1642</f>
        <v>6045571.4100000001</v>
      </c>
      <c r="J1641" s="149">
        <f>J1643+J1642</f>
        <v>729.07</v>
      </c>
      <c r="K1641" s="149">
        <f>K1643+K1642</f>
        <v>2790</v>
      </c>
    </row>
    <row r="1642" spans="1:11" ht="46.5" x14ac:dyDescent="0.35">
      <c r="A1642" s="260"/>
      <c r="B1642" s="260"/>
      <c r="C1642" s="263"/>
      <c r="D1642" s="257"/>
      <c r="E1642" s="257"/>
      <c r="F1642" s="301"/>
      <c r="G1642" s="260"/>
      <c r="H1642" s="136" t="s">
        <v>673</v>
      </c>
      <c r="I1642" s="149">
        <f>1258935.7+14640</f>
        <v>1273575.7</v>
      </c>
      <c r="J1642" s="149">
        <f>I1642/D1641</f>
        <v>153.59</v>
      </c>
      <c r="K1642" s="149">
        <f>154+13</f>
        <v>167</v>
      </c>
    </row>
    <row r="1643" spans="1:11" x14ac:dyDescent="0.35">
      <c r="A1643" s="261"/>
      <c r="B1643" s="261"/>
      <c r="C1643" s="264"/>
      <c r="D1643" s="258"/>
      <c r="E1643" s="258"/>
      <c r="F1643" s="302"/>
      <c r="G1643" s="261"/>
      <c r="H1643" s="151" t="s">
        <v>73</v>
      </c>
      <c r="I1643" s="149">
        <f>15906652.38*0.3</f>
        <v>4771995.71</v>
      </c>
      <c r="J1643" s="149">
        <f>I1643/D1641</f>
        <v>575.48</v>
      </c>
      <c r="K1643" s="149">
        <v>2623</v>
      </c>
    </row>
    <row r="1644" spans="1:11" x14ac:dyDescent="0.35">
      <c r="A1644" s="270">
        <f>A1641+1</f>
        <v>16</v>
      </c>
      <c r="B1644" s="270">
        <v>5164</v>
      </c>
      <c r="C1644" s="315" t="s">
        <v>809</v>
      </c>
      <c r="D1644" s="273">
        <v>2523.3000000000002</v>
      </c>
      <c r="E1644" s="273" t="s">
        <v>74</v>
      </c>
      <c r="F1644" s="282">
        <v>5</v>
      </c>
      <c r="G1644" s="270" t="s">
        <v>71</v>
      </c>
      <c r="H1644" s="136" t="s">
        <v>72</v>
      </c>
      <c r="I1644" s="181">
        <f>I1645</f>
        <v>434007.6</v>
      </c>
      <c r="J1644" s="181">
        <f>J1645</f>
        <v>172</v>
      </c>
      <c r="K1644" s="181">
        <f>K1645</f>
        <v>172</v>
      </c>
    </row>
    <row r="1645" spans="1:11" ht="46.5" x14ac:dyDescent="0.35">
      <c r="A1645" s="271"/>
      <c r="B1645" s="271"/>
      <c r="C1645" s="316"/>
      <c r="D1645" s="274"/>
      <c r="E1645" s="274"/>
      <c r="F1645" s="283"/>
      <c r="G1645" s="271"/>
      <c r="H1645" s="136" t="s">
        <v>673</v>
      </c>
      <c r="I1645" s="181">
        <f>388588.2+2523.3*18</f>
        <v>434007.6</v>
      </c>
      <c r="J1645" s="181">
        <f>I1645/D1644</f>
        <v>172</v>
      </c>
      <c r="K1645" s="181">
        <f>154+18</f>
        <v>172</v>
      </c>
    </row>
    <row r="1646" spans="1:11" x14ac:dyDescent="0.35">
      <c r="A1646" s="270">
        <f>A1644+1</f>
        <v>17</v>
      </c>
      <c r="B1646" s="270">
        <v>5186</v>
      </c>
      <c r="C1646" s="278" t="s">
        <v>810</v>
      </c>
      <c r="D1646" s="273">
        <v>10091</v>
      </c>
      <c r="E1646" s="273" t="s">
        <v>70</v>
      </c>
      <c r="F1646" s="282">
        <v>9</v>
      </c>
      <c r="G1646" s="167"/>
      <c r="H1646" s="136" t="s">
        <v>72</v>
      </c>
      <c r="I1646" s="181">
        <f>SUM(I1647:I1656)</f>
        <v>8238401.4800000004</v>
      </c>
      <c r="J1646" s="181">
        <f>SUM(J1647:J1656)</f>
        <v>816.41</v>
      </c>
      <c r="K1646" s="181">
        <f>SUM(K1647:K1656)</f>
        <v>867.37</v>
      </c>
    </row>
    <row r="1647" spans="1:11" x14ac:dyDescent="0.35">
      <c r="A1647" s="271"/>
      <c r="B1647" s="271"/>
      <c r="C1647" s="279"/>
      <c r="D1647" s="274"/>
      <c r="E1647" s="274"/>
      <c r="F1647" s="283"/>
      <c r="G1647" s="270" t="s">
        <v>641</v>
      </c>
      <c r="H1647" s="136" t="s">
        <v>642</v>
      </c>
      <c r="I1647" s="181">
        <v>1611004.3</v>
      </c>
      <c r="J1647" s="181">
        <f>I1647/D1646</f>
        <v>159.65</v>
      </c>
      <c r="K1647" s="181">
        <f>1713850/D1646+0.01</f>
        <v>169.85</v>
      </c>
    </row>
    <row r="1648" spans="1:11" x14ac:dyDescent="0.35">
      <c r="A1648" s="271"/>
      <c r="B1648" s="271"/>
      <c r="C1648" s="279"/>
      <c r="D1648" s="274"/>
      <c r="E1648" s="274"/>
      <c r="F1648" s="283"/>
      <c r="G1648" s="272"/>
      <c r="H1648" s="136" t="s">
        <v>75</v>
      </c>
      <c r="I1648" s="181">
        <v>36676</v>
      </c>
      <c r="J1648" s="181">
        <f>I1648/D1646</f>
        <v>3.63</v>
      </c>
      <c r="K1648" s="181">
        <f>36676/D1646</f>
        <v>3.63</v>
      </c>
    </row>
    <row r="1649" spans="1:11" x14ac:dyDescent="0.35">
      <c r="A1649" s="271"/>
      <c r="B1649" s="271"/>
      <c r="C1649" s="279"/>
      <c r="D1649" s="274"/>
      <c r="E1649" s="274"/>
      <c r="F1649" s="283"/>
      <c r="G1649" s="270" t="s">
        <v>647</v>
      </c>
      <c r="H1649" s="136" t="s">
        <v>642</v>
      </c>
      <c r="I1649" s="181">
        <v>1611004.3</v>
      </c>
      <c r="J1649" s="181">
        <f>I1649/D1646+0.01</f>
        <v>159.66</v>
      </c>
      <c r="K1649" s="181">
        <f>1713850/D1646+0.01</f>
        <v>169.85</v>
      </c>
    </row>
    <row r="1650" spans="1:11" x14ac:dyDescent="0.35">
      <c r="A1650" s="271"/>
      <c r="B1650" s="271"/>
      <c r="C1650" s="279"/>
      <c r="D1650" s="274"/>
      <c r="E1650" s="274"/>
      <c r="F1650" s="283"/>
      <c r="G1650" s="272"/>
      <c r="H1650" s="136" t="s">
        <v>75</v>
      </c>
      <c r="I1650" s="181">
        <v>36676</v>
      </c>
      <c r="J1650" s="181">
        <f>I1650/D1646</f>
        <v>3.63</v>
      </c>
      <c r="K1650" s="181">
        <f>36676/D1646</f>
        <v>3.63</v>
      </c>
    </row>
    <row r="1651" spans="1:11" x14ac:dyDescent="0.35">
      <c r="A1651" s="271"/>
      <c r="B1651" s="271"/>
      <c r="C1651" s="279"/>
      <c r="D1651" s="274"/>
      <c r="E1651" s="274"/>
      <c r="F1651" s="283"/>
      <c r="G1651" s="270" t="s">
        <v>648</v>
      </c>
      <c r="H1651" s="136" t="s">
        <v>642</v>
      </c>
      <c r="I1651" s="181">
        <v>1611004.3</v>
      </c>
      <c r="J1651" s="181">
        <f>I1651/D1646</f>
        <v>159.65</v>
      </c>
      <c r="K1651" s="181">
        <f>1713850/D1646</f>
        <v>169.84</v>
      </c>
    </row>
    <row r="1652" spans="1:11" x14ac:dyDescent="0.35">
      <c r="A1652" s="271"/>
      <c r="B1652" s="271"/>
      <c r="C1652" s="279"/>
      <c r="D1652" s="274"/>
      <c r="E1652" s="274"/>
      <c r="F1652" s="283"/>
      <c r="G1652" s="272"/>
      <c r="H1652" s="136" t="s">
        <v>75</v>
      </c>
      <c r="I1652" s="181">
        <v>36676</v>
      </c>
      <c r="J1652" s="181">
        <f>I1652/D1646</f>
        <v>3.63</v>
      </c>
      <c r="K1652" s="181">
        <f>36676/D1646</f>
        <v>3.63</v>
      </c>
    </row>
    <row r="1653" spans="1:11" x14ac:dyDescent="0.35">
      <c r="A1653" s="271"/>
      <c r="B1653" s="271"/>
      <c r="C1653" s="279"/>
      <c r="D1653" s="274"/>
      <c r="E1653" s="274"/>
      <c r="F1653" s="283"/>
      <c r="G1653" s="270" t="s">
        <v>649</v>
      </c>
      <c r="H1653" s="136" t="s">
        <v>642</v>
      </c>
      <c r="I1653" s="181">
        <v>1611004.29</v>
      </c>
      <c r="J1653" s="181">
        <f>I1653/D1646</f>
        <v>159.65</v>
      </c>
      <c r="K1653" s="181">
        <f>1713850/D1646</f>
        <v>169.84</v>
      </c>
    </row>
    <row r="1654" spans="1:11" x14ac:dyDescent="0.35">
      <c r="A1654" s="271"/>
      <c r="B1654" s="271"/>
      <c r="C1654" s="279"/>
      <c r="D1654" s="274"/>
      <c r="E1654" s="274"/>
      <c r="F1654" s="283"/>
      <c r="G1654" s="272"/>
      <c r="H1654" s="136" t="s">
        <v>75</v>
      </c>
      <c r="I1654" s="181">
        <v>36676</v>
      </c>
      <c r="J1654" s="181">
        <f>I1654/D1646</f>
        <v>3.63</v>
      </c>
      <c r="K1654" s="181">
        <f>36676/D1646</f>
        <v>3.63</v>
      </c>
    </row>
    <row r="1655" spans="1:11" x14ac:dyDescent="0.35">
      <c r="A1655" s="271"/>
      <c r="B1655" s="271"/>
      <c r="C1655" s="279"/>
      <c r="D1655" s="274"/>
      <c r="E1655" s="274"/>
      <c r="F1655" s="283"/>
      <c r="G1655" s="270" t="s">
        <v>646</v>
      </c>
      <c r="H1655" s="136" t="s">
        <v>642</v>
      </c>
      <c r="I1655" s="181">
        <v>1611004.29</v>
      </c>
      <c r="J1655" s="181">
        <f>I1655/D1646</f>
        <v>159.65</v>
      </c>
      <c r="K1655" s="181">
        <f>1713850/D1646</f>
        <v>169.84</v>
      </c>
    </row>
    <row r="1656" spans="1:11" x14ac:dyDescent="0.35">
      <c r="A1656" s="272"/>
      <c r="B1656" s="272"/>
      <c r="C1656" s="285"/>
      <c r="D1656" s="275"/>
      <c r="E1656" s="275"/>
      <c r="F1656" s="284"/>
      <c r="G1656" s="272"/>
      <c r="H1656" s="136" t="s">
        <v>75</v>
      </c>
      <c r="I1656" s="181">
        <v>36676</v>
      </c>
      <c r="J1656" s="181">
        <f>I1656/D1646</f>
        <v>3.63</v>
      </c>
      <c r="K1656" s="181">
        <f>36676/D1646</f>
        <v>3.63</v>
      </c>
    </row>
    <row r="1657" spans="1:11" x14ac:dyDescent="0.35">
      <c r="A1657" s="265">
        <f>A1646+1</f>
        <v>18</v>
      </c>
      <c r="B1657" s="265">
        <v>5210</v>
      </c>
      <c r="C1657" s="343" t="s">
        <v>249</v>
      </c>
      <c r="D1657" s="295">
        <v>990.3</v>
      </c>
      <c r="E1657" s="295" t="s">
        <v>74</v>
      </c>
      <c r="F1657" s="344">
        <v>2</v>
      </c>
      <c r="G1657" s="156"/>
      <c r="H1657" s="151" t="s">
        <v>72</v>
      </c>
      <c r="I1657" s="149">
        <f>SUM(I1658:I1663)</f>
        <v>2522294.61</v>
      </c>
      <c r="J1657" s="149">
        <f>SUM(J1658:J1663)</f>
        <v>2547</v>
      </c>
      <c r="K1657" s="149">
        <f>SUM(K1658:K1663)</f>
        <v>3840</v>
      </c>
    </row>
    <row r="1658" spans="1:11" x14ac:dyDescent="0.35">
      <c r="A1658" s="265"/>
      <c r="B1658" s="265"/>
      <c r="C1658" s="343"/>
      <c r="D1658" s="295"/>
      <c r="E1658" s="295"/>
      <c r="F1658" s="344"/>
      <c r="G1658" s="265" t="s">
        <v>76</v>
      </c>
      <c r="H1658" s="191" t="s">
        <v>73</v>
      </c>
      <c r="I1658" s="149">
        <f>2716392.9*0.7</f>
        <v>1901475.03</v>
      </c>
      <c r="J1658" s="149">
        <f>I1658/D1657</f>
        <v>1920.1</v>
      </c>
      <c r="K1658" s="149">
        <v>2743</v>
      </c>
    </row>
    <row r="1659" spans="1:11" x14ac:dyDescent="0.35">
      <c r="A1659" s="265"/>
      <c r="B1659" s="265"/>
      <c r="C1659" s="343"/>
      <c r="D1659" s="295"/>
      <c r="E1659" s="295"/>
      <c r="F1659" s="344"/>
      <c r="G1659" s="265"/>
      <c r="H1659" s="191" t="s">
        <v>75</v>
      </c>
      <c r="I1659" s="149">
        <v>14617.88</v>
      </c>
      <c r="J1659" s="149">
        <f>I1659/D1657</f>
        <v>14.76</v>
      </c>
      <c r="K1659" s="149">
        <v>59</v>
      </c>
    </row>
    <row r="1660" spans="1:11" x14ac:dyDescent="0.35">
      <c r="A1660" s="265"/>
      <c r="B1660" s="265"/>
      <c r="C1660" s="343"/>
      <c r="D1660" s="295"/>
      <c r="E1660" s="295"/>
      <c r="F1660" s="344"/>
      <c r="G1660" s="265" t="s">
        <v>77</v>
      </c>
      <c r="H1660" s="191" t="s">
        <v>73</v>
      </c>
      <c r="I1660" s="149">
        <f>480941.71*0.7</f>
        <v>336659.20000000001</v>
      </c>
      <c r="J1660" s="149">
        <f>I1660/D1657</f>
        <v>339.96</v>
      </c>
      <c r="K1660" s="149">
        <v>530</v>
      </c>
    </row>
    <row r="1661" spans="1:11" x14ac:dyDescent="0.35">
      <c r="A1661" s="265"/>
      <c r="B1661" s="265"/>
      <c r="C1661" s="343"/>
      <c r="D1661" s="295"/>
      <c r="E1661" s="295"/>
      <c r="F1661" s="344"/>
      <c r="G1661" s="265"/>
      <c r="H1661" s="191" t="s">
        <v>75</v>
      </c>
      <c r="I1661" s="149">
        <v>2588.12</v>
      </c>
      <c r="J1661" s="149">
        <f>I1661/D1657</f>
        <v>2.61</v>
      </c>
      <c r="K1661" s="149">
        <v>11</v>
      </c>
    </row>
    <row r="1662" spans="1:11" x14ac:dyDescent="0.35">
      <c r="A1662" s="265"/>
      <c r="B1662" s="265"/>
      <c r="C1662" s="343"/>
      <c r="D1662" s="295"/>
      <c r="E1662" s="295"/>
      <c r="F1662" s="344"/>
      <c r="G1662" s="265" t="s">
        <v>89</v>
      </c>
      <c r="H1662" s="191" t="s">
        <v>73</v>
      </c>
      <c r="I1662" s="149">
        <f>378453.97*0.7</f>
        <v>264917.78000000003</v>
      </c>
      <c r="J1662" s="149">
        <f>I1662/D1657</f>
        <v>267.51</v>
      </c>
      <c r="K1662" s="149">
        <v>487</v>
      </c>
    </row>
    <row r="1663" spans="1:11" x14ac:dyDescent="0.35">
      <c r="A1663" s="265"/>
      <c r="B1663" s="265"/>
      <c r="C1663" s="343"/>
      <c r="D1663" s="295"/>
      <c r="E1663" s="295"/>
      <c r="F1663" s="344"/>
      <c r="G1663" s="265"/>
      <c r="H1663" s="191" t="s">
        <v>75</v>
      </c>
      <c r="I1663" s="149">
        <v>2036.6</v>
      </c>
      <c r="J1663" s="149">
        <f>I1663/D1657</f>
        <v>2.06</v>
      </c>
      <c r="K1663" s="149">
        <v>10</v>
      </c>
    </row>
    <row r="1664" spans="1:11" x14ac:dyDescent="0.35">
      <c r="A1664" s="277">
        <f>A1657+1</f>
        <v>19</v>
      </c>
      <c r="B1664" s="277">
        <v>5257</v>
      </c>
      <c r="C1664" s="328" t="s">
        <v>811</v>
      </c>
      <c r="D1664" s="287">
        <v>576.6</v>
      </c>
      <c r="E1664" s="287" t="s">
        <v>74</v>
      </c>
      <c r="F1664" s="304">
        <v>2</v>
      </c>
      <c r="G1664" s="277" t="s">
        <v>71</v>
      </c>
      <c r="H1664" s="136" t="s">
        <v>72</v>
      </c>
      <c r="I1664" s="181">
        <f>I1665</f>
        <v>83387.48</v>
      </c>
      <c r="J1664" s="181">
        <f>J1665</f>
        <v>144.62</v>
      </c>
      <c r="K1664" s="181">
        <f>K1665</f>
        <v>250</v>
      </c>
    </row>
    <row r="1665" spans="1:11" ht="46.5" x14ac:dyDescent="0.35">
      <c r="A1665" s="277"/>
      <c r="B1665" s="277"/>
      <c r="C1665" s="328"/>
      <c r="D1665" s="287"/>
      <c r="E1665" s="287"/>
      <c r="F1665" s="304"/>
      <c r="G1665" s="277"/>
      <c r="H1665" s="136" t="s">
        <v>673</v>
      </c>
      <c r="I1665" s="181">
        <f>75891.68+7495.8</f>
        <v>83387.48</v>
      </c>
      <c r="J1665" s="181">
        <f>I1665/D1664</f>
        <v>144.62</v>
      </c>
      <c r="K1665" s="181">
        <f>154+96</f>
        <v>250</v>
      </c>
    </row>
    <row r="1666" spans="1:11" x14ac:dyDescent="0.35">
      <c r="A1666" s="277">
        <f>A1664+1</f>
        <v>20</v>
      </c>
      <c r="B1666" s="277">
        <v>5259</v>
      </c>
      <c r="C1666" s="328" t="s">
        <v>812</v>
      </c>
      <c r="D1666" s="287">
        <v>565.6</v>
      </c>
      <c r="E1666" s="287" t="s">
        <v>74</v>
      </c>
      <c r="F1666" s="304">
        <v>2</v>
      </c>
      <c r="G1666" s="277" t="s">
        <v>71</v>
      </c>
      <c r="H1666" s="136" t="s">
        <v>72</v>
      </c>
      <c r="I1666" s="181">
        <f>I1667</f>
        <v>87449.96</v>
      </c>
      <c r="J1666" s="181">
        <f>J1667</f>
        <v>154.61000000000001</v>
      </c>
      <c r="K1666" s="181">
        <f>K1667</f>
        <v>250</v>
      </c>
    </row>
    <row r="1667" spans="1:11" ht="46.5" x14ac:dyDescent="0.35">
      <c r="A1667" s="277"/>
      <c r="B1667" s="277"/>
      <c r="C1667" s="328"/>
      <c r="D1667" s="287"/>
      <c r="E1667" s="287"/>
      <c r="F1667" s="304"/>
      <c r="G1667" s="277"/>
      <c r="H1667" s="136" t="s">
        <v>673</v>
      </c>
      <c r="I1667" s="181">
        <f>80097.16+7352.8</f>
        <v>87449.96</v>
      </c>
      <c r="J1667" s="181">
        <f>I1667/D1666</f>
        <v>154.61000000000001</v>
      </c>
      <c r="K1667" s="181">
        <f>154+96</f>
        <v>250</v>
      </c>
    </row>
    <row r="1668" spans="1:11" x14ac:dyDescent="0.35">
      <c r="A1668" s="277">
        <f>A1666+1</f>
        <v>21</v>
      </c>
      <c r="B1668" s="277">
        <v>5263</v>
      </c>
      <c r="C1668" s="328" t="s">
        <v>813</v>
      </c>
      <c r="D1668" s="287">
        <v>560.6</v>
      </c>
      <c r="E1668" s="287" t="s">
        <v>74</v>
      </c>
      <c r="F1668" s="304">
        <v>2</v>
      </c>
      <c r="G1668" s="277" t="s">
        <v>71</v>
      </c>
      <c r="H1668" s="136" t="s">
        <v>72</v>
      </c>
      <c r="I1668" s="181">
        <f>I1669</f>
        <v>81212.63</v>
      </c>
      <c r="J1668" s="181">
        <f>J1669</f>
        <v>144.87</v>
      </c>
      <c r="K1668" s="181">
        <f>K1669</f>
        <v>250</v>
      </c>
    </row>
    <row r="1669" spans="1:11" ht="46.5" x14ac:dyDescent="0.35">
      <c r="A1669" s="277"/>
      <c r="B1669" s="277"/>
      <c r="C1669" s="328"/>
      <c r="D1669" s="287"/>
      <c r="E1669" s="287"/>
      <c r="F1669" s="304"/>
      <c r="G1669" s="277"/>
      <c r="H1669" s="136" t="s">
        <v>673</v>
      </c>
      <c r="I1669" s="181">
        <f>73924.83+7287.8</f>
        <v>81212.63</v>
      </c>
      <c r="J1669" s="181">
        <f>I1669/D1668</f>
        <v>144.87</v>
      </c>
      <c r="K1669" s="181">
        <f>154+96</f>
        <v>250</v>
      </c>
    </row>
    <row r="1670" spans="1:11" x14ac:dyDescent="0.35">
      <c r="A1670" s="168" t="s">
        <v>47</v>
      </c>
      <c r="B1670" s="168"/>
      <c r="C1670" s="169"/>
      <c r="D1670" s="181">
        <f>D1671+D1674+D1677+D1680+D1684+D1688+D1691+D1694+D1697+D1701+D1705+D1708+D1710+D1712+D1716+D1719+D1722+D1725+D1727+D1730+D1732+D1735+D1745+D1752+D1755+D1758+D1760+D1767+D1770+D1772+D1775+D1778+D1780+D1783+D1786+D1789+D1791+D1794+D1796+D1799+D1806+D1813+D1815+D1818+D1820+D1823+D1833+D1835+D1842+D1844+D1846+D1848+D1851+D1854+D1856+D1863+D1866+D1870+D1873+D1878+D1881+D1883+D1885+D1890+D1893+D1895+D1899+D1902+D1905+D1909+D1925+D1930+D1932+D1934+D1936+D1939+D1942+D1944+D1947+D1949+D1953+D1956+D1959+D1963+D1966+D1968+D1975+D1982+D1984+D1986+D1989+D1992+D1995+D1998+D2005+D2008+D2011+D2015+D2018+D2020+D2025+D2027+D2030+D2034+D2037+D2040+D2042+D2045+D2048+D2051+D2054+D2057+D2059+D2061+D2063+D2065+D2067+D2069+D2072+D2074+D2077+D2079+D2081+D2083+D2085+D2092+D2099+D2112+D2114+D2124+D2126+D2128+D2131+D2133+D2135+D2137+D2139+D2141+D2146+D2148+D2150+D2152+D2154+D2156+D2160+D2162+D2164+D2174+D2184+D2193+D2195+D2197+D2199+D2202+D2204+D2206+D2208+D2210+D2212+D2217+D2219+D2221+D2228+D2230+D2232+D2234+D2236+D2238+D2251+D2253+D2269+D2277+D2279+D2281+D2283+D2285+D2287+D2289+D2291+D2293+D2295+D2297+D2299+D2301+D2303+D2306+D2309+D2312+D2315+D2317+D2319+D2321+D2323+D2325+D2329+D2333+D2335+D2339+D2341+D2346+D2350+D2355+D2358+D2363+D2365+D2367+D2370+D2372+D2376+D2378+D2381+D2383+D2386+D2389+D2392+D2399+D2402+D2404+D2406+D2409+D2412+D2415+D2419+D2422+D2426+D2428+D2430+D2433+D2435+D2437+D2439+D2443+D2445+D2448+D2451+D2454+D2457+D2459+D2462+D2464+D2472+D2474+D2476+D2479+D2481+D2483+D2485+D2487+D2489+D2491+D2494+D2496+D2499+D2501</f>
        <v>993681.35</v>
      </c>
      <c r="E1670" s="181"/>
      <c r="F1670" s="135"/>
      <c r="G1670" s="146"/>
      <c r="H1670" s="136"/>
      <c r="I1670" s="181">
        <f>I1671+I1674+I1677+I1680+I1684+I1688+I1691+I1694+I1697+I1701+I1705+I1708+I1710+I1712+I1716+I1719+I1722+I1725+I1727+I1730+I1732+I1735+I1745+I1752+I1755+I1758+I1760+I1767+I1770+I1772+I1775+I1778+I1780+I1783+I1786+I1789+I1791+I1794+I1796+I1799+I1806+I1813+I1815+I1818+I1820+I1823+I1833+I1835+I1842+I1844+I1846+I1848+I1851+I1854+I1856+I1863+I1866+I1870+I1873+I1878+I1881+I1883+I1885+I1890+I1893+I1895+I1899+I1902+I1905+I1909+I1925+I1930+I1932+I1934+I1936+I1939+I1942+I1944+I1947+I1949+I1953+I1956+I1959+I1963+I1966+I1968+I1975+I1982+I1984+I1986+I1989+I1992+I1995+I1998+I2005+I2008+I2011+I2015+I2018+I2020+I2025+I2027+I2030+I2034+I2037+I2040+I2042+I2045+I2048+I2051+I2054+I2057+I2059+I2061+I2063+I2065+I2067+I2069+I2072+I2074+I2077+I2079+I2081+I2083+I2085+I2092+I2099+I2112+I2114+I2124+I2126+I2128+I2131+I2133+I2135+I2137+I2139+I2141+I2146+I2148+I2150+I2152+I2154+I2156+I2160+I2162+I2164+I2174+I2184+I2193+I2195+I2197+I2199+I2202+I2204+I2206+I2208+I2210+I2212+I2217+I2219+I2221+I2228+I2230+I2232+I2234+I2236+I2238+I2251+I2253+I2269+I2277+I2279+I2281+I2283+I2285+I2287+I2289+I2291+I2293+I2295+I2297+I2299+I2301+I2303+I2306+I2309+I2312+I2315+I2317+I2319+I2321+I2323+I2325+I2329+I2333+I2335+I2339+I2341+I2346+I2350+I2355+I2358+I2363+I2365+I2367+I2370+I2372+I2376+I2378+I2381+I2383+I2386+I2389+I2392+I2399+I2402+I2404+I2406+I2409+I2412+I2415+I2419+I2422+I2426+I2428+I2430+I2433+I2435+I2437+I2439+I2443+I2445+I2448+I2451+I2454+I2457+I2459+I2462+I2464+I2472+I2474+I2476+I2479+I2481+I2483+I2485+I2487+I2489+I2491+I2494+I2496+I2499+I2501</f>
        <v>689240466.00999999</v>
      </c>
      <c r="J1670" s="181"/>
      <c r="K1670" s="181"/>
    </row>
    <row r="1671" spans="1:11" x14ac:dyDescent="0.35">
      <c r="A1671" s="270">
        <v>1</v>
      </c>
      <c r="B1671" s="270">
        <v>654</v>
      </c>
      <c r="C1671" s="278" t="s">
        <v>525</v>
      </c>
      <c r="D1671" s="273">
        <v>3916.7</v>
      </c>
      <c r="E1671" s="267" t="s">
        <v>70</v>
      </c>
      <c r="F1671" s="267">
        <v>5</v>
      </c>
      <c r="G1671" s="270" t="s">
        <v>84</v>
      </c>
      <c r="H1671" s="136" t="s">
        <v>72</v>
      </c>
      <c r="I1671" s="181">
        <f>I1672+I1673</f>
        <v>693725.61</v>
      </c>
      <c r="J1671" s="181">
        <f>J1672+J1673</f>
        <v>177.12</v>
      </c>
      <c r="K1671" s="181">
        <f>K1672+K1673</f>
        <v>259</v>
      </c>
    </row>
    <row r="1672" spans="1:11" ht="46.5" x14ac:dyDescent="0.35">
      <c r="A1672" s="271"/>
      <c r="B1672" s="271"/>
      <c r="C1672" s="279"/>
      <c r="D1672" s="274"/>
      <c r="E1672" s="268"/>
      <c r="F1672" s="268"/>
      <c r="G1672" s="271"/>
      <c r="H1672" s="136" t="s">
        <v>673</v>
      </c>
      <c r="I1672" s="181">
        <f>160584.7+D1671*12</f>
        <v>207585.1</v>
      </c>
      <c r="J1672" s="181">
        <f>I1672/D1671</f>
        <v>53</v>
      </c>
      <c r="K1672" s="181">
        <f>63+12</f>
        <v>75</v>
      </c>
    </row>
    <row r="1673" spans="1:11" ht="46.5" x14ac:dyDescent="0.35">
      <c r="A1673" s="271"/>
      <c r="B1673" s="271"/>
      <c r="C1673" s="279"/>
      <c r="D1673" s="274"/>
      <c r="E1673" s="269"/>
      <c r="F1673" s="269"/>
      <c r="G1673" s="271"/>
      <c r="H1673" s="136" t="s">
        <v>674</v>
      </c>
      <c r="I1673" s="181">
        <f>376472.91+D1671*28</f>
        <v>486140.51</v>
      </c>
      <c r="J1673" s="181">
        <f>I1673/D1671</f>
        <v>124.12</v>
      </c>
      <c r="K1673" s="181">
        <f>156+28</f>
        <v>184</v>
      </c>
    </row>
    <row r="1674" spans="1:11" x14ac:dyDescent="0.35">
      <c r="A1674" s="277">
        <f>A1671+1</f>
        <v>2</v>
      </c>
      <c r="B1674" s="335">
        <v>734</v>
      </c>
      <c r="C1674" s="286" t="s">
        <v>255</v>
      </c>
      <c r="D1674" s="287">
        <v>3971.1</v>
      </c>
      <c r="E1674" s="276" t="s">
        <v>70</v>
      </c>
      <c r="F1674" s="276">
        <v>5</v>
      </c>
      <c r="G1674" s="277" t="s">
        <v>71</v>
      </c>
      <c r="H1674" s="136" t="s">
        <v>72</v>
      </c>
      <c r="I1674" s="181">
        <f>I1675+I1676</f>
        <v>7067571.1699999999</v>
      </c>
      <c r="J1674" s="181">
        <f>J1675+J1676</f>
        <v>1779.75</v>
      </c>
      <c r="K1674" s="181">
        <f>K1675+K1676</f>
        <v>3242</v>
      </c>
    </row>
    <row r="1675" spans="1:11" x14ac:dyDescent="0.35">
      <c r="A1675" s="277"/>
      <c r="B1675" s="345"/>
      <c r="C1675" s="286"/>
      <c r="D1675" s="287"/>
      <c r="E1675" s="276"/>
      <c r="F1675" s="276"/>
      <c r="G1675" s="277"/>
      <c r="H1675" s="136" t="s">
        <v>73</v>
      </c>
      <c r="I1675" s="181">
        <f>9797021.3*0.7</f>
        <v>6857914.9100000001</v>
      </c>
      <c r="J1675" s="181">
        <f>I1675/D1674-0.01</f>
        <v>1726.95</v>
      </c>
      <c r="K1675" s="181">
        <v>3174</v>
      </c>
    </row>
    <row r="1676" spans="1:11" x14ac:dyDescent="0.35">
      <c r="A1676" s="277"/>
      <c r="B1676" s="336"/>
      <c r="C1676" s="286"/>
      <c r="D1676" s="287"/>
      <c r="E1676" s="276"/>
      <c r="F1676" s="276"/>
      <c r="G1676" s="277"/>
      <c r="H1676" s="136" t="s">
        <v>75</v>
      </c>
      <c r="I1676" s="181">
        <f>9797021.3*0.0214</f>
        <v>209656.26</v>
      </c>
      <c r="J1676" s="181">
        <f>I1676/D1674</f>
        <v>52.8</v>
      </c>
      <c r="K1676" s="181">
        <v>68</v>
      </c>
    </row>
    <row r="1677" spans="1:11" ht="15.5" customHeight="1" x14ac:dyDescent="0.35">
      <c r="A1677" s="277">
        <f>A1674+1</f>
        <v>3</v>
      </c>
      <c r="B1677" s="277">
        <v>757</v>
      </c>
      <c r="C1677" s="286" t="s">
        <v>256</v>
      </c>
      <c r="D1677" s="287">
        <v>1020.67</v>
      </c>
      <c r="E1677" s="287" t="s">
        <v>74</v>
      </c>
      <c r="F1677" s="304">
        <v>5</v>
      </c>
      <c r="G1677" s="277" t="s">
        <v>84</v>
      </c>
      <c r="H1677" s="182" t="s">
        <v>72</v>
      </c>
      <c r="I1677" s="181">
        <f>I1678+I1679</f>
        <v>264353.53000000003</v>
      </c>
      <c r="J1677" s="181">
        <f>J1678+J1679</f>
        <v>259</v>
      </c>
      <c r="K1677" s="181">
        <f>K1678+K1679</f>
        <v>259</v>
      </c>
    </row>
    <row r="1678" spans="1:11" ht="46.5" x14ac:dyDescent="0.35">
      <c r="A1678" s="277"/>
      <c r="B1678" s="277"/>
      <c r="C1678" s="286"/>
      <c r="D1678" s="287"/>
      <c r="E1678" s="287"/>
      <c r="F1678" s="304"/>
      <c r="G1678" s="277"/>
      <c r="H1678" s="182" t="s">
        <v>673</v>
      </c>
      <c r="I1678" s="181">
        <f>D1677*K1678</f>
        <v>76550.25</v>
      </c>
      <c r="J1678" s="181">
        <f>I1678/D1677</f>
        <v>75</v>
      </c>
      <c r="K1678" s="181">
        <f>63+12</f>
        <v>75</v>
      </c>
    </row>
    <row r="1679" spans="1:11" ht="46.5" x14ac:dyDescent="0.35">
      <c r="A1679" s="277">
        <v>75</v>
      </c>
      <c r="B1679" s="277"/>
      <c r="C1679" s="286"/>
      <c r="D1679" s="287"/>
      <c r="E1679" s="287"/>
      <c r="F1679" s="304"/>
      <c r="G1679" s="277"/>
      <c r="H1679" s="182" t="s">
        <v>674</v>
      </c>
      <c r="I1679" s="181">
        <f>D1677*K1679</f>
        <v>187803.28</v>
      </c>
      <c r="J1679" s="181">
        <f>I1679/D1677</f>
        <v>184</v>
      </c>
      <c r="K1679" s="181">
        <f>156+28</f>
        <v>184</v>
      </c>
    </row>
    <row r="1680" spans="1:11" x14ac:dyDescent="0.35">
      <c r="A1680" s="270">
        <f>A1677+1</f>
        <v>4</v>
      </c>
      <c r="B1680" s="270">
        <v>736</v>
      </c>
      <c r="C1680" s="278" t="s">
        <v>526</v>
      </c>
      <c r="D1680" s="273">
        <v>930.1</v>
      </c>
      <c r="E1680" s="267" t="s">
        <v>74</v>
      </c>
      <c r="F1680" s="267">
        <v>5</v>
      </c>
      <c r="G1680" s="165"/>
      <c r="H1680" s="136" t="s">
        <v>72</v>
      </c>
      <c r="I1680" s="181">
        <f>I1681+I1682+I1683</f>
        <v>390879.81</v>
      </c>
      <c r="J1680" s="181">
        <f>J1681+J1682+J1683</f>
        <v>420.26</v>
      </c>
      <c r="K1680" s="181">
        <f>K1681+K1682+K1683</f>
        <v>421</v>
      </c>
    </row>
    <row r="1681" spans="1:11" ht="46.5" x14ac:dyDescent="0.35">
      <c r="A1681" s="271"/>
      <c r="B1681" s="271"/>
      <c r="C1681" s="279"/>
      <c r="D1681" s="274"/>
      <c r="E1681" s="268"/>
      <c r="F1681" s="268"/>
      <c r="G1681" s="141" t="s">
        <v>71</v>
      </c>
      <c r="H1681" s="136" t="s">
        <v>673</v>
      </c>
      <c r="I1681" s="181">
        <f>139752.81+D1680*18</f>
        <v>156494.60999999999</v>
      </c>
      <c r="J1681" s="181">
        <f>I1681/D1680</f>
        <v>168.26</v>
      </c>
      <c r="K1681" s="181">
        <f>151+18</f>
        <v>169</v>
      </c>
    </row>
    <row r="1682" spans="1:11" ht="46.5" x14ac:dyDescent="0.35">
      <c r="A1682" s="271"/>
      <c r="B1682" s="271"/>
      <c r="C1682" s="279"/>
      <c r="D1682" s="274"/>
      <c r="E1682" s="268"/>
      <c r="F1682" s="268"/>
      <c r="G1682" s="270" t="s">
        <v>84</v>
      </c>
      <c r="H1682" s="136" t="s">
        <v>673</v>
      </c>
      <c r="I1682" s="181">
        <f>38134.1+D1680*27</f>
        <v>63246.8</v>
      </c>
      <c r="J1682" s="181">
        <f>I1682/D1680</f>
        <v>68</v>
      </c>
      <c r="K1682" s="181">
        <f>41+27</f>
        <v>68</v>
      </c>
    </row>
    <row r="1683" spans="1:11" ht="46.5" x14ac:dyDescent="0.35">
      <c r="A1683" s="271"/>
      <c r="B1683" s="271"/>
      <c r="C1683" s="279"/>
      <c r="D1683" s="274"/>
      <c r="E1683" s="268"/>
      <c r="F1683" s="268"/>
      <c r="G1683" s="272"/>
      <c r="H1683" s="136" t="s">
        <v>674</v>
      </c>
      <c r="I1683" s="181">
        <f>145095.6+D1680*28</f>
        <v>171138.4</v>
      </c>
      <c r="J1683" s="181">
        <f>I1683/D1680</f>
        <v>184</v>
      </c>
      <c r="K1683" s="181">
        <f>156+28</f>
        <v>184</v>
      </c>
    </row>
    <row r="1684" spans="1:11" x14ac:dyDescent="0.35">
      <c r="A1684" s="270">
        <f>A1680+1</f>
        <v>5</v>
      </c>
      <c r="B1684" s="270">
        <v>822</v>
      </c>
      <c r="C1684" s="278" t="s">
        <v>708</v>
      </c>
      <c r="D1684" s="273">
        <v>982.57</v>
      </c>
      <c r="E1684" s="273" t="s">
        <v>74</v>
      </c>
      <c r="F1684" s="282">
        <v>5</v>
      </c>
      <c r="G1684" s="165"/>
      <c r="H1684" s="136" t="s">
        <v>72</v>
      </c>
      <c r="I1684" s="181">
        <f>I1685+I1686+I1687</f>
        <v>399420.34</v>
      </c>
      <c r="J1684" s="181">
        <f>J1685+J1686+J1687</f>
        <v>406.51</v>
      </c>
      <c r="K1684" s="181">
        <f>K1685+K1686+K1687</f>
        <v>421</v>
      </c>
    </row>
    <row r="1685" spans="1:11" ht="46.5" x14ac:dyDescent="0.35">
      <c r="A1685" s="271"/>
      <c r="B1685" s="271"/>
      <c r="C1685" s="279"/>
      <c r="D1685" s="274"/>
      <c r="E1685" s="274"/>
      <c r="F1685" s="283"/>
      <c r="G1685" s="141" t="s">
        <v>71</v>
      </c>
      <c r="H1685" s="136" t="s">
        <v>673</v>
      </c>
      <c r="I1685" s="181">
        <f>135643.3+16169.4</f>
        <v>151812.70000000001</v>
      </c>
      <c r="J1685" s="181">
        <f>I1685/D1684</f>
        <v>154.51</v>
      </c>
      <c r="K1685" s="181">
        <f>151+18</f>
        <v>169</v>
      </c>
    </row>
    <row r="1686" spans="1:11" ht="46.5" x14ac:dyDescent="0.35">
      <c r="A1686" s="271"/>
      <c r="B1686" s="271"/>
      <c r="C1686" s="279"/>
      <c r="D1686" s="274"/>
      <c r="E1686" s="274"/>
      <c r="F1686" s="283"/>
      <c r="G1686" s="270" t="s">
        <v>84</v>
      </c>
      <c r="H1686" s="136" t="s">
        <v>673</v>
      </c>
      <c r="I1686" s="181">
        <f>40285.37+D1684*27</f>
        <v>66814.759999999995</v>
      </c>
      <c r="J1686" s="181">
        <f>I1686/D1684</f>
        <v>68</v>
      </c>
      <c r="K1686" s="181">
        <f>41+27</f>
        <v>68</v>
      </c>
    </row>
    <row r="1687" spans="1:11" ht="46.5" x14ac:dyDescent="0.35">
      <c r="A1687" s="271"/>
      <c r="B1687" s="271"/>
      <c r="C1687" s="279"/>
      <c r="D1687" s="274"/>
      <c r="E1687" s="274"/>
      <c r="F1687" s="283"/>
      <c r="G1687" s="272"/>
      <c r="H1687" s="136" t="s">
        <v>674</v>
      </c>
      <c r="I1687" s="181">
        <f>153280.92+D1684*28</f>
        <v>180792.88</v>
      </c>
      <c r="J1687" s="181">
        <f>I1687/D1684</f>
        <v>184</v>
      </c>
      <c r="K1687" s="181">
        <f>156+28</f>
        <v>184</v>
      </c>
    </row>
    <row r="1688" spans="1:11" x14ac:dyDescent="0.35">
      <c r="A1688" s="277">
        <f>A1684+1</f>
        <v>6</v>
      </c>
      <c r="B1688" s="277">
        <v>818</v>
      </c>
      <c r="C1688" s="286" t="s">
        <v>258</v>
      </c>
      <c r="D1688" s="287">
        <v>746.74</v>
      </c>
      <c r="E1688" s="276" t="s">
        <v>74</v>
      </c>
      <c r="F1688" s="276">
        <v>4</v>
      </c>
      <c r="G1688" s="277" t="s">
        <v>71</v>
      </c>
      <c r="H1688" s="136" t="s">
        <v>72</v>
      </c>
      <c r="I1688" s="181">
        <f>I1689+I1690</f>
        <v>2381933.11</v>
      </c>
      <c r="J1688" s="181">
        <f>J1689+J1690</f>
        <v>3189.78</v>
      </c>
      <c r="K1688" s="181">
        <f>K1689+K1690</f>
        <v>4728</v>
      </c>
    </row>
    <row r="1689" spans="1:11" x14ac:dyDescent="0.35">
      <c r="A1689" s="277">
        <v>75</v>
      </c>
      <c r="B1689" s="277"/>
      <c r="C1689" s="286"/>
      <c r="D1689" s="287"/>
      <c r="E1689" s="276"/>
      <c r="F1689" s="276"/>
      <c r="G1689" s="277"/>
      <c r="H1689" s="136" t="s">
        <v>73</v>
      </c>
      <c r="I1689" s="181">
        <f>3301820.23*0.7</f>
        <v>2311274.16</v>
      </c>
      <c r="J1689" s="181">
        <f>I1689/D1688+0.01</f>
        <v>3095.16</v>
      </c>
      <c r="K1689" s="181">
        <v>4629</v>
      </c>
    </row>
    <row r="1690" spans="1:11" x14ac:dyDescent="0.35">
      <c r="A1690" s="277"/>
      <c r="B1690" s="277"/>
      <c r="C1690" s="286"/>
      <c r="D1690" s="287"/>
      <c r="E1690" s="276"/>
      <c r="F1690" s="276"/>
      <c r="G1690" s="277"/>
      <c r="H1690" s="136" t="s">
        <v>75</v>
      </c>
      <c r="I1690" s="181">
        <v>70658.95</v>
      </c>
      <c r="J1690" s="181">
        <f>I1690/D1688</f>
        <v>94.62</v>
      </c>
      <c r="K1690" s="181">
        <v>99</v>
      </c>
    </row>
    <row r="1691" spans="1:11" x14ac:dyDescent="0.35">
      <c r="A1691" s="277">
        <f>A1688+1</f>
        <v>7</v>
      </c>
      <c r="B1691" s="277">
        <v>722</v>
      </c>
      <c r="C1691" s="286" t="s">
        <v>259</v>
      </c>
      <c r="D1691" s="287">
        <v>722.6</v>
      </c>
      <c r="E1691" s="276" t="s">
        <v>74</v>
      </c>
      <c r="F1691" s="276">
        <v>4</v>
      </c>
      <c r="G1691" s="277" t="s">
        <v>71</v>
      </c>
      <c r="H1691" s="136" t="s">
        <v>72</v>
      </c>
      <c r="I1691" s="181">
        <f>I1692+I1693</f>
        <v>2288180.9</v>
      </c>
      <c r="J1691" s="181">
        <f>J1692+J1693</f>
        <v>3166.59</v>
      </c>
      <c r="K1691" s="181">
        <f>K1692+K1693</f>
        <v>4728</v>
      </c>
    </row>
    <row r="1692" spans="1:11" x14ac:dyDescent="0.35">
      <c r="A1692" s="277">
        <v>76</v>
      </c>
      <c r="B1692" s="277"/>
      <c r="C1692" s="286"/>
      <c r="D1692" s="287"/>
      <c r="E1692" s="276"/>
      <c r="F1692" s="276"/>
      <c r="G1692" s="277"/>
      <c r="H1692" s="136" t="s">
        <v>73</v>
      </c>
      <c r="I1692" s="181">
        <f>3171861.52*0.7</f>
        <v>2220303.06</v>
      </c>
      <c r="J1692" s="181">
        <f>I1692/D1691-0.01</f>
        <v>3072.65</v>
      </c>
      <c r="K1692" s="181">
        <v>4629</v>
      </c>
    </row>
    <row r="1693" spans="1:11" x14ac:dyDescent="0.35">
      <c r="A1693" s="277"/>
      <c r="B1693" s="277"/>
      <c r="C1693" s="286"/>
      <c r="D1693" s="287"/>
      <c r="E1693" s="276"/>
      <c r="F1693" s="276"/>
      <c r="G1693" s="277"/>
      <c r="H1693" s="136" t="s">
        <v>75</v>
      </c>
      <c r="I1693" s="181">
        <f>3171861.52*0.0214</f>
        <v>67877.84</v>
      </c>
      <c r="J1693" s="181">
        <f>I1693/D1691</f>
        <v>93.94</v>
      </c>
      <c r="K1693" s="181">
        <v>99</v>
      </c>
    </row>
    <row r="1694" spans="1:11" x14ac:dyDescent="0.35">
      <c r="A1694" s="270">
        <f>A1691+1</f>
        <v>8</v>
      </c>
      <c r="B1694" s="270">
        <v>887</v>
      </c>
      <c r="C1694" s="278" t="s">
        <v>709</v>
      </c>
      <c r="D1694" s="273">
        <v>2590.4</v>
      </c>
      <c r="E1694" s="273" t="s">
        <v>79</v>
      </c>
      <c r="F1694" s="282">
        <v>5</v>
      </c>
      <c r="G1694" s="165"/>
      <c r="H1694" s="136" t="s">
        <v>72</v>
      </c>
      <c r="I1694" s="181">
        <f>I1695+I1696</f>
        <v>727902.4</v>
      </c>
      <c r="J1694" s="181">
        <f>J1695+J1696</f>
        <v>281</v>
      </c>
      <c r="K1694" s="181">
        <f>K1695+K1696</f>
        <v>281</v>
      </c>
    </row>
    <row r="1695" spans="1:11" ht="46.5" x14ac:dyDescent="0.35">
      <c r="A1695" s="271"/>
      <c r="B1695" s="271"/>
      <c r="C1695" s="279"/>
      <c r="D1695" s="274"/>
      <c r="E1695" s="274"/>
      <c r="F1695" s="283"/>
      <c r="G1695" s="270" t="s">
        <v>84</v>
      </c>
      <c r="H1695" s="136" t="s">
        <v>673</v>
      </c>
      <c r="I1695" s="181">
        <f>D1694*K1695</f>
        <v>251268.8</v>
      </c>
      <c r="J1695" s="181">
        <f>I1695/D1694</f>
        <v>97</v>
      </c>
      <c r="K1695" s="181">
        <f>85+12</f>
        <v>97</v>
      </c>
    </row>
    <row r="1696" spans="1:11" ht="46.5" x14ac:dyDescent="0.35">
      <c r="A1696" s="271"/>
      <c r="B1696" s="271"/>
      <c r="C1696" s="279"/>
      <c r="D1696" s="274"/>
      <c r="E1696" s="274"/>
      <c r="F1696" s="283"/>
      <c r="G1696" s="272"/>
      <c r="H1696" s="136" t="s">
        <v>674</v>
      </c>
      <c r="I1696" s="181">
        <f>D1694*K1696</f>
        <v>476633.59999999998</v>
      </c>
      <c r="J1696" s="181">
        <f>I1696/D1694</f>
        <v>184</v>
      </c>
      <c r="K1696" s="181">
        <f>156+28</f>
        <v>184</v>
      </c>
    </row>
    <row r="1697" spans="1:11" x14ac:dyDescent="0.35">
      <c r="A1697" s="270">
        <f>A1694+1</f>
        <v>9</v>
      </c>
      <c r="B1697" s="270">
        <v>875</v>
      </c>
      <c r="C1697" s="278" t="s">
        <v>710</v>
      </c>
      <c r="D1697" s="273">
        <v>2739.2</v>
      </c>
      <c r="E1697" s="273" t="s">
        <v>70</v>
      </c>
      <c r="F1697" s="282">
        <v>5</v>
      </c>
      <c r="G1697" s="165"/>
      <c r="H1697" s="136" t="s">
        <v>72</v>
      </c>
      <c r="I1697" s="181">
        <f>I1698+I1699+I1700</f>
        <v>1172377.6000000001</v>
      </c>
      <c r="J1697" s="181">
        <f>J1698+J1699+J1700</f>
        <v>428</v>
      </c>
      <c r="K1697" s="181">
        <f>K1698+K1699+K1700</f>
        <v>428</v>
      </c>
    </row>
    <row r="1698" spans="1:11" ht="46.5" x14ac:dyDescent="0.35">
      <c r="A1698" s="271"/>
      <c r="B1698" s="271"/>
      <c r="C1698" s="279"/>
      <c r="D1698" s="274"/>
      <c r="E1698" s="274"/>
      <c r="F1698" s="283"/>
      <c r="G1698" s="141" t="s">
        <v>71</v>
      </c>
      <c r="H1698" s="136" t="s">
        <v>673</v>
      </c>
      <c r="I1698" s="181">
        <f>D1697*K1698</f>
        <v>462924.79999999999</v>
      </c>
      <c r="J1698" s="181">
        <f>I1698/D1697</f>
        <v>169</v>
      </c>
      <c r="K1698" s="181">
        <f>151+18</f>
        <v>169</v>
      </c>
    </row>
    <row r="1699" spans="1:11" ht="46.5" x14ac:dyDescent="0.35">
      <c r="A1699" s="271"/>
      <c r="B1699" s="271"/>
      <c r="C1699" s="279"/>
      <c r="D1699" s="274"/>
      <c r="E1699" s="274"/>
      <c r="F1699" s="283"/>
      <c r="G1699" s="270" t="s">
        <v>84</v>
      </c>
      <c r="H1699" s="136" t="s">
        <v>673</v>
      </c>
      <c r="I1699" s="181">
        <f>D1697*K1699</f>
        <v>205440</v>
      </c>
      <c r="J1699" s="181">
        <f>I1699/D1697</f>
        <v>75</v>
      </c>
      <c r="K1699" s="181">
        <f>63+12</f>
        <v>75</v>
      </c>
    </row>
    <row r="1700" spans="1:11" ht="46.5" x14ac:dyDescent="0.35">
      <c r="A1700" s="271"/>
      <c r="B1700" s="271"/>
      <c r="C1700" s="279"/>
      <c r="D1700" s="274"/>
      <c r="E1700" s="274"/>
      <c r="F1700" s="283"/>
      <c r="G1700" s="272"/>
      <c r="H1700" s="136" t="s">
        <v>674</v>
      </c>
      <c r="I1700" s="181">
        <f>D1697*K1700</f>
        <v>504012.79999999999</v>
      </c>
      <c r="J1700" s="181">
        <f>I1700/D1697</f>
        <v>184</v>
      </c>
      <c r="K1700" s="181">
        <f>156+28</f>
        <v>184</v>
      </c>
    </row>
    <row r="1701" spans="1:11" x14ac:dyDescent="0.35">
      <c r="A1701" s="270">
        <f>A1697+1</f>
        <v>10</v>
      </c>
      <c r="B1701" s="270">
        <v>876</v>
      </c>
      <c r="C1701" s="278" t="s">
        <v>711</v>
      </c>
      <c r="D1701" s="273">
        <v>2745.8</v>
      </c>
      <c r="E1701" s="273" t="s">
        <v>70</v>
      </c>
      <c r="F1701" s="282">
        <v>5</v>
      </c>
      <c r="G1701" s="165"/>
      <c r="H1701" s="136" t="s">
        <v>72</v>
      </c>
      <c r="I1701" s="181">
        <f>I1702+I1703+I1704</f>
        <v>1175202.3999999999</v>
      </c>
      <c r="J1701" s="181">
        <f>J1702+J1703+J1704</f>
        <v>428</v>
      </c>
      <c r="K1701" s="181">
        <f>K1702+K1703+K1704</f>
        <v>428</v>
      </c>
    </row>
    <row r="1702" spans="1:11" ht="46.5" x14ac:dyDescent="0.35">
      <c r="A1702" s="271"/>
      <c r="B1702" s="271"/>
      <c r="C1702" s="279"/>
      <c r="D1702" s="274"/>
      <c r="E1702" s="274"/>
      <c r="F1702" s="283"/>
      <c r="G1702" s="141" t="s">
        <v>71</v>
      </c>
      <c r="H1702" s="136" t="s">
        <v>673</v>
      </c>
      <c r="I1702" s="181">
        <f>D1701*K1702</f>
        <v>464040.2</v>
      </c>
      <c r="J1702" s="181">
        <f>I1702/D1701</f>
        <v>169</v>
      </c>
      <c r="K1702" s="181">
        <f>151+18</f>
        <v>169</v>
      </c>
    </row>
    <row r="1703" spans="1:11" ht="61" customHeight="1" x14ac:dyDescent="0.35">
      <c r="A1703" s="271"/>
      <c r="B1703" s="271"/>
      <c r="C1703" s="279"/>
      <c r="D1703" s="274"/>
      <c r="E1703" s="274"/>
      <c r="F1703" s="283"/>
      <c r="G1703" s="270" t="s">
        <v>84</v>
      </c>
      <c r="H1703" s="136" t="s">
        <v>673</v>
      </c>
      <c r="I1703" s="181">
        <f>D1701*K1703</f>
        <v>205935</v>
      </c>
      <c r="J1703" s="181">
        <f>I1703/D1701</f>
        <v>75</v>
      </c>
      <c r="K1703" s="181">
        <f>63+12</f>
        <v>75</v>
      </c>
    </row>
    <row r="1704" spans="1:11" ht="63" customHeight="1" x14ac:dyDescent="0.35">
      <c r="A1704" s="271"/>
      <c r="B1704" s="271"/>
      <c r="C1704" s="279"/>
      <c r="D1704" s="274"/>
      <c r="E1704" s="274"/>
      <c r="F1704" s="283"/>
      <c r="G1704" s="272"/>
      <c r="H1704" s="136" t="s">
        <v>674</v>
      </c>
      <c r="I1704" s="181">
        <f>D1701*K1704</f>
        <v>505227.2</v>
      </c>
      <c r="J1704" s="181">
        <f>I1704/D1701</f>
        <v>184</v>
      </c>
      <c r="K1704" s="181">
        <f>156+28</f>
        <v>184</v>
      </c>
    </row>
    <row r="1705" spans="1:11" x14ac:dyDescent="0.35">
      <c r="A1705" s="277">
        <f>A1701+1</f>
        <v>11</v>
      </c>
      <c r="B1705" s="277">
        <v>339</v>
      </c>
      <c r="C1705" s="286" t="s">
        <v>266</v>
      </c>
      <c r="D1705" s="287">
        <v>7469.5</v>
      </c>
      <c r="E1705" s="276" t="s">
        <v>74</v>
      </c>
      <c r="F1705" s="276">
        <v>5</v>
      </c>
      <c r="G1705" s="277" t="s">
        <v>71</v>
      </c>
      <c r="H1705" s="136" t="s">
        <v>72</v>
      </c>
      <c r="I1705" s="181">
        <f>I1706+I1707</f>
        <v>3317800.04</v>
      </c>
      <c r="J1705" s="181">
        <f>J1706+J1707</f>
        <v>444.18</v>
      </c>
      <c r="K1705" s="181">
        <f>K1706+K1707</f>
        <v>3242</v>
      </c>
    </row>
    <row r="1706" spans="1:11" x14ac:dyDescent="0.35">
      <c r="A1706" s="277">
        <v>77</v>
      </c>
      <c r="B1706" s="277"/>
      <c r="C1706" s="286"/>
      <c r="D1706" s="287"/>
      <c r="E1706" s="276"/>
      <c r="F1706" s="276"/>
      <c r="G1706" s="277"/>
      <c r="H1706" s="136" t="s">
        <v>73</v>
      </c>
      <c r="I1706" s="181">
        <f>5466384.21-2265564.79</f>
        <v>3200819.42</v>
      </c>
      <c r="J1706" s="181">
        <f>I1706/D1705</f>
        <v>428.52</v>
      </c>
      <c r="K1706" s="181">
        <v>3174</v>
      </c>
    </row>
    <row r="1707" spans="1:11" x14ac:dyDescent="0.35">
      <c r="A1707" s="277">
        <v>78</v>
      </c>
      <c r="B1707" s="277"/>
      <c r="C1707" s="286"/>
      <c r="D1707" s="287"/>
      <c r="E1707" s="276"/>
      <c r="F1707" s="276"/>
      <c r="G1707" s="277"/>
      <c r="H1707" s="136" t="s">
        <v>75</v>
      </c>
      <c r="I1707" s="181">
        <v>116980.62</v>
      </c>
      <c r="J1707" s="181">
        <f>I1707/D1705</f>
        <v>15.66</v>
      </c>
      <c r="K1707" s="181">
        <v>68</v>
      </c>
    </row>
    <row r="1708" spans="1:11" x14ac:dyDescent="0.35">
      <c r="A1708" s="270">
        <f>A1705+1</f>
        <v>12</v>
      </c>
      <c r="B1708" s="270">
        <v>122</v>
      </c>
      <c r="C1708" s="278" t="s">
        <v>90</v>
      </c>
      <c r="D1708" s="273">
        <v>821.3</v>
      </c>
      <c r="E1708" s="267" t="s">
        <v>79</v>
      </c>
      <c r="F1708" s="267">
        <v>3</v>
      </c>
      <c r="G1708" s="270" t="s">
        <v>84</v>
      </c>
      <c r="H1708" s="136" t="s">
        <v>72</v>
      </c>
      <c r="I1708" s="181">
        <f>I1709</f>
        <v>120088.13</v>
      </c>
      <c r="J1708" s="181">
        <f>J1709</f>
        <v>146.22</v>
      </c>
      <c r="K1708" s="181">
        <f>K1709</f>
        <v>223</v>
      </c>
    </row>
    <row r="1709" spans="1:11" ht="55" customHeight="1" x14ac:dyDescent="0.35">
      <c r="A1709" s="271"/>
      <c r="B1709" s="271"/>
      <c r="C1709" s="279"/>
      <c r="D1709" s="274"/>
      <c r="E1709" s="268"/>
      <c r="F1709" s="268"/>
      <c r="G1709" s="271"/>
      <c r="H1709" s="136" t="s">
        <v>673</v>
      </c>
      <c r="I1709" s="181">
        <f>97913.03+D1708*27</f>
        <v>120088.13</v>
      </c>
      <c r="J1709" s="181">
        <f>I1709/D1708</f>
        <v>146.22</v>
      </c>
      <c r="K1709" s="181">
        <f>196+27</f>
        <v>223</v>
      </c>
    </row>
    <row r="1710" spans="1:11" x14ac:dyDescent="0.35">
      <c r="A1710" s="277">
        <f>A1708+1</f>
        <v>13</v>
      </c>
      <c r="B1710" s="277">
        <v>347</v>
      </c>
      <c r="C1710" s="286" t="s">
        <v>91</v>
      </c>
      <c r="D1710" s="287">
        <v>3127.4</v>
      </c>
      <c r="E1710" s="276" t="s">
        <v>74</v>
      </c>
      <c r="F1710" s="276">
        <v>5</v>
      </c>
      <c r="G1710" s="277" t="s">
        <v>71</v>
      </c>
      <c r="H1710" s="136" t="s">
        <v>72</v>
      </c>
      <c r="I1710" s="181">
        <f>I1711</f>
        <v>170126.82</v>
      </c>
      <c r="J1710" s="181">
        <f>J1711</f>
        <v>54.4</v>
      </c>
      <c r="K1710" s="181">
        <f>K1711</f>
        <v>169</v>
      </c>
    </row>
    <row r="1711" spans="1:11" ht="59.5" customHeight="1" x14ac:dyDescent="0.35">
      <c r="A1711" s="277"/>
      <c r="B1711" s="277"/>
      <c r="C1711" s="286"/>
      <c r="D1711" s="287"/>
      <c r="E1711" s="276"/>
      <c r="F1711" s="276"/>
      <c r="G1711" s="277"/>
      <c r="H1711" s="136" t="s">
        <v>673</v>
      </c>
      <c r="I1711" s="181">
        <f>113833.62+D1710*18</f>
        <v>170126.82</v>
      </c>
      <c r="J1711" s="181">
        <f>I1711/D1710</f>
        <v>54.4</v>
      </c>
      <c r="K1711" s="181">
        <f>151+18</f>
        <v>169</v>
      </c>
    </row>
    <row r="1712" spans="1:11" x14ac:dyDescent="0.35">
      <c r="A1712" s="270">
        <f>A1710+1</f>
        <v>14</v>
      </c>
      <c r="B1712" s="270">
        <v>367</v>
      </c>
      <c r="C1712" s="278" t="s">
        <v>92</v>
      </c>
      <c r="D1712" s="273">
        <v>3136</v>
      </c>
      <c r="E1712" s="267" t="s">
        <v>74</v>
      </c>
      <c r="F1712" s="267">
        <v>5</v>
      </c>
      <c r="G1712" s="167"/>
      <c r="H1712" s="136" t="s">
        <v>72</v>
      </c>
      <c r="I1712" s="181">
        <f>I1713+I1714+I1715</f>
        <v>1090070.31</v>
      </c>
      <c r="J1712" s="181">
        <f>J1713+J1714+J1715</f>
        <v>347.6</v>
      </c>
      <c r="K1712" s="181">
        <f>K1713+K1714+K1715</f>
        <v>428</v>
      </c>
    </row>
    <row r="1713" spans="1:11" ht="46.5" x14ac:dyDescent="0.35">
      <c r="A1713" s="271"/>
      <c r="B1713" s="271"/>
      <c r="C1713" s="279"/>
      <c r="D1713" s="274"/>
      <c r="E1713" s="268"/>
      <c r="F1713" s="268"/>
      <c r="G1713" s="270" t="s">
        <v>84</v>
      </c>
      <c r="H1713" s="136" t="s">
        <v>673</v>
      </c>
      <c r="I1713" s="181">
        <f>D1712*K1713</f>
        <v>235200</v>
      </c>
      <c r="J1713" s="181">
        <f>I1713/D1712</f>
        <v>75</v>
      </c>
      <c r="K1713" s="181">
        <f>63+12</f>
        <v>75</v>
      </c>
    </row>
    <row r="1714" spans="1:11" ht="46.5" x14ac:dyDescent="0.35">
      <c r="A1714" s="271"/>
      <c r="B1714" s="271"/>
      <c r="C1714" s="279"/>
      <c r="D1714" s="274"/>
      <c r="E1714" s="268"/>
      <c r="F1714" s="268"/>
      <c r="G1714" s="272"/>
      <c r="H1714" s="182" t="s">
        <v>674</v>
      </c>
      <c r="I1714" s="181">
        <f>D1712*K1714</f>
        <v>577024</v>
      </c>
      <c r="J1714" s="181">
        <f>I1714/D1712</f>
        <v>184</v>
      </c>
      <c r="K1714" s="181">
        <f>156+28</f>
        <v>184</v>
      </c>
    </row>
    <row r="1715" spans="1:11" ht="46.5" x14ac:dyDescent="0.35">
      <c r="A1715" s="271"/>
      <c r="B1715" s="271"/>
      <c r="C1715" s="279"/>
      <c r="D1715" s="274"/>
      <c r="E1715" s="268"/>
      <c r="F1715" s="268"/>
      <c r="G1715" s="141" t="s">
        <v>71</v>
      </c>
      <c r="H1715" s="136" t="s">
        <v>673</v>
      </c>
      <c r="I1715" s="181">
        <f>D1712*18+221398.31</f>
        <v>277846.31</v>
      </c>
      <c r="J1715" s="181">
        <f>I1715/D1712</f>
        <v>88.6</v>
      </c>
      <c r="K1715" s="181">
        <f>151+18</f>
        <v>169</v>
      </c>
    </row>
    <row r="1716" spans="1:11" x14ac:dyDescent="0.35">
      <c r="A1716" s="277">
        <f>A1712+1</f>
        <v>15</v>
      </c>
      <c r="B1716" s="277">
        <v>626</v>
      </c>
      <c r="C1716" s="286" t="s">
        <v>268</v>
      </c>
      <c r="D1716" s="287">
        <v>2793.5</v>
      </c>
      <c r="E1716" s="276" t="s">
        <v>70</v>
      </c>
      <c r="F1716" s="276">
        <v>5</v>
      </c>
      <c r="G1716" s="277" t="s">
        <v>71</v>
      </c>
      <c r="H1716" s="136" t="s">
        <v>72</v>
      </c>
      <c r="I1716" s="181">
        <f>I1717+I1718</f>
        <v>5557397.2800000003</v>
      </c>
      <c r="J1716" s="181">
        <f>J1717+J1718</f>
        <v>1989.4</v>
      </c>
      <c r="K1716" s="181">
        <f>K1717+K1718</f>
        <v>3242</v>
      </c>
    </row>
    <row r="1717" spans="1:11" x14ac:dyDescent="0.35">
      <c r="A1717" s="277">
        <v>75</v>
      </c>
      <c r="B1717" s="277"/>
      <c r="C1717" s="286"/>
      <c r="D1717" s="287"/>
      <c r="E1717" s="276"/>
      <c r="F1717" s="276"/>
      <c r="G1717" s="277"/>
      <c r="H1717" s="136" t="s">
        <v>73</v>
      </c>
      <c r="I1717" s="181">
        <f>7704864.09*0.7</f>
        <v>5393404.8600000003</v>
      </c>
      <c r="J1717" s="181">
        <f>I1717/D1716-0.01</f>
        <v>1930.69</v>
      </c>
      <c r="K1717" s="181">
        <v>3174</v>
      </c>
    </row>
    <row r="1718" spans="1:11" x14ac:dyDescent="0.35">
      <c r="A1718" s="277">
        <v>76</v>
      </c>
      <c r="B1718" s="277"/>
      <c r="C1718" s="286"/>
      <c r="D1718" s="287"/>
      <c r="E1718" s="276"/>
      <c r="F1718" s="276"/>
      <c r="G1718" s="277"/>
      <c r="H1718" s="136" t="s">
        <v>75</v>
      </c>
      <c r="I1718" s="181">
        <v>163992.42000000001</v>
      </c>
      <c r="J1718" s="181">
        <f>I1718/D1716</f>
        <v>58.71</v>
      </c>
      <c r="K1718" s="181">
        <v>68</v>
      </c>
    </row>
    <row r="1719" spans="1:11" x14ac:dyDescent="0.35">
      <c r="A1719" s="277">
        <f>A1716+1</f>
        <v>16</v>
      </c>
      <c r="B1719" s="277">
        <v>759</v>
      </c>
      <c r="C1719" s="286" t="s">
        <v>271</v>
      </c>
      <c r="D1719" s="287">
        <v>1217.5</v>
      </c>
      <c r="E1719" s="276" t="s">
        <v>74</v>
      </c>
      <c r="F1719" s="276">
        <v>4</v>
      </c>
      <c r="G1719" s="277" t="s">
        <v>71</v>
      </c>
      <c r="H1719" s="136" t="s">
        <v>72</v>
      </c>
      <c r="I1719" s="181">
        <f>I1720+I1721</f>
        <v>2479345.58</v>
      </c>
      <c r="J1719" s="181">
        <f>J1720+J1721</f>
        <v>2036.42</v>
      </c>
      <c r="K1719" s="181">
        <f>K1720+K1721</f>
        <v>4728</v>
      </c>
    </row>
    <row r="1720" spans="1:11" x14ac:dyDescent="0.35">
      <c r="A1720" s="277">
        <v>76</v>
      </c>
      <c r="B1720" s="277"/>
      <c r="C1720" s="286"/>
      <c r="D1720" s="287"/>
      <c r="E1720" s="276"/>
      <c r="F1720" s="276"/>
      <c r="G1720" s="277"/>
      <c r="H1720" s="136" t="s">
        <v>73</v>
      </c>
      <c r="I1720" s="181">
        <f>3436852.76*0.7</f>
        <v>2405796.9300000002</v>
      </c>
      <c r="J1720" s="181">
        <f>I1720/D1719</f>
        <v>1976.01</v>
      </c>
      <c r="K1720" s="181">
        <v>4629</v>
      </c>
    </row>
    <row r="1721" spans="1:11" x14ac:dyDescent="0.35">
      <c r="A1721" s="277"/>
      <c r="B1721" s="277"/>
      <c r="C1721" s="286"/>
      <c r="D1721" s="287"/>
      <c r="E1721" s="276"/>
      <c r="F1721" s="276"/>
      <c r="G1721" s="277"/>
      <c r="H1721" s="136" t="s">
        <v>75</v>
      </c>
      <c r="I1721" s="181">
        <f>3436852.76*0.0214</f>
        <v>73548.649999999994</v>
      </c>
      <c r="J1721" s="181">
        <f>I1721/D1719</f>
        <v>60.41</v>
      </c>
      <c r="K1721" s="181">
        <v>99</v>
      </c>
    </row>
    <row r="1722" spans="1:11" x14ac:dyDescent="0.35">
      <c r="A1722" s="277">
        <f>A1719+1</f>
        <v>17</v>
      </c>
      <c r="B1722" s="277">
        <v>845</v>
      </c>
      <c r="C1722" s="286" t="s">
        <v>272</v>
      </c>
      <c r="D1722" s="287">
        <v>2810.3</v>
      </c>
      <c r="E1722" s="276" t="s">
        <v>74</v>
      </c>
      <c r="F1722" s="276">
        <v>5</v>
      </c>
      <c r="G1722" s="277" t="s">
        <v>71</v>
      </c>
      <c r="H1722" s="136" t="s">
        <v>72</v>
      </c>
      <c r="I1722" s="181">
        <f>I1723+I1724</f>
        <v>6203078.5199999996</v>
      </c>
      <c r="J1722" s="181">
        <f>J1723+J1724</f>
        <v>2207.27</v>
      </c>
      <c r="K1722" s="181">
        <f>K1723+K1724</f>
        <v>3242</v>
      </c>
    </row>
    <row r="1723" spans="1:11" x14ac:dyDescent="0.35">
      <c r="A1723" s="277"/>
      <c r="B1723" s="277"/>
      <c r="C1723" s="286"/>
      <c r="D1723" s="287"/>
      <c r="E1723" s="276"/>
      <c r="F1723" s="276"/>
      <c r="G1723" s="277"/>
      <c r="H1723" s="136" t="s">
        <v>73</v>
      </c>
      <c r="I1723" s="181">
        <v>6073113.8799999999</v>
      </c>
      <c r="J1723" s="181">
        <f>I1723/D1722</f>
        <v>2161.02</v>
      </c>
      <c r="K1723" s="181">
        <v>3174</v>
      </c>
    </row>
    <row r="1724" spans="1:11" x14ac:dyDescent="0.35">
      <c r="A1724" s="277"/>
      <c r="B1724" s="277"/>
      <c r="C1724" s="286"/>
      <c r="D1724" s="287"/>
      <c r="E1724" s="276"/>
      <c r="F1724" s="276"/>
      <c r="G1724" s="277"/>
      <c r="H1724" s="136" t="s">
        <v>75</v>
      </c>
      <c r="I1724" s="181">
        <f>I1723*0.0214</f>
        <v>129964.64</v>
      </c>
      <c r="J1724" s="181">
        <f>I1724/D1722</f>
        <v>46.25</v>
      </c>
      <c r="K1724" s="181">
        <v>68</v>
      </c>
    </row>
    <row r="1725" spans="1:11" x14ac:dyDescent="0.35">
      <c r="A1725" s="277">
        <f>A1722+1</f>
        <v>18</v>
      </c>
      <c r="B1725" s="277">
        <v>870</v>
      </c>
      <c r="C1725" s="286" t="s">
        <v>712</v>
      </c>
      <c r="D1725" s="287">
        <v>3342.5</v>
      </c>
      <c r="E1725" s="276" t="s">
        <v>74</v>
      </c>
      <c r="F1725" s="276">
        <v>6</v>
      </c>
      <c r="G1725" s="277" t="s">
        <v>71</v>
      </c>
      <c r="H1725" s="136" t="s">
        <v>72</v>
      </c>
      <c r="I1725" s="181">
        <f>I1726</f>
        <v>342657.28000000003</v>
      </c>
      <c r="J1725" s="181">
        <f>J1726</f>
        <v>102.52</v>
      </c>
      <c r="K1725" s="181">
        <f>K1726</f>
        <v>169</v>
      </c>
    </row>
    <row r="1726" spans="1:11" ht="46.5" x14ac:dyDescent="0.35">
      <c r="A1726" s="277"/>
      <c r="B1726" s="277"/>
      <c r="C1726" s="286"/>
      <c r="D1726" s="287"/>
      <c r="E1726" s="276"/>
      <c r="F1726" s="276"/>
      <c r="G1726" s="277"/>
      <c r="H1726" s="136" t="s">
        <v>673</v>
      </c>
      <c r="I1726" s="181">
        <f>282492.28+D1725*18</f>
        <v>342657.28000000003</v>
      </c>
      <c r="J1726" s="181">
        <f>I1726/D1725</f>
        <v>102.52</v>
      </c>
      <c r="K1726" s="181">
        <f>151+18</f>
        <v>169</v>
      </c>
    </row>
    <row r="1727" spans="1:11" x14ac:dyDescent="0.35">
      <c r="A1727" s="277">
        <f>A1725+1</f>
        <v>19</v>
      </c>
      <c r="B1727" s="277">
        <v>585</v>
      </c>
      <c r="C1727" s="286" t="s">
        <v>277</v>
      </c>
      <c r="D1727" s="287">
        <v>4627.3999999999996</v>
      </c>
      <c r="E1727" s="276" t="s">
        <v>74</v>
      </c>
      <c r="F1727" s="276">
        <v>5</v>
      </c>
      <c r="G1727" s="277" t="s">
        <v>71</v>
      </c>
      <c r="H1727" s="136" t="s">
        <v>72</v>
      </c>
      <c r="I1727" s="181">
        <f>I1728+I1729</f>
        <v>6307376.9699999997</v>
      </c>
      <c r="J1727" s="181">
        <f>J1728+J1729</f>
        <v>1363.05</v>
      </c>
      <c r="K1727" s="181">
        <f>K1728+K1729</f>
        <v>3242</v>
      </c>
    </row>
    <row r="1728" spans="1:11" x14ac:dyDescent="0.35">
      <c r="A1728" s="277">
        <v>75</v>
      </c>
      <c r="B1728" s="277"/>
      <c r="C1728" s="286"/>
      <c r="D1728" s="287"/>
      <c r="E1728" s="276"/>
      <c r="F1728" s="276"/>
      <c r="G1728" s="277"/>
      <c r="H1728" s="136" t="s">
        <v>73</v>
      </c>
      <c r="I1728" s="181">
        <f>8743245.04*0.7</f>
        <v>6120271.5300000003</v>
      </c>
      <c r="J1728" s="181">
        <f>I1728/D1727</f>
        <v>1322.62</v>
      </c>
      <c r="K1728" s="181">
        <v>3174</v>
      </c>
    </row>
    <row r="1729" spans="1:11" x14ac:dyDescent="0.35">
      <c r="A1729" s="277">
        <v>76</v>
      </c>
      <c r="B1729" s="277"/>
      <c r="C1729" s="286"/>
      <c r="D1729" s="287"/>
      <c r="E1729" s="276"/>
      <c r="F1729" s="276"/>
      <c r="G1729" s="277"/>
      <c r="H1729" s="136" t="s">
        <v>75</v>
      </c>
      <c r="I1729" s="181">
        <f>8743245.04*0.0214</f>
        <v>187105.44</v>
      </c>
      <c r="J1729" s="181">
        <f>I1729/D1727</f>
        <v>40.43</v>
      </c>
      <c r="K1729" s="181">
        <v>68</v>
      </c>
    </row>
    <row r="1730" spans="1:11" x14ac:dyDescent="0.35">
      <c r="A1730" s="277">
        <f>A1727+1</f>
        <v>20</v>
      </c>
      <c r="B1730" s="277">
        <v>518</v>
      </c>
      <c r="C1730" s="286" t="s">
        <v>93</v>
      </c>
      <c r="D1730" s="287">
        <v>2925.19</v>
      </c>
      <c r="E1730" s="276" t="s">
        <v>74</v>
      </c>
      <c r="F1730" s="276">
        <v>5</v>
      </c>
      <c r="G1730" s="277" t="s">
        <v>71</v>
      </c>
      <c r="H1730" s="136" t="s">
        <v>72</v>
      </c>
      <c r="I1730" s="181">
        <f>I1731</f>
        <v>282992.38</v>
      </c>
      <c r="J1730" s="181">
        <f>J1731</f>
        <v>96.74</v>
      </c>
      <c r="K1730" s="181">
        <f>K1731</f>
        <v>169</v>
      </c>
    </row>
    <row r="1731" spans="1:11" ht="46.5" x14ac:dyDescent="0.35">
      <c r="A1731" s="277"/>
      <c r="B1731" s="277"/>
      <c r="C1731" s="286"/>
      <c r="D1731" s="287"/>
      <c r="E1731" s="276"/>
      <c r="F1731" s="276"/>
      <c r="G1731" s="277"/>
      <c r="H1731" s="136" t="s">
        <v>673</v>
      </c>
      <c r="I1731" s="181">
        <f>230338.96+D1730*18</f>
        <v>282992.38</v>
      </c>
      <c r="J1731" s="181">
        <f>I1731/D1730</f>
        <v>96.74</v>
      </c>
      <c r="K1731" s="181">
        <f>151+18</f>
        <v>169</v>
      </c>
    </row>
    <row r="1732" spans="1:11" x14ac:dyDescent="0.35">
      <c r="A1732" s="277">
        <f>A1730+1</f>
        <v>21</v>
      </c>
      <c r="B1732" s="277">
        <v>401</v>
      </c>
      <c r="C1732" s="286" t="s">
        <v>80</v>
      </c>
      <c r="D1732" s="287">
        <v>1277.0999999999999</v>
      </c>
      <c r="E1732" s="287" t="s">
        <v>74</v>
      </c>
      <c r="F1732" s="304">
        <v>4</v>
      </c>
      <c r="G1732" s="146"/>
      <c r="H1732" s="136" t="s">
        <v>72</v>
      </c>
      <c r="I1732" s="181">
        <f>I1733+I1734</f>
        <v>693465.3</v>
      </c>
      <c r="J1732" s="181">
        <f>J1733+J1734</f>
        <v>543</v>
      </c>
      <c r="K1732" s="181">
        <f>K1733+K1734</f>
        <v>543</v>
      </c>
    </row>
    <row r="1733" spans="1:11" ht="46.5" x14ac:dyDescent="0.35">
      <c r="A1733" s="277">
        <v>882</v>
      </c>
      <c r="B1733" s="277"/>
      <c r="C1733" s="286"/>
      <c r="D1733" s="287"/>
      <c r="E1733" s="287"/>
      <c r="F1733" s="304"/>
      <c r="G1733" s="146" t="s">
        <v>81</v>
      </c>
      <c r="H1733" s="136" t="s">
        <v>634</v>
      </c>
      <c r="I1733" s="181">
        <f>D1732*K1733</f>
        <v>667923.30000000005</v>
      </c>
      <c r="J1733" s="181">
        <f>I1733/D1732</f>
        <v>523</v>
      </c>
      <c r="K1733" s="181">
        <f>509+14</f>
        <v>523</v>
      </c>
    </row>
    <row r="1734" spans="1:11" ht="46.5" x14ac:dyDescent="0.35">
      <c r="A1734" s="277">
        <v>884</v>
      </c>
      <c r="B1734" s="277"/>
      <c r="C1734" s="286"/>
      <c r="D1734" s="287"/>
      <c r="E1734" s="287"/>
      <c r="F1734" s="304"/>
      <c r="G1734" s="146" t="s">
        <v>82</v>
      </c>
      <c r="H1734" s="136" t="s">
        <v>634</v>
      </c>
      <c r="I1734" s="181">
        <f>D1732*K1734</f>
        <v>25542</v>
      </c>
      <c r="J1734" s="181">
        <f>I1734/D1732</f>
        <v>20</v>
      </c>
      <c r="K1734" s="181">
        <f>14+6</f>
        <v>20</v>
      </c>
    </row>
    <row r="1735" spans="1:11" x14ac:dyDescent="0.35">
      <c r="A1735" s="282">
        <f>A1732+1</f>
        <v>22</v>
      </c>
      <c r="B1735" s="282">
        <v>156</v>
      </c>
      <c r="C1735" s="348" t="s">
        <v>528</v>
      </c>
      <c r="D1735" s="273">
        <v>835</v>
      </c>
      <c r="E1735" s="273" t="s">
        <v>79</v>
      </c>
      <c r="F1735" s="282">
        <v>2</v>
      </c>
      <c r="G1735" s="270" t="s">
        <v>84</v>
      </c>
      <c r="H1735" s="136" t="s">
        <v>72</v>
      </c>
      <c r="I1735" s="181">
        <f>I1736+I1737+I1738+I1739+I1740+I1741+I1742+I1743+I1744</f>
        <v>10959291</v>
      </c>
      <c r="J1735" s="181">
        <f>J1736+J1737+J1738+J1739+J1740+J1741+J1742+J1743+J1744</f>
        <v>13124.9</v>
      </c>
      <c r="K1735" s="181">
        <f>K1736+K1737+K1738+K1739+K1740+K1741+K1742+K1743+K1744</f>
        <v>18563</v>
      </c>
    </row>
    <row r="1736" spans="1:11" ht="46.5" x14ac:dyDescent="0.35">
      <c r="A1736" s="283"/>
      <c r="B1736" s="283"/>
      <c r="C1736" s="349"/>
      <c r="D1736" s="274"/>
      <c r="E1736" s="274"/>
      <c r="F1736" s="283"/>
      <c r="G1736" s="271"/>
      <c r="H1736" s="136" t="s">
        <v>673</v>
      </c>
      <c r="I1736" s="181">
        <v>121292.16</v>
      </c>
      <c r="J1736" s="181">
        <f>I1736/D1735</f>
        <v>145.26</v>
      </c>
      <c r="K1736" s="181">
        <f>196+27</f>
        <v>223</v>
      </c>
    </row>
    <row r="1737" spans="1:11" x14ac:dyDescent="0.35">
      <c r="A1737" s="283"/>
      <c r="B1737" s="283"/>
      <c r="C1737" s="349"/>
      <c r="D1737" s="274"/>
      <c r="E1737" s="274"/>
      <c r="F1737" s="283"/>
      <c r="G1737" s="271"/>
      <c r="H1737" s="136" t="s">
        <v>73</v>
      </c>
      <c r="I1737" s="181">
        <v>2609364.29</v>
      </c>
      <c r="J1737" s="181">
        <f>I1737/D1735</f>
        <v>3124.99</v>
      </c>
      <c r="K1737" s="181">
        <v>4890</v>
      </c>
    </row>
    <row r="1738" spans="1:11" x14ac:dyDescent="0.35">
      <c r="A1738" s="283"/>
      <c r="B1738" s="283"/>
      <c r="C1738" s="349"/>
      <c r="D1738" s="274"/>
      <c r="E1738" s="274"/>
      <c r="F1738" s="283"/>
      <c r="G1738" s="272"/>
      <c r="H1738" s="136" t="s">
        <v>75</v>
      </c>
      <c r="I1738" s="181">
        <f>I1737*0.0214</f>
        <v>55840.4</v>
      </c>
      <c r="J1738" s="181">
        <f>I1738/D1735</f>
        <v>66.87</v>
      </c>
      <c r="K1738" s="181">
        <v>105</v>
      </c>
    </row>
    <row r="1739" spans="1:11" ht="46.5" x14ac:dyDescent="0.35">
      <c r="A1739" s="283"/>
      <c r="B1739" s="283"/>
      <c r="C1739" s="349"/>
      <c r="D1739" s="274"/>
      <c r="E1739" s="274"/>
      <c r="F1739" s="283"/>
      <c r="G1739" s="270" t="s">
        <v>81</v>
      </c>
      <c r="H1739" s="136" t="s">
        <v>634</v>
      </c>
      <c r="I1739" s="181">
        <f>D1735*K1739</f>
        <v>657980</v>
      </c>
      <c r="J1739" s="181">
        <f>I1739/D1735</f>
        <v>788</v>
      </c>
      <c r="K1739" s="181">
        <f>740+48</f>
        <v>788</v>
      </c>
    </row>
    <row r="1740" spans="1:11" x14ac:dyDescent="0.35">
      <c r="A1740" s="283"/>
      <c r="B1740" s="283"/>
      <c r="C1740" s="349"/>
      <c r="D1740" s="274"/>
      <c r="E1740" s="274"/>
      <c r="F1740" s="283"/>
      <c r="G1740" s="271"/>
      <c r="H1740" s="136" t="s">
        <v>73</v>
      </c>
      <c r="I1740" s="181">
        <f>D1735*K1740</f>
        <v>4276035</v>
      </c>
      <c r="J1740" s="181">
        <f>I1740/D1735</f>
        <v>5121</v>
      </c>
      <c r="K1740" s="181">
        <v>5121</v>
      </c>
    </row>
    <row r="1741" spans="1:11" x14ac:dyDescent="0.35">
      <c r="A1741" s="283"/>
      <c r="B1741" s="283"/>
      <c r="C1741" s="349"/>
      <c r="D1741" s="274"/>
      <c r="E1741" s="274"/>
      <c r="F1741" s="283"/>
      <c r="G1741" s="272"/>
      <c r="H1741" s="136" t="s">
        <v>75</v>
      </c>
      <c r="I1741" s="181">
        <f>D1735*K1741</f>
        <v>91850</v>
      </c>
      <c r="J1741" s="181">
        <f>I1741/D1735</f>
        <v>110</v>
      </c>
      <c r="K1741" s="181">
        <v>110</v>
      </c>
    </row>
    <row r="1742" spans="1:11" ht="46.5" x14ac:dyDescent="0.35">
      <c r="A1742" s="283"/>
      <c r="B1742" s="283"/>
      <c r="C1742" s="349"/>
      <c r="D1742" s="274"/>
      <c r="E1742" s="274"/>
      <c r="F1742" s="283"/>
      <c r="G1742" s="270" t="s">
        <v>71</v>
      </c>
      <c r="H1742" s="136" t="s">
        <v>673</v>
      </c>
      <c r="I1742" s="181">
        <v>143799.48000000001</v>
      </c>
      <c r="J1742" s="181">
        <f>I1742/D1735</f>
        <v>172.21</v>
      </c>
      <c r="K1742" s="181">
        <f>164+96</f>
        <v>260</v>
      </c>
    </row>
    <row r="1743" spans="1:11" x14ac:dyDescent="0.35">
      <c r="A1743" s="283"/>
      <c r="B1743" s="283"/>
      <c r="C1743" s="349"/>
      <c r="D1743" s="274"/>
      <c r="E1743" s="274"/>
      <c r="F1743" s="283"/>
      <c r="G1743" s="271"/>
      <c r="H1743" s="136" t="s">
        <v>73</v>
      </c>
      <c r="I1743" s="181">
        <v>2940209.19</v>
      </c>
      <c r="J1743" s="181">
        <f>I1743/D1735+0.01</f>
        <v>3521.22</v>
      </c>
      <c r="K1743" s="181">
        <v>6918</v>
      </c>
    </row>
    <row r="1744" spans="1:11" x14ac:dyDescent="0.35">
      <c r="A1744" s="284"/>
      <c r="B1744" s="284"/>
      <c r="C1744" s="350"/>
      <c r="D1744" s="275"/>
      <c r="E1744" s="275"/>
      <c r="F1744" s="284"/>
      <c r="G1744" s="272"/>
      <c r="H1744" s="136" t="s">
        <v>75</v>
      </c>
      <c r="I1744" s="181">
        <f>I1743*0.0214</f>
        <v>62920.480000000003</v>
      </c>
      <c r="J1744" s="181">
        <f>I1744/D1735</f>
        <v>75.349999999999994</v>
      </c>
      <c r="K1744" s="181">
        <v>148</v>
      </c>
    </row>
    <row r="1745" spans="1:11" x14ac:dyDescent="0.35">
      <c r="A1745" s="270">
        <f>A1735+1</f>
        <v>23</v>
      </c>
      <c r="B1745" s="270">
        <v>167</v>
      </c>
      <c r="C1745" s="278" t="s">
        <v>530</v>
      </c>
      <c r="D1745" s="273">
        <v>836.38</v>
      </c>
      <c r="E1745" s="270" t="s">
        <v>79</v>
      </c>
      <c r="F1745" s="270">
        <v>2</v>
      </c>
      <c r="G1745" s="165"/>
      <c r="H1745" s="136" t="s">
        <v>72</v>
      </c>
      <c r="I1745" s="181">
        <f>I1746+I1747+I1748+I1749+I1750+I1751</f>
        <v>8657014.7400000002</v>
      </c>
      <c r="J1745" s="181">
        <f>J1746+J1747+J1748+J1749+J1750+J1751</f>
        <v>10350.58</v>
      </c>
      <c r="K1745" s="181">
        <f>K1746+K1747+K1748+K1749+K1750+K1751</f>
        <v>12544</v>
      </c>
    </row>
    <row r="1746" spans="1:11" ht="46.5" x14ac:dyDescent="0.35">
      <c r="A1746" s="271"/>
      <c r="B1746" s="271"/>
      <c r="C1746" s="279"/>
      <c r="D1746" s="274"/>
      <c r="E1746" s="271"/>
      <c r="F1746" s="271"/>
      <c r="G1746" s="270" t="s">
        <v>71</v>
      </c>
      <c r="H1746" s="136" t="s">
        <v>673</v>
      </c>
      <c r="I1746" s="181">
        <v>107559.03</v>
      </c>
      <c r="J1746" s="181">
        <f>I1746/D1745</f>
        <v>128.6</v>
      </c>
      <c r="K1746" s="181">
        <f>164+96</f>
        <v>260</v>
      </c>
    </row>
    <row r="1747" spans="1:11" x14ac:dyDescent="0.35">
      <c r="A1747" s="271"/>
      <c r="B1747" s="271"/>
      <c r="C1747" s="279"/>
      <c r="D1747" s="274"/>
      <c r="E1747" s="271"/>
      <c r="F1747" s="271"/>
      <c r="G1747" s="271"/>
      <c r="H1747" s="136" t="s">
        <v>73</v>
      </c>
      <c r="I1747" s="181">
        <v>4976026.09</v>
      </c>
      <c r="J1747" s="181">
        <f>I1747/D1745+0.01</f>
        <v>5949.49</v>
      </c>
      <c r="K1747" s="181">
        <v>6918</v>
      </c>
    </row>
    <row r="1748" spans="1:11" x14ac:dyDescent="0.35">
      <c r="A1748" s="271"/>
      <c r="B1748" s="271"/>
      <c r="C1748" s="279"/>
      <c r="D1748" s="274"/>
      <c r="E1748" s="271"/>
      <c r="F1748" s="271"/>
      <c r="G1748" s="272"/>
      <c r="H1748" s="136" t="s">
        <v>75</v>
      </c>
      <c r="I1748" s="181">
        <f>I1747*0.0214</f>
        <v>106486.96</v>
      </c>
      <c r="J1748" s="181">
        <f>I1748/D1745</f>
        <v>127.32</v>
      </c>
      <c r="K1748" s="181">
        <v>148</v>
      </c>
    </row>
    <row r="1749" spans="1:11" ht="46.5" x14ac:dyDescent="0.35">
      <c r="A1749" s="271"/>
      <c r="B1749" s="271"/>
      <c r="C1749" s="279"/>
      <c r="D1749" s="274"/>
      <c r="E1749" s="271"/>
      <c r="F1749" s="271"/>
      <c r="G1749" s="270" t="s">
        <v>84</v>
      </c>
      <c r="H1749" s="136" t="s">
        <v>673</v>
      </c>
      <c r="I1749" s="181">
        <v>86106.55</v>
      </c>
      <c r="J1749" s="181">
        <f>I1749/D1745</f>
        <v>102.95</v>
      </c>
      <c r="K1749" s="181">
        <f>196+27</f>
        <v>223</v>
      </c>
    </row>
    <row r="1750" spans="1:11" x14ac:dyDescent="0.35">
      <c r="A1750" s="271"/>
      <c r="B1750" s="271"/>
      <c r="C1750" s="279"/>
      <c r="D1750" s="274"/>
      <c r="E1750" s="271"/>
      <c r="F1750" s="271"/>
      <c r="G1750" s="271"/>
      <c r="H1750" s="136" t="s">
        <v>73</v>
      </c>
      <c r="I1750" s="181">
        <v>3310002.07</v>
      </c>
      <c r="J1750" s="181">
        <f>I1750/D1745</f>
        <v>3957.53</v>
      </c>
      <c r="K1750" s="181">
        <v>4890</v>
      </c>
    </row>
    <row r="1751" spans="1:11" x14ac:dyDescent="0.35">
      <c r="A1751" s="272"/>
      <c r="B1751" s="272"/>
      <c r="C1751" s="285"/>
      <c r="D1751" s="275"/>
      <c r="E1751" s="272"/>
      <c r="F1751" s="272"/>
      <c r="G1751" s="272"/>
      <c r="H1751" s="136" t="s">
        <v>75</v>
      </c>
      <c r="I1751" s="181">
        <f>I1750*0.0214</f>
        <v>70834.039999999994</v>
      </c>
      <c r="J1751" s="181">
        <f>I1751/D1745</f>
        <v>84.69</v>
      </c>
      <c r="K1751" s="181">
        <v>105</v>
      </c>
    </row>
    <row r="1752" spans="1:11" x14ac:dyDescent="0.35">
      <c r="A1752" s="270">
        <f>A1745+1</f>
        <v>24</v>
      </c>
      <c r="B1752" s="270">
        <v>203</v>
      </c>
      <c r="C1752" s="278" t="s">
        <v>94</v>
      </c>
      <c r="D1752" s="273">
        <v>408.23</v>
      </c>
      <c r="E1752" s="273" t="s">
        <v>74</v>
      </c>
      <c r="F1752" s="282">
        <v>2</v>
      </c>
      <c r="G1752" s="167"/>
      <c r="H1752" s="136" t="s">
        <v>72</v>
      </c>
      <c r="I1752" s="181">
        <f>I1753+I1754</f>
        <v>84911.84</v>
      </c>
      <c r="J1752" s="181">
        <f>J1753+J1754</f>
        <v>208</v>
      </c>
      <c r="K1752" s="181">
        <f>K1753+K1754</f>
        <v>315</v>
      </c>
    </row>
    <row r="1753" spans="1:11" ht="46.5" x14ac:dyDescent="0.35">
      <c r="A1753" s="271"/>
      <c r="B1753" s="271"/>
      <c r="C1753" s="279"/>
      <c r="D1753" s="274"/>
      <c r="E1753" s="274"/>
      <c r="F1753" s="283"/>
      <c r="G1753" s="141" t="s">
        <v>84</v>
      </c>
      <c r="H1753" s="136" t="s">
        <v>673</v>
      </c>
      <c r="I1753" s="181">
        <v>17962.12</v>
      </c>
      <c r="J1753" s="181">
        <f>I1753/D1752</f>
        <v>44</v>
      </c>
      <c r="K1753" s="181">
        <f>41+27</f>
        <v>68</v>
      </c>
    </row>
    <row r="1754" spans="1:11" ht="46.5" x14ac:dyDescent="0.35">
      <c r="A1754" s="271"/>
      <c r="B1754" s="271"/>
      <c r="C1754" s="279"/>
      <c r="D1754" s="274"/>
      <c r="E1754" s="274"/>
      <c r="F1754" s="283"/>
      <c r="G1754" s="141" t="s">
        <v>71</v>
      </c>
      <c r="H1754" s="136" t="s">
        <v>673</v>
      </c>
      <c r="I1754" s="181">
        <v>66949.72</v>
      </c>
      <c r="J1754" s="181">
        <f>I1754/D1752</f>
        <v>164</v>
      </c>
      <c r="K1754" s="181">
        <f>151+96</f>
        <v>247</v>
      </c>
    </row>
    <row r="1755" spans="1:11" x14ac:dyDescent="0.35">
      <c r="A1755" s="270">
        <f>A1752+1</f>
        <v>25</v>
      </c>
      <c r="B1755" s="270">
        <v>204</v>
      </c>
      <c r="C1755" s="278" t="s">
        <v>95</v>
      </c>
      <c r="D1755" s="273">
        <v>405.9</v>
      </c>
      <c r="E1755" s="273" t="s">
        <v>74</v>
      </c>
      <c r="F1755" s="282">
        <v>2</v>
      </c>
      <c r="G1755" s="165"/>
      <c r="H1755" s="136" t="s">
        <v>72</v>
      </c>
      <c r="I1755" s="181">
        <f>I1756+I1757</f>
        <v>83116.800000000003</v>
      </c>
      <c r="J1755" s="181">
        <f>J1756+J1757</f>
        <v>204.77</v>
      </c>
      <c r="K1755" s="181">
        <f>K1756+K1757</f>
        <v>315</v>
      </c>
    </row>
    <row r="1756" spans="1:11" ht="46.5" x14ac:dyDescent="0.35">
      <c r="A1756" s="271"/>
      <c r="B1756" s="271"/>
      <c r="C1756" s="279"/>
      <c r="D1756" s="274"/>
      <c r="E1756" s="274"/>
      <c r="F1756" s="283"/>
      <c r="G1756" s="141" t="s">
        <v>71</v>
      </c>
      <c r="H1756" s="136" t="s">
        <v>673</v>
      </c>
      <c r="I1756" s="181">
        <v>65534.400000000001</v>
      </c>
      <c r="J1756" s="181">
        <f>I1756/D1755</f>
        <v>161.44999999999999</v>
      </c>
      <c r="K1756" s="181">
        <f>151+96</f>
        <v>247</v>
      </c>
    </row>
    <row r="1757" spans="1:11" ht="46.5" x14ac:dyDescent="0.35">
      <c r="A1757" s="271"/>
      <c r="B1757" s="271"/>
      <c r="C1757" s="279"/>
      <c r="D1757" s="274"/>
      <c r="E1757" s="274"/>
      <c r="F1757" s="283"/>
      <c r="G1757" s="141" t="s">
        <v>84</v>
      </c>
      <c r="H1757" s="136" t="s">
        <v>673</v>
      </c>
      <c r="I1757" s="181">
        <v>17582.400000000001</v>
      </c>
      <c r="J1757" s="181">
        <f>I1757/D1755</f>
        <v>43.32</v>
      </c>
      <c r="K1757" s="181">
        <f>41+27</f>
        <v>68</v>
      </c>
    </row>
    <row r="1758" spans="1:11" x14ac:dyDescent="0.35">
      <c r="A1758" s="270">
        <f>A1755+1</f>
        <v>26</v>
      </c>
      <c r="B1758" s="270">
        <v>602</v>
      </c>
      <c r="C1758" s="278" t="s">
        <v>531</v>
      </c>
      <c r="D1758" s="273">
        <v>3240.43</v>
      </c>
      <c r="E1758" s="273" t="s">
        <v>74</v>
      </c>
      <c r="F1758" s="282">
        <v>5</v>
      </c>
      <c r="G1758" s="270" t="s">
        <v>84</v>
      </c>
      <c r="H1758" s="136" t="s">
        <v>72</v>
      </c>
      <c r="I1758" s="181">
        <f>I1759</f>
        <v>182393.47</v>
      </c>
      <c r="J1758" s="181">
        <f>J1759</f>
        <v>56.29</v>
      </c>
      <c r="K1758" s="181">
        <f>K1759</f>
        <v>184</v>
      </c>
    </row>
    <row r="1759" spans="1:11" ht="46.5" x14ac:dyDescent="0.35">
      <c r="A1759" s="271"/>
      <c r="B1759" s="271"/>
      <c r="C1759" s="279"/>
      <c r="D1759" s="274"/>
      <c r="E1759" s="274"/>
      <c r="F1759" s="283"/>
      <c r="G1759" s="271"/>
      <c r="H1759" s="136" t="s">
        <v>674</v>
      </c>
      <c r="I1759" s="181">
        <v>182393.47</v>
      </c>
      <c r="J1759" s="181">
        <f>I1759/D1758</f>
        <v>56.29</v>
      </c>
      <c r="K1759" s="181">
        <f>156+28</f>
        <v>184</v>
      </c>
    </row>
    <row r="1760" spans="1:11" x14ac:dyDescent="0.35">
      <c r="A1760" s="270">
        <f>A1758+1</f>
        <v>27</v>
      </c>
      <c r="B1760" s="270">
        <v>284</v>
      </c>
      <c r="C1760" s="278" t="s">
        <v>532</v>
      </c>
      <c r="D1760" s="273">
        <v>2256.9</v>
      </c>
      <c r="E1760" s="273" t="s">
        <v>74</v>
      </c>
      <c r="F1760" s="282">
        <v>4</v>
      </c>
      <c r="G1760" s="167"/>
      <c r="H1760" s="136" t="s">
        <v>72</v>
      </c>
      <c r="I1760" s="181">
        <f>I1761+I1762+I1763+I1764+I1765+I1766</f>
        <v>14570273.43</v>
      </c>
      <c r="J1760" s="181">
        <f>J1761+J1762+J1763+J1764+J1765+J1766</f>
        <v>6455.88</v>
      </c>
      <c r="K1760" s="181">
        <f>K1761+K1762+K1763+K1764+K1765+K1766</f>
        <v>6642</v>
      </c>
    </row>
    <row r="1761" spans="1:11" ht="46.5" x14ac:dyDescent="0.35">
      <c r="A1761" s="271"/>
      <c r="B1761" s="271"/>
      <c r="C1761" s="279"/>
      <c r="D1761" s="274"/>
      <c r="E1761" s="274"/>
      <c r="F1761" s="283"/>
      <c r="G1761" s="270" t="s">
        <v>84</v>
      </c>
      <c r="H1761" s="136" t="s">
        <v>673</v>
      </c>
      <c r="I1761" s="181">
        <v>92598</v>
      </c>
      <c r="J1761" s="181">
        <f>I1761/D1760</f>
        <v>41.03</v>
      </c>
      <c r="K1761" s="181">
        <f>63+12</f>
        <v>75</v>
      </c>
    </row>
    <row r="1762" spans="1:11" x14ac:dyDescent="0.35">
      <c r="A1762" s="271"/>
      <c r="B1762" s="271"/>
      <c r="C1762" s="279"/>
      <c r="D1762" s="274"/>
      <c r="E1762" s="274"/>
      <c r="F1762" s="283"/>
      <c r="G1762" s="271"/>
      <c r="H1762" s="136" t="s">
        <v>73</v>
      </c>
      <c r="I1762" s="181">
        <f>D1760*K1762</f>
        <v>3534305.4</v>
      </c>
      <c r="J1762" s="181">
        <f>I1762/D1760</f>
        <v>1566</v>
      </c>
      <c r="K1762" s="181">
        <v>1566</v>
      </c>
    </row>
    <row r="1763" spans="1:11" x14ac:dyDescent="0.35">
      <c r="A1763" s="271"/>
      <c r="B1763" s="271"/>
      <c r="C1763" s="279"/>
      <c r="D1763" s="274"/>
      <c r="E1763" s="274"/>
      <c r="F1763" s="283"/>
      <c r="G1763" s="272"/>
      <c r="H1763" s="136" t="s">
        <v>75</v>
      </c>
      <c r="I1763" s="181">
        <f>D1760*K1763</f>
        <v>76734.600000000006</v>
      </c>
      <c r="J1763" s="181">
        <f>I1763/D1760</f>
        <v>34</v>
      </c>
      <c r="K1763" s="181">
        <v>34</v>
      </c>
    </row>
    <row r="1764" spans="1:11" ht="46.5" x14ac:dyDescent="0.35">
      <c r="A1764" s="271"/>
      <c r="B1764" s="271"/>
      <c r="C1764" s="279"/>
      <c r="D1764" s="274"/>
      <c r="E1764" s="274"/>
      <c r="F1764" s="283"/>
      <c r="G1764" s="270" t="s">
        <v>71</v>
      </c>
      <c r="H1764" s="136" t="s">
        <v>673</v>
      </c>
      <c r="I1764" s="181">
        <v>196012.23</v>
      </c>
      <c r="J1764" s="181">
        <f>I1764/D1760</f>
        <v>86.85</v>
      </c>
      <c r="K1764" s="181">
        <f>151+88</f>
        <v>239</v>
      </c>
    </row>
    <row r="1765" spans="1:11" x14ac:dyDescent="0.35">
      <c r="A1765" s="271"/>
      <c r="B1765" s="271"/>
      <c r="C1765" s="279"/>
      <c r="D1765" s="274"/>
      <c r="E1765" s="274"/>
      <c r="F1765" s="283"/>
      <c r="G1765" s="271"/>
      <c r="H1765" s="136" t="s">
        <v>73</v>
      </c>
      <c r="I1765" s="181">
        <f>D1760*K1765</f>
        <v>10447190.1</v>
      </c>
      <c r="J1765" s="181">
        <f>I1765/D1760</f>
        <v>4629</v>
      </c>
      <c r="K1765" s="181">
        <v>4629</v>
      </c>
    </row>
    <row r="1766" spans="1:11" x14ac:dyDescent="0.35">
      <c r="A1766" s="272"/>
      <c r="B1766" s="272"/>
      <c r="C1766" s="285"/>
      <c r="D1766" s="275"/>
      <c r="E1766" s="275"/>
      <c r="F1766" s="284"/>
      <c r="G1766" s="272"/>
      <c r="H1766" s="136" t="s">
        <v>75</v>
      </c>
      <c r="I1766" s="181">
        <f>D1760*K1766</f>
        <v>223433.1</v>
      </c>
      <c r="J1766" s="181">
        <f>I1766/D1760</f>
        <v>99</v>
      </c>
      <c r="K1766" s="181">
        <v>99</v>
      </c>
    </row>
    <row r="1767" spans="1:11" x14ac:dyDescent="0.35">
      <c r="A1767" s="277">
        <f>A1760+1</f>
        <v>28</v>
      </c>
      <c r="B1767" s="277">
        <v>527</v>
      </c>
      <c r="C1767" s="286" t="s">
        <v>280</v>
      </c>
      <c r="D1767" s="287">
        <v>3506</v>
      </c>
      <c r="E1767" s="276" t="s">
        <v>70</v>
      </c>
      <c r="F1767" s="276">
        <v>5</v>
      </c>
      <c r="G1767" s="277" t="s">
        <v>71</v>
      </c>
      <c r="H1767" s="136" t="s">
        <v>72</v>
      </c>
      <c r="I1767" s="181">
        <f>I1768+I1769</f>
        <v>6398795.1500000004</v>
      </c>
      <c r="J1767" s="181">
        <f>J1768+J1769</f>
        <v>1825.1</v>
      </c>
      <c r="K1767" s="181">
        <f>K1768+K1769</f>
        <v>3242</v>
      </c>
    </row>
    <row r="1768" spans="1:11" x14ac:dyDescent="0.35">
      <c r="A1768" s="277">
        <v>75</v>
      </c>
      <c r="B1768" s="277"/>
      <c r="C1768" s="286"/>
      <c r="D1768" s="287"/>
      <c r="E1768" s="276"/>
      <c r="F1768" s="276"/>
      <c r="G1768" s="277"/>
      <c r="H1768" s="136" t="s">
        <v>73</v>
      </c>
      <c r="I1768" s="181">
        <f>8869968.33*0.7</f>
        <v>6208977.8300000001</v>
      </c>
      <c r="J1768" s="181">
        <f>I1768/D1767</f>
        <v>1770.96</v>
      </c>
      <c r="K1768" s="181">
        <v>3174</v>
      </c>
    </row>
    <row r="1769" spans="1:11" x14ac:dyDescent="0.35">
      <c r="A1769" s="277">
        <v>76</v>
      </c>
      <c r="B1769" s="277"/>
      <c r="C1769" s="286"/>
      <c r="D1769" s="287"/>
      <c r="E1769" s="276"/>
      <c r="F1769" s="276"/>
      <c r="G1769" s="277"/>
      <c r="H1769" s="136" t="s">
        <v>75</v>
      </c>
      <c r="I1769" s="181">
        <f>8869968.33*0.0214</f>
        <v>189817.32</v>
      </c>
      <c r="J1769" s="181">
        <f>I1769/D1767</f>
        <v>54.14</v>
      </c>
      <c r="K1769" s="181">
        <v>68</v>
      </c>
    </row>
    <row r="1770" spans="1:11" x14ac:dyDescent="0.35">
      <c r="A1770" s="277">
        <f>A1767+1</f>
        <v>29</v>
      </c>
      <c r="B1770" s="277">
        <v>606</v>
      </c>
      <c r="C1770" s="286" t="s">
        <v>533</v>
      </c>
      <c r="D1770" s="287">
        <v>5330.83</v>
      </c>
      <c r="E1770" s="276" t="s">
        <v>74</v>
      </c>
      <c r="F1770" s="276">
        <v>5</v>
      </c>
      <c r="G1770" s="277" t="s">
        <v>71</v>
      </c>
      <c r="H1770" s="136" t="s">
        <v>72</v>
      </c>
      <c r="I1770" s="181">
        <f>I1771</f>
        <v>415478.27</v>
      </c>
      <c r="J1770" s="181">
        <f>J1771</f>
        <v>77.94</v>
      </c>
      <c r="K1770" s="181">
        <f>K1771</f>
        <v>169</v>
      </c>
    </row>
    <row r="1771" spans="1:11" ht="46.5" x14ac:dyDescent="0.35">
      <c r="A1771" s="277"/>
      <c r="B1771" s="277"/>
      <c r="C1771" s="286"/>
      <c r="D1771" s="287"/>
      <c r="E1771" s="276"/>
      <c r="F1771" s="276"/>
      <c r="G1771" s="277"/>
      <c r="H1771" s="136" t="s">
        <v>673</v>
      </c>
      <c r="I1771" s="181">
        <f>319523.33+D1770*18</f>
        <v>415478.27</v>
      </c>
      <c r="J1771" s="181">
        <f>I1771/D1770</f>
        <v>77.94</v>
      </c>
      <c r="K1771" s="181">
        <f>151+18</f>
        <v>169</v>
      </c>
    </row>
    <row r="1772" spans="1:11" x14ac:dyDescent="0.35">
      <c r="A1772" s="277">
        <f>A1770+1</f>
        <v>30</v>
      </c>
      <c r="B1772" s="277">
        <v>546</v>
      </c>
      <c r="C1772" s="286" t="s">
        <v>283</v>
      </c>
      <c r="D1772" s="287">
        <v>3568.8</v>
      </c>
      <c r="E1772" s="276" t="s">
        <v>70</v>
      </c>
      <c r="F1772" s="276">
        <v>5</v>
      </c>
      <c r="G1772" s="277" t="s">
        <v>71</v>
      </c>
      <c r="H1772" s="136" t="s">
        <v>72</v>
      </c>
      <c r="I1772" s="181">
        <f>I1773+I1774</f>
        <v>7134405.9199999999</v>
      </c>
      <c r="J1772" s="181">
        <f>J1773+J1774</f>
        <v>1999.1</v>
      </c>
      <c r="K1772" s="181">
        <f>K1773+K1774</f>
        <v>3242</v>
      </c>
    </row>
    <row r="1773" spans="1:11" x14ac:dyDescent="0.35">
      <c r="A1773" s="277">
        <v>75</v>
      </c>
      <c r="B1773" s="277"/>
      <c r="C1773" s="286"/>
      <c r="D1773" s="287"/>
      <c r="E1773" s="276"/>
      <c r="F1773" s="276"/>
      <c r="G1773" s="277"/>
      <c r="H1773" s="136" t="s">
        <v>73</v>
      </c>
      <c r="I1773" s="181">
        <f>9892713.6*0.7</f>
        <v>6924899.5199999996</v>
      </c>
      <c r="J1773" s="181">
        <f>I1773/D1772</f>
        <v>1940.4</v>
      </c>
      <c r="K1773" s="181">
        <v>3174</v>
      </c>
    </row>
    <row r="1774" spans="1:11" x14ac:dyDescent="0.35">
      <c r="A1774" s="277">
        <v>76</v>
      </c>
      <c r="B1774" s="277"/>
      <c r="C1774" s="286"/>
      <c r="D1774" s="287"/>
      <c r="E1774" s="276"/>
      <c r="F1774" s="276"/>
      <c r="G1774" s="277"/>
      <c r="H1774" s="136" t="s">
        <v>75</v>
      </c>
      <c r="I1774" s="193">
        <v>209506.4</v>
      </c>
      <c r="J1774" s="181">
        <f>I1774/D1772</f>
        <v>58.7</v>
      </c>
      <c r="K1774" s="181">
        <v>68</v>
      </c>
    </row>
    <row r="1775" spans="1:11" x14ac:dyDescent="0.35">
      <c r="A1775" s="277">
        <f>A1772+1</f>
        <v>31</v>
      </c>
      <c r="B1775" s="277">
        <v>559</v>
      </c>
      <c r="C1775" s="286" t="s">
        <v>284</v>
      </c>
      <c r="D1775" s="287">
        <v>3585.2</v>
      </c>
      <c r="E1775" s="276" t="s">
        <v>70</v>
      </c>
      <c r="F1775" s="276">
        <v>5</v>
      </c>
      <c r="G1775" s="277" t="s">
        <v>71</v>
      </c>
      <c r="H1775" s="136" t="s">
        <v>72</v>
      </c>
      <c r="I1775" s="181">
        <f>I1776+I1777</f>
        <v>7097624.0300000003</v>
      </c>
      <c r="J1775" s="181">
        <f>J1776+J1777</f>
        <v>1979.7</v>
      </c>
      <c r="K1775" s="181">
        <f>K1776+K1777</f>
        <v>3242</v>
      </c>
    </row>
    <row r="1776" spans="1:11" x14ac:dyDescent="0.35">
      <c r="A1776" s="277">
        <v>75</v>
      </c>
      <c r="B1776" s="277"/>
      <c r="C1776" s="286"/>
      <c r="D1776" s="287"/>
      <c r="E1776" s="276"/>
      <c r="F1776" s="276"/>
      <c r="G1776" s="277"/>
      <c r="H1776" s="136" t="s">
        <v>73</v>
      </c>
      <c r="I1776" s="181">
        <f>9838792.66*0.7</f>
        <v>6887154.8600000003</v>
      </c>
      <c r="J1776" s="181">
        <f>I1776/D1775-0.01</f>
        <v>1920.99</v>
      </c>
      <c r="K1776" s="181">
        <v>3174</v>
      </c>
    </row>
    <row r="1777" spans="1:11" x14ac:dyDescent="0.35">
      <c r="A1777" s="277">
        <v>76</v>
      </c>
      <c r="B1777" s="277"/>
      <c r="C1777" s="286"/>
      <c r="D1777" s="287"/>
      <c r="E1777" s="276"/>
      <c r="F1777" s="276"/>
      <c r="G1777" s="277"/>
      <c r="H1777" s="136" t="s">
        <v>75</v>
      </c>
      <c r="I1777" s="181">
        <v>210469.17</v>
      </c>
      <c r="J1777" s="181">
        <f>I1777/D1775</f>
        <v>58.71</v>
      </c>
      <c r="K1777" s="181">
        <v>68</v>
      </c>
    </row>
    <row r="1778" spans="1:11" x14ac:dyDescent="0.35">
      <c r="A1778" s="277">
        <f>A1775+1</f>
        <v>32</v>
      </c>
      <c r="B1778" s="277">
        <v>521</v>
      </c>
      <c r="C1778" s="286" t="s">
        <v>96</v>
      </c>
      <c r="D1778" s="287">
        <v>2828.7</v>
      </c>
      <c r="E1778" s="276" t="s">
        <v>74</v>
      </c>
      <c r="F1778" s="276">
        <v>5</v>
      </c>
      <c r="G1778" s="277" t="s">
        <v>71</v>
      </c>
      <c r="H1778" s="136" t="s">
        <v>72</v>
      </c>
      <c r="I1778" s="181">
        <f>I1779</f>
        <v>223311.68</v>
      </c>
      <c r="J1778" s="181">
        <f>J1779</f>
        <v>78.94</v>
      </c>
      <c r="K1778" s="181">
        <f>K1779</f>
        <v>169</v>
      </c>
    </row>
    <row r="1779" spans="1:11" ht="46.5" x14ac:dyDescent="0.35">
      <c r="A1779" s="277"/>
      <c r="B1779" s="277"/>
      <c r="C1779" s="286"/>
      <c r="D1779" s="287"/>
      <c r="E1779" s="276"/>
      <c r="F1779" s="276"/>
      <c r="G1779" s="277"/>
      <c r="H1779" s="136" t="s">
        <v>673</v>
      </c>
      <c r="I1779" s="181">
        <f>172395.08+D1778*18</f>
        <v>223311.68</v>
      </c>
      <c r="J1779" s="181">
        <f>I1779/D1778</f>
        <v>78.94</v>
      </c>
      <c r="K1779" s="181">
        <f>151+18</f>
        <v>169</v>
      </c>
    </row>
    <row r="1780" spans="1:11" x14ac:dyDescent="0.35">
      <c r="A1780" s="277">
        <f>A1778+1</f>
        <v>33</v>
      </c>
      <c r="B1780" s="277">
        <v>524</v>
      </c>
      <c r="C1780" s="286" t="s">
        <v>285</v>
      </c>
      <c r="D1780" s="295">
        <v>3856.05</v>
      </c>
      <c r="E1780" s="317" t="s">
        <v>74</v>
      </c>
      <c r="F1780" s="317">
        <v>5</v>
      </c>
      <c r="G1780" s="277" t="s">
        <v>71</v>
      </c>
      <c r="H1780" s="136" t="s">
        <v>72</v>
      </c>
      <c r="I1780" s="181">
        <f>I1781+I1782</f>
        <v>5792997.9900000002</v>
      </c>
      <c r="J1780" s="181">
        <f>J1781+J1782</f>
        <v>1502.31</v>
      </c>
      <c r="K1780" s="181">
        <f>K1781+K1782</f>
        <v>3242</v>
      </c>
    </row>
    <row r="1781" spans="1:11" x14ac:dyDescent="0.35">
      <c r="A1781" s="277">
        <v>75</v>
      </c>
      <c r="B1781" s="277"/>
      <c r="C1781" s="286"/>
      <c r="D1781" s="295"/>
      <c r="E1781" s="317"/>
      <c r="F1781" s="317"/>
      <c r="G1781" s="277"/>
      <c r="H1781" s="136" t="s">
        <v>73</v>
      </c>
      <c r="I1781" s="181">
        <f>8030216.23*0.7</f>
        <v>5621151.3600000003</v>
      </c>
      <c r="J1781" s="181">
        <f>I1781/D1780-0.01</f>
        <v>1457.74</v>
      </c>
      <c r="K1781" s="181">
        <v>3174</v>
      </c>
    </row>
    <row r="1782" spans="1:11" x14ac:dyDescent="0.35">
      <c r="A1782" s="277">
        <v>76</v>
      </c>
      <c r="B1782" s="277"/>
      <c r="C1782" s="286"/>
      <c r="D1782" s="295"/>
      <c r="E1782" s="317"/>
      <c r="F1782" s="317"/>
      <c r="G1782" s="277"/>
      <c r="H1782" s="136" t="s">
        <v>75</v>
      </c>
      <c r="I1782" s="181">
        <f>8030216.23*0.0214</f>
        <v>171846.63</v>
      </c>
      <c r="J1782" s="181">
        <f>I1782/D1780</f>
        <v>44.57</v>
      </c>
      <c r="K1782" s="181">
        <v>68</v>
      </c>
    </row>
    <row r="1783" spans="1:11" x14ac:dyDescent="0.35">
      <c r="A1783" s="277">
        <f>A1780+1</f>
        <v>34</v>
      </c>
      <c r="B1783" s="277">
        <v>509</v>
      </c>
      <c r="C1783" s="286" t="s">
        <v>286</v>
      </c>
      <c r="D1783" s="295">
        <v>3004.2</v>
      </c>
      <c r="E1783" s="317" t="s">
        <v>74</v>
      </c>
      <c r="F1783" s="317">
        <v>5</v>
      </c>
      <c r="G1783" s="277" t="s">
        <v>71</v>
      </c>
      <c r="H1783" s="136" t="s">
        <v>72</v>
      </c>
      <c r="I1783" s="181">
        <f>I1784+I1785</f>
        <v>4574315.17</v>
      </c>
      <c r="J1783" s="181">
        <f>J1784+J1785</f>
        <v>1522.64</v>
      </c>
      <c r="K1783" s="181">
        <f>K1784+K1785</f>
        <v>3242</v>
      </c>
    </row>
    <row r="1784" spans="1:11" x14ac:dyDescent="0.35">
      <c r="A1784" s="277">
        <v>75</v>
      </c>
      <c r="B1784" s="277"/>
      <c r="C1784" s="286"/>
      <c r="D1784" s="295"/>
      <c r="E1784" s="317"/>
      <c r="F1784" s="317"/>
      <c r="G1784" s="277"/>
      <c r="H1784" s="136" t="s">
        <v>73</v>
      </c>
      <c r="I1784" s="181">
        <f>4431785.03</f>
        <v>4431785.03</v>
      </c>
      <c r="J1784" s="181">
        <f>I1784/D1783</f>
        <v>1475.2</v>
      </c>
      <c r="K1784" s="181">
        <v>3174</v>
      </c>
    </row>
    <row r="1785" spans="1:11" x14ac:dyDescent="0.35">
      <c r="A1785" s="277">
        <v>76</v>
      </c>
      <c r="B1785" s="277"/>
      <c r="C1785" s="286"/>
      <c r="D1785" s="295"/>
      <c r="E1785" s="317"/>
      <c r="F1785" s="317"/>
      <c r="G1785" s="277"/>
      <c r="H1785" s="136" t="s">
        <v>75</v>
      </c>
      <c r="I1785" s="181">
        <f>6660286.94*0.0214</f>
        <v>142530.14000000001</v>
      </c>
      <c r="J1785" s="181">
        <f>I1785/D1783</f>
        <v>47.44</v>
      </c>
      <c r="K1785" s="181">
        <v>68</v>
      </c>
    </row>
    <row r="1786" spans="1:11" x14ac:dyDescent="0.35">
      <c r="A1786" s="277">
        <f>A1783+1</f>
        <v>35</v>
      </c>
      <c r="B1786" s="277">
        <v>617</v>
      </c>
      <c r="C1786" s="286" t="s">
        <v>287</v>
      </c>
      <c r="D1786" s="295">
        <v>4525.22</v>
      </c>
      <c r="E1786" s="317" t="s">
        <v>74</v>
      </c>
      <c r="F1786" s="317">
        <v>5</v>
      </c>
      <c r="G1786" s="277" t="s">
        <v>71</v>
      </c>
      <c r="H1786" s="136" t="s">
        <v>72</v>
      </c>
      <c r="I1786" s="181">
        <f>I1787+I1788</f>
        <v>6810797.4800000004</v>
      </c>
      <c r="J1786" s="181">
        <f>J1787+J1788</f>
        <v>1505.08</v>
      </c>
      <c r="K1786" s="181">
        <f>K1787+K1788</f>
        <v>3242</v>
      </c>
    </row>
    <row r="1787" spans="1:11" x14ac:dyDescent="0.35">
      <c r="A1787" s="277">
        <v>75</v>
      </c>
      <c r="B1787" s="277"/>
      <c r="C1787" s="286"/>
      <c r="D1787" s="295"/>
      <c r="E1787" s="317"/>
      <c r="F1787" s="317"/>
      <c r="G1787" s="277"/>
      <c r="H1787" s="136" t="s">
        <v>73</v>
      </c>
      <c r="I1787" s="181">
        <f>9441083.29*0.7</f>
        <v>6608758.2999999998</v>
      </c>
      <c r="J1787" s="181">
        <f>I1787/D1786</f>
        <v>1460.43</v>
      </c>
      <c r="K1787" s="181">
        <v>3174</v>
      </c>
    </row>
    <row r="1788" spans="1:11" x14ac:dyDescent="0.35">
      <c r="A1788" s="277">
        <v>76</v>
      </c>
      <c r="B1788" s="277"/>
      <c r="C1788" s="286"/>
      <c r="D1788" s="295"/>
      <c r="E1788" s="317"/>
      <c r="F1788" s="317"/>
      <c r="G1788" s="277"/>
      <c r="H1788" s="136" t="s">
        <v>75</v>
      </c>
      <c r="I1788" s="181">
        <f>9441083.29*0.0214</f>
        <v>202039.18</v>
      </c>
      <c r="J1788" s="181">
        <f>I1788/D1786</f>
        <v>44.65</v>
      </c>
      <c r="K1788" s="181">
        <v>68</v>
      </c>
    </row>
    <row r="1789" spans="1:11" x14ac:dyDescent="0.35">
      <c r="A1789" s="277">
        <f>A1786+1</f>
        <v>36</v>
      </c>
      <c r="B1789" s="277">
        <v>479</v>
      </c>
      <c r="C1789" s="286" t="s">
        <v>97</v>
      </c>
      <c r="D1789" s="287">
        <v>1986.2</v>
      </c>
      <c r="E1789" s="276" t="s">
        <v>74</v>
      </c>
      <c r="F1789" s="276">
        <v>5</v>
      </c>
      <c r="G1789" s="277" t="s">
        <v>71</v>
      </c>
      <c r="H1789" s="136" t="s">
        <v>72</v>
      </c>
      <c r="I1789" s="181">
        <f>I1790</f>
        <v>259427.87</v>
      </c>
      <c r="J1789" s="181">
        <f>J1790</f>
        <v>130.62</v>
      </c>
      <c r="K1789" s="181">
        <f>K1790</f>
        <v>169</v>
      </c>
    </row>
    <row r="1790" spans="1:11" ht="46.5" x14ac:dyDescent="0.35">
      <c r="A1790" s="277"/>
      <c r="B1790" s="277"/>
      <c r="C1790" s="286"/>
      <c r="D1790" s="287"/>
      <c r="E1790" s="276"/>
      <c r="F1790" s="276"/>
      <c r="G1790" s="277"/>
      <c r="H1790" s="136" t="s">
        <v>673</v>
      </c>
      <c r="I1790" s="181">
        <f>223676.27+D1789*18</f>
        <v>259427.87</v>
      </c>
      <c r="J1790" s="181">
        <f>I1790/D1789</f>
        <v>130.62</v>
      </c>
      <c r="K1790" s="181">
        <f>151+18</f>
        <v>169</v>
      </c>
    </row>
    <row r="1791" spans="1:11" x14ac:dyDescent="0.35">
      <c r="A1791" s="270">
        <f>A1789+1</f>
        <v>37</v>
      </c>
      <c r="B1791" s="270">
        <v>512</v>
      </c>
      <c r="C1791" s="278" t="s">
        <v>288</v>
      </c>
      <c r="D1791" s="273">
        <v>1615.9</v>
      </c>
      <c r="E1791" s="267" t="s">
        <v>74</v>
      </c>
      <c r="F1791" s="267">
        <v>5</v>
      </c>
      <c r="G1791" s="165"/>
      <c r="H1791" s="136" t="s">
        <v>72</v>
      </c>
      <c r="I1791" s="181">
        <f>I1793+I1792</f>
        <v>170154.26</v>
      </c>
      <c r="J1791" s="181">
        <f>J1793+J1792</f>
        <v>105.3</v>
      </c>
      <c r="K1791" s="181">
        <f>K1793+K1792</f>
        <v>295</v>
      </c>
    </row>
    <row r="1792" spans="1:11" ht="46.5" x14ac:dyDescent="0.35">
      <c r="A1792" s="271"/>
      <c r="B1792" s="271"/>
      <c r="C1792" s="279"/>
      <c r="D1792" s="274"/>
      <c r="E1792" s="268"/>
      <c r="F1792" s="268"/>
      <c r="G1792" s="270" t="s">
        <v>83</v>
      </c>
      <c r="H1792" s="136" t="s">
        <v>634</v>
      </c>
      <c r="I1792" s="181">
        <f>17774.89+13*D1791</f>
        <v>38781.589999999997</v>
      </c>
      <c r="J1792" s="181">
        <f>I1792/D1791</f>
        <v>24</v>
      </c>
      <c r="K1792" s="181">
        <f>11+13</f>
        <v>24</v>
      </c>
    </row>
    <row r="1793" spans="1:11" x14ac:dyDescent="0.35">
      <c r="A1793" s="271"/>
      <c r="B1793" s="271"/>
      <c r="C1793" s="279"/>
      <c r="D1793" s="274"/>
      <c r="E1793" s="268"/>
      <c r="F1793" s="268"/>
      <c r="G1793" s="271"/>
      <c r="H1793" s="136" t="s">
        <v>73</v>
      </c>
      <c r="I1793" s="181">
        <f>K1793*D1791*0.3</f>
        <v>131372.67000000001</v>
      </c>
      <c r="J1793" s="181">
        <f>I1793/D1791</f>
        <v>81.3</v>
      </c>
      <c r="K1793" s="181">
        <v>271</v>
      </c>
    </row>
    <row r="1794" spans="1:11" x14ac:dyDescent="0.35">
      <c r="A1794" s="277">
        <f>A1791+1</f>
        <v>38</v>
      </c>
      <c r="B1794" s="277">
        <v>717</v>
      </c>
      <c r="C1794" s="286" t="s">
        <v>534</v>
      </c>
      <c r="D1794" s="287">
        <v>2621.92</v>
      </c>
      <c r="E1794" s="276" t="s">
        <v>70</v>
      </c>
      <c r="F1794" s="276">
        <v>5</v>
      </c>
      <c r="G1794" s="277" t="s">
        <v>71</v>
      </c>
      <c r="H1794" s="136" t="s">
        <v>72</v>
      </c>
      <c r="I1794" s="181">
        <f>I1795</f>
        <v>441328.72</v>
      </c>
      <c r="J1794" s="181">
        <f>J1795</f>
        <v>168.32</v>
      </c>
      <c r="K1794" s="181">
        <f>K1795</f>
        <v>169</v>
      </c>
    </row>
    <row r="1795" spans="1:11" ht="46.5" x14ac:dyDescent="0.35">
      <c r="A1795" s="277"/>
      <c r="B1795" s="277"/>
      <c r="C1795" s="286"/>
      <c r="D1795" s="287"/>
      <c r="E1795" s="276"/>
      <c r="F1795" s="276"/>
      <c r="G1795" s="277"/>
      <c r="H1795" s="136" t="s">
        <v>673</v>
      </c>
      <c r="I1795" s="181">
        <f>394134.16+D1794*18</f>
        <v>441328.72</v>
      </c>
      <c r="J1795" s="181">
        <f>I1795/D1794</f>
        <v>168.32</v>
      </c>
      <c r="K1795" s="181">
        <f>151+18</f>
        <v>169</v>
      </c>
    </row>
    <row r="1796" spans="1:11" x14ac:dyDescent="0.35">
      <c r="A1796" s="277">
        <f>A1794+1</f>
        <v>39</v>
      </c>
      <c r="B1796" s="277">
        <v>574</v>
      </c>
      <c r="C1796" s="286" t="s">
        <v>290</v>
      </c>
      <c r="D1796" s="287">
        <v>3042.6</v>
      </c>
      <c r="E1796" s="276" t="s">
        <v>74</v>
      </c>
      <c r="F1796" s="276">
        <v>5</v>
      </c>
      <c r="G1796" s="277" t="s">
        <v>71</v>
      </c>
      <c r="H1796" s="136" t="s">
        <v>72</v>
      </c>
      <c r="I1796" s="181">
        <f>I1797+I1798</f>
        <v>4909387.8</v>
      </c>
      <c r="J1796" s="181">
        <f>J1797+J1798</f>
        <v>1613.55</v>
      </c>
      <c r="K1796" s="181">
        <f>K1797+K1798</f>
        <v>3242</v>
      </c>
    </row>
    <row r="1797" spans="1:11" x14ac:dyDescent="0.35">
      <c r="A1797" s="277">
        <v>75</v>
      </c>
      <c r="B1797" s="277"/>
      <c r="C1797" s="286"/>
      <c r="D1797" s="287"/>
      <c r="E1797" s="276"/>
      <c r="F1797" s="276"/>
      <c r="G1797" s="277"/>
      <c r="H1797" s="136" t="s">
        <v>73</v>
      </c>
      <c r="I1797" s="181">
        <f>6805361.51*0.7</f>
        <v>4763753.0599999996</v>
      </c>
      <c r="J1797" s="181">
        <f>I1797/D1796</f>
        <v>1565.68</v>
      </c>
      <c r="K1797" s="181">
        <v>3174</v>
      </c>
    </row>
    <row r="1798" spans="1:11" x14ac:dyDescent="0.35">
      <c r="A1798" s="277">
        <v>76</v>
      </c>
      <c r="B1798" s="277"/>
      <c r="C1798" s="286"/>
      <c r="D1798" s="287"/>
      <c r="E1798" s="276"/>
      <c r="F1798" s="276"/>
      <c r="G1798" s="277"/>
      <c r="H1798" s="136" t="s">
        <v>75</v>
      </c>
      <c r="I1798" s="181">
        <f>6805361.51*0.0214</f>
        <v>145634.74</v>
      </c>
      <c r="J1798" s="181">
        <f>I1798/D1796</f>
        <v>47.87</v>
      </c>
      <c r="K1798" s="181">
        <v>68</v>
      </c>
    </row>
    <row r="1799" spans="1:11" x14ac:dyDescent="0.35">
      <c r="A1799" s="270">
        <f>A1796+1</f>
        <v>40</v>
      </c>
      <c r="B1799" s="270">
        <v>138</v>
      </c>
      <c r="C1799" s="278" t="s">
        <v>535</v>
      </c>
      <c r="D1799" s="273">
        <v>1517.65</v>
      </c>
      <c r="E1799" s="270" t="s">
        <v>79</v>
      </c>
      <c r="F1799" s="270">
        <v>2</v>
      </c>
      <c r="G1799" s="167"/>
      <c r="H1799" s="136" t="s">
        <v>72</v>
      </c>
      <c r="I1799" s="181">
        <f>I1800+I1801+I1802+I1803+I1804+I1805</f>
        <v>14215229.220000001</v>
      </c>
      <c r="J1799" s="181">
        <f>J1800+J1801+J1802+J1803+J1804+J1805</f>
        <v>9366.61</v>
      </c>
      <c r="K1799" s="181">
        <f>K1800+K1801+K1802+K1803+K1804+K1805</f>
        <v>9602</v>
      </c>
    </row>
    <row r="1800" spans="1:11" ht="46.5" x14ac:dyDescent="0.35">
      <c r="A1800" s="271"/>
      <c r="B1800" s="271"/>
      <c r="C1800" s="279"/>
      <c r="D1800" s="274"/>
      <c r="E1800" s="271"/>
      <c r="F1800" s="271"/>
      <c r="G1800" s="270" t="s">
        <v>84</v>
      </c>
      <c r="H1800" s="136" t="s">
        <v>673</v>
      </c>
      <c r="I1800" s="181">
        <f>118595.91+13669.6</f>
        <v>132265.51</v>
      </c>
      <c r="J1800" s="181">
        <f>I1800/D1799</f>
        <v>87.15</v>
      </c>
      <c r="K1800" s="181">
        <f>85+12</f>
        <v>97</v>
      </c>
    </row>
    <row r="1801" spans="1:11" x14ac:dyDescent="0.35">
      <c r="A1801" s="271"/>
      <c r="B1801" s="271"/>
      <c r="C1801" s="279"/>
      <c r="D1801" s="274"/>
      <c r="E1801" s="271"/>
      <c r="F1801" s="271"/>
      <c r="G1801" s="271"/>
      <c r="H1801" s="136" t="s">
        <v>73</v>
      </c>
      <c r="I1801" s="181">
        <f>D1799*K1801</f>
        <v>3237147.45</v>
      </c>
      <c r="J1801" s="181">
        <f>I1801/D1799</f>
        <v>2133</v>
      </c>
      <c r="K1801" s="181">
        <v>2133</v>
      </c>
    </row>
    <row r="1802" spans="1:11" x14ac:dyDescent="0.35">
      <c r="A1802" s="271"/>
      <c r="B1802" s="271"/>
      <c r="C1802" s="279"/>
      <c r="D1802" s="274"/>
      <c r="E1802" s="271"/>
      <c r="F1802" s="271"/>
      <c r="G1802" s="272"/>
      <c r="H1802" s="136" t="s">
        <v>75</v>
      </c>
      <c r="I1802" s="181">
        <f>D1799*K1802</f>
        <v>69811.899999999994</v>
      </c>
      <c r="J1802" s="181">
        <f>I1802/D1799</f>
        <v>46</v>
      </c>
      <c r="K1802" s="181">
        <v>46</v>
      </c>
    </row>
    <row r="1803" spans="1:11" ht="59" customHeight="1" x14ac:dyDescent="0.35">
      <c r="A1803" s="271"/>
      <c r="B1803" s="271"/>
      <c r="C1803" s="279"/>
      <c r="D1803" s="274"/>
      <c r="E1803" s="271"/>
      <c r="F1803" s="271"/>
      <c r="G1803" s="270" t="s">
        <v>71</v>
      </c>
      <c r="H1803" s="136" t="s">
        <v>673</v>
      </c>
      <c r="I1803" s="181">
        <v>151090.07999999999</v>
      </c>
      <c r="J1803" s="181">
        <f>I1803/D1799</f>
        <v>99.56</v>
      </c>
      <c r="K1803" s="181">
        <f>164+96</f>
        <v>260</v>
      </c>
    </row>
    <row r="1804" spans="1:11" x14ac:dyDescent="0.35">
      <c r="A1804" s="271"/>
      <c r="B1804" s="271"/>
      <c r="C1804" s="279"/>
      <c r="D1804" s="274"/>
      <c r="E1804" s="271"/>
      <c r="F1804" s="271"/>
      <c r="G1804" s="271"/>
      <c r="H1804" s="136" t="s">
        <v>73</v>
      </c>
      <c r="I1804" s="181">
        <f>D1799*K1804</f>
        <v>10499102.699999999</v>
      </c>
      <c r="J1804" s="181">
        <f>I1804/D1799</f>
        <v>6918</v>
      </c>
      <c r="K1804" s="181">
        <v>6918</v>
      </c>
    </row>
    <row r="1805" spans="1:11" x14ac:dyDescent="0.35">
      <c r="A1805" s="272"/>
      <c r="B1805" s="272"/>
      <c r="C1805" s="285"/>
      <c r="D1805" s="275"/>
      <c r="E1805" s="272"/>
      <c r="F1805" s="272"/>
      <c r="G1805" s="272"/>
      <c r="H1805" s="136" t="s">
        <v>75</v>
      </c>
      <c r="I1805" s="193">
        <v>125811.58</v>
      </c>
      <c r="J1805" s="181">
        <f>I1805/D1799</f>
        <v>82.9</v>
      </c>
      <c r="K1805" s="181">
        <v>148</v>
      </c>
    </row>
    <row r="1806" spans="1:11" x14ac:dyDescent="0.35">
      <c r="A1806" s="270">
        <f>A1799+1</f>
        <v>41</v>
      </c>
      <c r="B1806" s="270">
        <v>139</v>
      </c>
      <c r="C1806" s="278" t="s">
        <v>536</v>
      </c>
      <c r="D1806" s="273">
        <v>1532.29</v>
      </c>
      <c r="E1806" s="270" t="s">
        <v>79</v>
      </c>
      <c r="F1806" s="270">
        <v>2</v>
      </c>
      <c r="G1806" s="167"/>
      <c r="H1806" s="136" t="s">
        <v>72</v>
      </c>
      <c r="I1806" s="181">
        <f>I1807+I1808+I1809+I1810+I1811+I1812</f>
        <v>14356041.83</v>
      </c>
      <c r="J1806" s="181">
        <f>J1807+J1808+J1809+J1810+J1811+J1812</f>
        <v>9369.01</v>
      </c>
      <c r="K1806" s="181">
        <f>K1807+K1808+K1809+K1810+K1811+K1812</f>
        <v>9602</v>
      </c>
    </row>
    <row r="1807" spans="1:11" ht="57" customHeight="1" x14ac:dyDescent="0.35">
      <c r="A1807" s="271"/>
      <c r="B1807" s="271"/>
      <c r="C1807" s="279"/>
      <c r="D1807" s="274"/>
      <c r="E1807" s="271"/>
      <c r="F1807" s="271"/>
      <c r="G1807" s="270" t="s">
        <v>84</v>
      </c>
      <c r="H1807" s="136" t="s">
        <v>673</v>
      </c>
      <c r="I1807" s="181">
        <v>107391.6</v>
      </c>
      <c r="J1807" s="181">
        <f>I1807/D1806</f>
        <v>70.09</v>
      </c>
      <c r="K1807" s="181">
        <f>85+12</f>
        <v>97</v>
      </c>
    </row>
    <row r="1808" spans="1:11" x14ac:dyDescent="0.35">
      <c r="A1808" s="271"/>
      <c r="B1808" s="271"/>
      <c r="C1808" s="279"/>
      <c r="D1808" s="274"/>
      <c r="E1808" s="271"/>
      <c r="F1808" s="271"/>
      <c r="G1808" s="271" t="s">
        <v>84</v>
      </c>
      <c r="H1808" s="136" t="s">
        <v>73</v>
      </c>
      <c r="I1808" s="181">
        <f>D1806*K1808</f>
        <v>3268374.57</v>
      </c>
      <c r="J1808" s="181">
        <f>I1808/D1806</f>
        <v>2133</v>
      </c>
      <c r="K1808" s="181">
        <v>2133</v>
      </c>
    </row>
    <row r="1809" spans="1:11" x14ac:dyDescent="0.35">
      <c r="A1809" s="271"/>
      <c r="B1809" s="271"/>
      <c r="C1809" s="279"/>
      <c r="D1809" s="274"/>
      <c r="E1809" s="271"/>
      <c r="F1809" s="271"/>
      <c r="G1809" s="272"/>
      <c r="H1809" s="136" t="s">
        <v>75</v>
      </c>
      <c r="I1809" s="193">
        <v>53427.31</v>
      </c>
      <c r="J1809" s="181">
        <f>I1809/D1806</f>
        <v>34.869999999999997</v>
      </c>
      <c r="K1809" s="181">
        <v>46</v>
      </c>
    </row>
    <row r="1810" spans="1:11" ht="60" customHeight="1" x14ac:dyDescent="0.35">
      <c r="A1810" s="271"/>
      <c r="B1810" s="271"/>
      <c r="C1810" s="279"/>
      <c r="D1810" s="274"/>
      <c r="E1810" s="271"/>
      <c r="F1810" s="271"/>
      <c r="G1810" s="270" t="s">
        <v>71</v>
      </c>
      <c r="H1810" s="136" t="s">
        <v>673</v>
      </c>
      <c r="I1810" s="181">
        <v>154569.53</v>
      </c>
      <c r="J1810" s="181">
        <f>I1810/D1806</f>
        <v>100.87</v>
      </c>
      <c r="K1810" s="181">
        <f>164+96</f>
        <v>260</v>
      </c>
    </row>
    <row r="1811" spans="1:11" x14ac:dyDescent="0.35">
      <c r="A1811" s="271"/>
      <c r="B1811" s="271"/>
      <c r="C1811" s="279"/>
      <c r="D1811" s="274"/>
      <c r="E1811" s="271"/>
      <c r="F1811" s="271"/>
      <c r="G1811" s="271" t="s">
        <v>71</v>
      </c>
      <c r="H1811" s="136" t="s">
        <v>73</v>
      </c>
      <c r="I1811" s="181">
        <f>D1806*K1811</f>
        <v>10600382.220000001</v>
      </c>
      <c r="J1811" s="181">
        <f>I1811/D1806</f>
        <v>6918</v>
      </c>
      <c r="K1811" s="181">
        <v>6918</v>
      </c>
    </row>
    <row r="1812" spans="1:11" x14ac:dyDescent="0.35">
      <c r="A1812" s="272"/>
      <c r="B1812" s="272"/>
      <c r="C1812" s="285"/>
      <c r="D1812" s="275"/>
      <c r="E1812" s="272"/>
      <c r="F1812" s="272"/>
      <c r="G1812" s="272"/>
      <c r="H1812" s="136" t="s">
        <v>75</v>
      </c>
      <c r="I1812" s="193">
        <v>171896.6</v>
      </c>
      <c r="J1812" s="181">
        <f>I1812/D1806</f>
        <v>112.18</v>
      </c>
      <c r="K1812" s="181">
        <v>148</v>
      </c>
    </row>
    <row r="1813" spans="1:11" x14ac:dyDescent="0.35">
      <c r="A1813" s="277">
        <f>A1806+1</f>
        <v>42</v>
      </c>
      <c r="B1813" s="277">
        <v>565</v>
      </c>
      <c r="C1813" s="286" t="s">
        <v>98</v>
      </c>
      <c r="D1813" s="287">
        <v>2692.2</v>
      </c>
      <c r="E1813" s="276" t="s">
        <v>74</v>
      </c>
      <c r="F1813" s="276">
        <v>5</v>
      </c>
      <c r="G1813" s="277" t="s">
        <v>71</v>
      </c>
      <c r="H1813" s="136" t="s">
        <v>72</v>
      </c>
      <c r="I1813" s="181">
        <f>I1814</f>
        <v>168493.66</v>
      </c>
      <c r="J1813" s="181">
        <f>J1814</f>
        <v>62.59</v>
      </c>
      <c r="K1813" s="181">
        <f>K1814</f>
        <v>169</v>
      </c>
    </row>
    <row r="1814" spans="1:11" ht="46.5" x14ac:dyDescent="0.35">
      <c r="A1814" s="277"/>
      <c r="B1814" s="277"/>
      <c r="C1814" s="286"/>
      <c r="D1814" s="287"/>
      <c r="E1814" s="276"/>
      <c r="F1814" s="276"/>
      <c r="G1814" s="277"/>
      <c r="H1814" s="136" t="s">
        <v>673</v>
      </c>
      <c r="I1814" s="181">
        <f>120034.06+D1813*18</f>
        <v>168493.66</v>
      </c>
      <c r="J1814" s="181">
        <f>I1814/D1813</f>
        <v>62.59</v>
      </c>
      <c r="K1814" s="181">
        <f>151+18</f>
        <v>169</v>
      </c>
    </row>
    <row r="1815" spans="1:11" x14ac:dyDescent="0.35">
      <c r="A1815" s="277">
        <f>A1813+1</f>
        <v>43</v>
      </c>
      <c r="B1815" s="277">
        <v>566</v>
      </c>
      <c r="C1815" s="286" t="s">
        <v>292</v>
      </c>
      <c r="D1815" s="287">
        <v>3195.7</v>
      </c>
      <c r="E1815" s="276" t="s">
        <v>74</v>
      </c>
      <c r="F1815" s="276">
        <v>5</v>
      </c>
      <c r="G1815" s="277" t="s">
        <v>71</v>
      </c>
      <c r="H1815" s="136" t="s">
        <v>72</v>
      </c>
      <c r="I1815" s="181">
        <f>I1816+I1817</f>
        <v>4435942.42</v>
      </c>
      <c r="J1815" s="181">
        <f>J1816+J1817</f>
        <v>1388.1</v>
      </c>
      <c r="K1815" s="181">
        <f>K1816+K1817</f>
        <v>3242</v>
      </c>
    </row>
    <row r="1816" spans="1:11" x14ac:dyDescent="0.35">
      <c r="A1816" s="277">
        <v>75</v>
      </c>
      <c r="B1816" s="277"/>
      <c r="C1816" s="286"/>
      <c r="D1816" s="287"/>
      <c r="E1816" s="276"/>
      <c r="F1816" s="276"/>
      <c r="G1816" s="277"/>
      <c r="H1816" s="136" t="s">
        <v>73</v>
      </c>
      <c r="I1816" s="181">
        <f>6149074.6*0.7</f>
        <v>4304352.22</v>
      </c>
      <c r="J1816" s="181">
        <f>I1816/D1815</f>
        <v>1346.92</v>
      </c>
      <c r="K1816" s="181">
        <v>3174</v>
      </c>
    </row>
    <row r="1817" spans="1:11" x14ac:dyDescent="0.35">
      <c r="A1817" s="277">
        <v>76</v>
      </c>
      <c r="B1817" s="277"/>
      <c r="C1817" s="286"/>
      <c r="D1817" s="287"/>
      <c r="E1817" s="276"/>
      <c r="F1817" s="276"/>
      <c r="G1817" s="277"/>
      <c r="H1817" s="136" t="s">
        <v>75</v>
      </c>
      <c r="I1817" s="181">
        <f>6149074.6*0.0214</f>
        <v>131590.20000000001</v>
      </c>
      <c r="J1817" s="181">
        <f>I1817/D1815</f>
        <v>41.18</v>
      </c>
      <c r="K1817" s="181">
        <v>68</v>
      </c>
    </row>
    <row r="1818" spans="1:11" x14ac:dyDescent="0.35">
      <c r="A1818" s="277">
        <f>A1815+1</f>
        <v>44</v>
      </c>
      <c r="B1818" s="277">
        <v>519</v>
      </c>
      <c r="C1818" s="286" t="s">
        <v>99</v>
      </c>
      <c r="D1818" s="287">
        <v>2547.1999999999998</v>
      </c>
      <c r="E1818" s="276" t="s">
        <v>74</v>
      </c>
      <c r="F1818" s="276">
        <v>5</v>
      </c>
      <c r="G1818" s="277" t="s">
        <v>71</v>
      </c>
      <c r="H1818" s="136" t="s">
        <v>72</v>
      </c>
      <c r="I1818" s="181">
        <f>I1819</f>
        <v>251612.19</v>
      </c>
      <c r="J1818" s="181">
        <f>J1819</f>
        <v>98.78</v>
      </c>
      <c r="K1818" s="181">
        <f>K1819</f>
        <v>169</v>
      </c>
    </row>
    <row r="1819" spans="1:11" ht="46.5" x14ac:dyDescent="0.35">
      <c r="A1819" s="277"/>
      <c r="B1819" s="277"/>
      <c r="C1819" s="286"/>
      <c r="D1819" s="287"/>
      <c r="E1819" s="276"/>
      <c r="F1819" s="276"/>
      <c r="G1819" s="277"/>
      <c r="H1819" s="136" t="s">
        <v>673</v>
      </c>
      <c r="I1819" s="181">
        <f>205762.59+D1818*18</f>
        <v>251612.19</v>
      </c>
      <c r="J1819" s="181">
        <f>I1819/D1818</f>
        <v>98.78</v>
      </c>
      <c r="K1819" s="181">
        <f>151+18</f>
        <v>169</v>
      </c>
    </row>
    <row r="1820" spans="1:11" x14ac:dyDescent="0.35">
      <c r="A1820" s="277">
        <f>A1818+1</f>
        <v>45</v>
      </c>
      <c r="B1820" s="277">
        <v>653</v>
      </c>
      <c r="C1820" s="286" t="s">
        <v>293</v>
      </c>
      <c r="D1820" s="287">
        <v>3054.95</v>
      </c>
      <c r="E1820" s="276" t="s">
        <v>74</v>
      </c>
      <c r="F1820" s="276">
        <v>5</v>
      </c>
      <c r="G1820" s="277" t="s">
        <v>71</v>
      </c>
      <c r="H1820" s="136" t="s">
        <v>72</v>
      </c>
      <c r="I1820" s="181">
        <f>I1821+I1822</f>
        <v>4743351.45</v>
      </c>
      <c r="J1820" s="181">
        <f>J1821+J1822</f>
        <v>1552.68</v>
      </c>
      <c r="K1820" s="181">
        <f>K1821+K1822</f>
        <v>3242</v>
      </c>
    </row>
    <row r="1821" spans="1:11" x14ac:dyDescent="0.35">
      <c r="A1821" s="277">
        <v>75</v>
      </c>
      <c r="B1821" s="277"/>
      <c r="C1821" s="286"/>
      <c r="D1821" s="287"/>
      <c r="E1821" s="276"/>
      <c r="F1821" s="276"/>
      <c r="G1821" s="277"/>
      <c r="H1821" s="136" t="s">
        <v>73</v>
      </c>
      <c r="I1821" s="181">
        <f>6575203.02*0.7</f>
        <v>4602642.1100000003</v>
      </c>
      <c r="J1821" s="181">
        <f>I1821/D1820</f>
        <v>1506.62</v>
      </c>
      <c r="K1821" s="181">
        <v>3174</v>
      </c>
    </row>
    <row r="1822" spans="1:11" x14ac:dyDescent="0.35">
      <c r="A1822" s="277">
        <v>76</v>
      </c>
      <c r="B1822" s="277"/>
      <c r="C1822" s="286"/>
      <c r="D1822" s="287"/>
      <c r="E1822" s="276"/>
      <c r="F1822" s="276"/>
      <c r="G1822" s="277"/>
      <c r="H1822" s="136" t="s">
        <v>75</v>
      </c>
      <c r="I1822" s="181">
        <f>6575203.02*0.0214</f>
        <v>140709.34</v>
      </c>
      <c r="J1822" s="181">
        <f>I1822/D1820</f>
        <v>46.06</v>
      </c>
      <c r="K1822" s="181">
        <v>68</v>
      </c>
    </row>
    <row r="1823" spans="1:11" s="195" customFormat="1" x14ac:dyDescent="0.35">
      <c r="A1823" s="270">
        <f>A1820+1</f>
        <v>46</v>
      </c>
      <c r="B1823" s="270">
        <v>562</v>
      </c>
      <c r="C1823" s="278" t="s">
        <v>537</v>
      </c>
      <c r="D1823" s="273">
        <v>3330.3</v>
      </c>
      <c r="E1823" s="267" t="s">
        <v>74</v>
      </c>
      <c r="F1823" s="267">
        <v>5</v>
      </c>
      <c r="G1823" s="146"/>
      <c r="H1823" s="136" t="s">
        <v>72</v>
      </c>
      <c r="I1823" s="181">
        <f>I1824+I1825+I1826+I1827+I1828+I1829+I1830+I1831+I1832</f>
        <v>13788809.41</v>
      </c>
      <c r="J1823" s="181">
        <f>J1824+J1825+J1826+J1827+J1828+J1829+J1830+J1831+J1832</f>
        <v>4140.41</v>
      </c>
      <c r="K1823" s="181">
        <f>K1824+K1825+K1826+K1827+K1828+K1829+K1830+K1831+K1832</f>
        <v>6466</v>
      </c>
    </row>
    <row r="1824" spans="1:11" x14ac:dyDescent="0.35">
      <c r="A1824" s="271"/>
      <c r="B1824" s="271"/>
      <c r="C1824" s="279"/>
      <c r="D1824" s="274"/>
      <c r="E1824" s="268"/>
      <c r="F1824" s="268"/>
      <c r="G1824" s="270" t="s">
        <v>76</v>
      </c>
      <c r="H1824" s="136" t="s">
        <v>73</v>
      </c>
      <c r="I1824" s="181">
        <v>4254117.7</v>
      </c>
      <c r="J1824" s="181">
        <f>I1824/D1823-0.01</f>
        <v>1277.3900000000001</v>
      </c>
      <c r="K1824" s="181">
        <v>2119</v>
      </c>
    </row>
    <row r="1825" spans="1:11" x14ac:dyDescent="0.35">
      <c r="A1825" s="271"/>
      <c r="B1825" s="271"/>
      <c r="C1825" s="279"/>
      <c r="D1825" s="274"/>
      <c r="E1825" s="268"/>
      <c r="F1825" s="268"/>
      <c r="G1825" s="272"/>
      <c r="H1825" s="136" t="s">
        <v>75</v>
      </c>
      <c r="I1825" s="181">
        <f>I1824*0.0214</f>
        <v>91038.12</v>
      </c>
      <c r="J1825" s="181">
        <f>I1825/D1823</f>
        <v>27.34</v>
      </c>
      <c r="K1825" s="181">
        <v>45</v>
      </c>
    </row>
    <row r="1826" spans="1:11" x14ac:dyDescent="0.35">
      <c r="A1826" s="271"/>
      <c r="B1826" s="271"/>
      <c r="C1826" s="279"/>
      <c r="D1826" s="274"/>
      <c r="E1826" s="268"/>
      <c r="F1826" s="268"/>
      <c r="G1826" s="270" t="s">
        <v>77</v>
      </c>
      <c r="H1826" s="136" t="s">
        <v>73</v>
      </c>
      <c r="I1826" s="181">
        <v>615957.68999999994</v>
      </c>
      <c r="J1826" s="181">
        <f>I1826/D1823</f>
        <v>184.96</v>
      </c>
      <c r="K1826" s="181">
        <v>463</v>
      </c>
    </row>
    <row r="1827" spans="1:11" x14ac:dyDescent="0.35">
      <c r="A1827" s="271"/>
      <c r="B1827" s="271"/>
      <c r="C1827" s="279"/>
      <c r="D1827" s="274"/>
      <c r="E1827" s="268"/>
      <c r="F1827" s="268"/>
      <c r="G1827" s="272"/>
      <c r="H1827" s="136" t="s">
        <v>75</v>
      </c>
      <c r="I1827" s="181">
        <f>I1826*0.0214</f>
        <v>13181.49</v>
      </c>
      <c r="J1827" s="181">
        <f>I1827/D1823</f>
        <v>3.96</v>
      </c>
      <c r="K1827" s="181">
        <v>10</v>
      </c>
    </row>
    <row r="1828" spans="1:11" x14ac:dyDescent="0.35">
      <c r="A1828" s="271"/>
      <c r="B1828" s="271"/>
      <c r="C1828" s="279"/>
      <c r="D1828" s="274"/>
      <c r="E1828" s="268"/>
      <c r="F1828" s="268"/>
      <c r="G1828" s="270" t="s">
        <v>78</v>
      </c>
      <c r="H1828" s="136" t="s">
        <v>73</v>
      </c>
      <c r="I1828" s="181">
        <v>1077846.75</v>
      </c>
      <c r="J1828" s="181">
        <f>I1828/D1823</f>
        <v>323.64999999999998</v>
      </c>
      <c r="K1828" s="181">
        <v>409</v>
      </c>
    </row>
    <row r="1829" spans="1:11" x14ac:dyDescent="0.35">
      <c r="A1829" s="271"/>
      <c r="B1829" s="271"/>
      <c r="C1829" s="279"/>
      <c r="D1829" s="274"/>
      <c r="E1829" s="268"/>
      <c r="F1829" s="268"/>
      <c r="G1829" s="272"/>
      <c r="H1829" s="136" t="s">
        <v>75</v>
      </c>
      <c r="I1829" s="181">
        <f>I1828*0.0214</f>
        <v>23065.919999999998</v>
      </c>
      <c r="J1829" s="181">
        <f>I1829/D1823</f>
        <v>6.93</v>
      </c>
      <c r="K1829" s="181">
        <v>9</v>
      </c>
    </row>
    <row r="1830" spans="1:11" ht="46.5" x14ac:dyDescent="0.35">
      <c r="A1830" s="271"/>
      <c r="B1830" s="271"/>
      <c r="C1830" s="279"/>
      <c r="D1830" s="274"/>
      <c r="E1830" s="268"/>
      <c r="F1830" s="268"/>
      <c r="G1830" s="270" t="s">
        <v>71</v>
      </c>
      <c r="H1830" s="136" t="s">
        <v>673</v>
      </c>
      <c r="I1830" s="181">
        <v>238515.79</v>
      </c>
      <c r="J1830" s="181">
        <f>I1830/D1823</f>
        <v>71.62</v>
      </c>
      <c r="K1830" s="181">
        <f>151+18</f>
        <v>169</v>
      </c>
    </row>
    <row r="1831" spans="1:11" x14ac:dyDescent="0.35">
      <c r="A1831" s="271"/>
      <c r="B1831" s="271"/>
      <c r="C1831" s="279"/>
      <c r="D1831" s="274"/>
      <c r="E1831" s="268"/>
      <c r="F1831" s="268"/>
      <c r="G1831" s="271"/>
      <c r="H1831" s="136" t="s">
        <v>73</v>
      </c>
      <c r="I1831" s="181">
        <v>7318470.6799999997</v>
      </c>
      <c r="J1831" s="181">
        <f>I1831/D1823-0.01</f>
        <v>2197.5300000000002</v>
      </c>
      <c r="K1831" s="181">
        <v>3174</v>
      </c>
    </row>
    <row r="1832" spans="1:11" x14ac:dyDescent="0.35">
      <c r="A1832" s="272"/>
      <c r="B1832" s="272"/>
      <c r="C1832" s="285"/>
      <c r="D1832" s="275"/>
      <c r="E1832" s="269"/>
      <c r="F1832" s="269"/>
      <c r="G1832" s="272"/>
      <c r="H1832" s="136" t="s">
        <v>75</v>
      </c>
      <c r="I1832" s="181">
        <f>I1831*0.0214</f>
        <v>156615.26999999999</v>
      </c>
      <c r="J1832" s="181">
        <f>I1832/D1823</f>
        <v>47.03</v>
      </c>
      <c r="K1832" s="181">
        <v>68</v>
      </c>
    </row>
    <row r="1833" spans="1:11" x14ac:dyDescent="0.35">
      <c r="A1833" s="277">
        <f>A1823+1</f>
        <v>47</v>
      </c>
      <c r="B1833" s="277">
        <v>720</v>
      </c>
      <c r="C1833" s="286" t="s">
        <v>539</v>
      </c>
      <c r="D1833" s="287">
        <v>5022</v>
      </c>
      <c r="E1833" s="276" t="s">
        <v>74</v>
      </c>
      <c r="F1833" s="276">
        <v>5</v>
      </c>
      <c r="G1833" s="277" t="s">
        <v>71</v>
      </c>
      <c r="H1833" s="136" t="s">
        <v>72</v>
      </c>
      <c r="I1833" s="181">
        <f>I1834</f>
        <v>844926.56</v>
      </c>
      <c r="J1833" s="181">
        <f>J1834</f>
        <v>168.25</v>
      </c>
      <c r="K1833" s="181">
        <f>K1834</f>
        <v>169</v>
      </c>
    </row>
    <row r="1834" spans="1:11" ht="46.5" x14ac:dyDescent="0.35">
      <c r="A1834" s="277"/>
      <c r="B1834" s="277"/>
      <c r="C1834" s="286"/>
      <c r="D1834" s="287"/>
      <c r="E1834" s="276"/>
      <c r="F1834" s="276"/>
      <c r="G1834" s="277"/>
      <c r="H1834" s="136" t="s">
        <v>673</v>
      </c>
      <c r="I1834" s="181">
        <f>754530.56+D1833*18</f>
        <v>844926.56</v>
      </c>
      <c r="J1834" s="181">
        <f>I1834/D1833</f>
        <v>168.25</v>
      </c>
      <c r="K1834" s="181">
        <f>151+18</f>
        <v>169</v>
      </c>
    </row>
    <row r="1835" spans="1:11" x14ac:dyDescent="0.35">
      <c r="A1835" s="270">
        <f>A1833+1</f>
        <v>48</v>
      </c>
      <c r="B1835" s="270">
        <v>647</v>
      </c>
      <c r="C1835" s="278" t="s">
        <v>294</v>
      </c>
      <c r="D1835" s="256">
        <f>2513.6+194.6</f>
        <v>2708.2</v>
      </c>
      <c r="E1835" s="351" t="s">
        <v>74</v>
      </c>
      <c r="F1835" s="351">
        <v>9</v>
      </c>
      <c r="G1835" s="146"/>
      <c r="H1835" s="136" t="s">
        <v>72</v>
      </c>
      <c r="I1835" s="181">
        <f>SUM(I1836:I1841)</f>
        <v>9805318.5999999996</v>
      </c>
      <c r="J1835" s="181">
        <f>SUM(J1836:J1841)</f>
        <v>3620.6</v>
      </c>
      <c r="K1835" s="181">
        <f>SUM(K1836:K1841)</f>
        <v>3640</v>
      </c>
    </row>
    <row r="1836" spans="1:11" x14ac:dyDescent="0.35">
      <c r="A1836" s="271"/>
      <c r="B1836" s="271"/>
      <c r="C1836" s="279"/>
      <c r="D1836" s="257"/>
      <c r="E1836" s="352"/>
      <c r="F1836" s="352"/>
      <c r="G1836" s="277" t="s">
        <v>76</v>
      </c>
      <c r="H1836" s="136" t="s">
        <v>73</v>
      </c>
      <c r="I1836" s="181">
        <f>K1836*D1835</f>
        <v>7287766.2000000002</v>
      </c>
      <c r="J1836" s="181">
        <f>I1836/D1835</f>
        <v>2691</v>
      </c>
      <c r="K1836" s="181">
        <v>2691</v>
      </c>
    </row>
    <row r="1837" spans="1:11" x14ac:dyDescent="0.35">
      <c r="A1837" s="271"/>
      <c r="B1837" s="271"/>
      <c r="C1837" s="279"/>
      <c r="D1837" s="257"/>
      <c r="E1837" s="352"/>
      <c r="F1837" s="352"/>
      <c r="G1837" s="277"/>
      <c r="H1837" s="136" t="s">
        <v>75</v>
      </c>
      <c r="I1837" s="181">
        <v>117508</v>
      </c>
      <c r="J1837" s="181">
        <f>I1837/D1835</f>
        <v>43.39</v>
      </c>
      <c r="K1837" s="181">
        <v>58</v>
      </c>
    </row>
    <row r="1838" spans="1:11" x14ac:dyDescent="0.35">
      <c r="A1838" s="271"/>
      <c r="B1838" s="271"/>
      <c r="C1838" s="279"/>
      <c r="D1838" s="257"/>
      <c r="E1838" s="352"/>
      <c r="F1838" s="352"/>
      <c r="G1838" s="277" t="s">
        <v>77</v>
      </c>
      <c r="H1838" s="136" t="s">
        <v>73</v>
      </c>
      <c r="I1838" s="181">
        <f>K1838*D1835</f>
        <v>1253896.6000000001</v>
      </c>
      <c r="J1838" s="181">
        <f>I1838/D1835</f>
        <v>463</v>
      </c>
      <c r="K1838" s="181">
        <v>463</v>
      </c>
    </row>
    <row r="1839" spans="1:11" x14ac:dyDescent="0.35">
      <c r="A1839" s="271"/>
      <c r="B1839" s="271"/>
      <c r="C1839" s="279"/>
      <c r="D1839" s="257"/>
      <c r="E1839" s="352"/>
      <c r="F1839" s="352"/>
      <c r="G1839" s="277"/>
      <c r="H1839" s="136" t="s">
        <v>75</v>
      </c>
      <c r="I1839" s="181">
        <v>20260</v>
      </c>
      <c r="J1839" s="181">
        <f>I1839/D1835</f>
        <v>7.48</v>
      </c>
      <c r="K1839" s="181">
        <v>10</v>
      </c>
    </row>
    <row r="1840" spans="1:11" x14ac:dyDescent="0.35">
      <c r="A1840" s="271"/>
      <c r="B1840" s="271"/>
      <c r="C1840" s="279"/>
      <c r="D1840" s="257"/>
      <c r="E1840" s="352"/>
      <c r="F1840" s="352"/>
      <c r="G1840" s="277" t="s">
        <v>78</v>
      </c>
      <c r="H1840" s="136" t="s">
        <v>73</v>
      </c>
      <c r="I1840" s="181">
        <f>K1840*D1835</f>
        <v>1107653.8</v>
      </c>
      <c r="J1840" s="181">
        <f>I1840/D1835</f>
        <v>409</v>
      </c>
      <c r="K1840" s="181">
        <v>409</v>
      </c>
    </row>
    <row r="1841" spans="1:11" x14ac:dyDescent="0.35">
      <c r="A1841" s="272"/>
      <c r="B1841" s="272"/>
      <c r="C1841" s="285"/>
      <c r="D1841" s="258"/>
      <c r="E1841" s="353"/>
      <c r="F1841" s="353"/>
      <c r="G1841" s="277"/>
      <c r="H1841" s="136" t="s">
        <v>75</v>
      </c>
      <c r="I1841" s="181">
        <v>18234</v>
      </c>
      <c r="J1841" s="181">
        <f>I1841/D1835</f>
        <v>6.73</v>
      </c>
      <c r="K1841" s="181">
        <v>9</v>
      </c>
    </row>
    <row r="1842" spans="1:11" x14ac:dyDescent="0.35">
      <c r="A1842" s="270">
        <f>A1835+1</f>
        <v>49</v>
      </c>
      <c r="B1842" s="270">
        <v>811</v>
      </c>
      <c r="C1842" s="278" t="s">
        <v>713</v>
      </c>
      <c r="D1842" s="273">
        <v>4347.7</v>
      </c>
      <c r="E1842" s="267" t="s">
        <v>70</v>
      </c>
      <c r="F1842" s="267">
        <v>9</v>
      </c>
      <c r="G1842" s="165"/>
      <c r="H1842" s="182" t="s">
        <v>72</v>
      </c>
      <c r="I1842" s="181">
        <f>I1843</f>
        <v>395640.7</v>
      </c>
      <c r="J1842" s="181">
        <f t="shared" ref="J1842:K1842" si="1">J1843</f>
        <v>91</v>
      </c>
      <c r="K1842" s="181">
        <f t="shared" si="1"/>
        <v>91</v>
      </c>
    </row>
    <row r="1843" spans="1:11" ht="46.5" x14ac:dyDescent="0.35">
      <c r="A1843" s="271"/>
      <c r="B1843" s="271"/>
      <c r="C1843" s="279"/>
      <c r="D1843" s="274"/>
      <c r="E1843" s="268"/>
      <c r="F1843" s="268"/>
      <c r="G1843" s="146" t="s">
        <v>76</v>
      </c>
      <c r="H1843" s="182" t="s">
        <v>634</v>
      </c>
      <c r="I1843" s="181">
        <f>D1842*K1843</f>
        <v>395640.7</v>
      </c>
      <c r="J1843" s="181">
        <f>I1843/D1842</f>
        <v>91</v>
      </c>
      <c r="K1843" s="181">
        <f>85+6</f>
        <v>91</v>
      </c>
    </row>
    <row r="1844" spans="1:11" x14ac:dyDescent="0.35">
      <c r="A1844" s="270">
        <f>A1842+1</f>
        <v>50</v>
      </c>
      <c r="B1844" s="270">
        <v>575</v>
      </c>
      <c r="C1844" s="278" t="s">
        <v>540</v>
      </c>
      <c r="D1844" s="273">
        <v>5843.3</v>
      </c>
      <c r="E1844" s="267" t="s">
        <v>74</v>
      </c>
      <c r="F1844" s="267">
        <v>5</v>
      </c>
      <c r="G1844" s="270" t="s">
        <v>83</v>
      </c>
      <c r="H1844" s="136" t="s">
        <v>72</v>
      </c>
      <c r="I1844" s="181">
        <f>I1845</f>
        <v>52589.7</v>
      </c>
      <c r="J1844" s="181">
        <f>J1845</f>
        <v>9</v>
      </c>
      <c r="K1844" s="181">
        <f>K1845</f>
        <v>9</v>
      </c>
    </row>
    <row r="1845" spans="1:11" ht="60" customHeight="1" x14ac:dyDescent="0.35">
      <c r="A1845" s="271"/>
      <c r="B1845" s="271"/>
      <c r="C1845" s="279"/>
      <c r="D1845" s="274"/>
      <c r="E1845" s="268"/>
      <c r="F1845" s="268"/>
      <c r="G1845" s="271"/>
      <c r="H1845" s="136" t="s">
        <v>634</v>
      </c>
      <c r="I1845" s="181">
        <f>D1844*K1845</f>
        <v>52589.7</v>
      </c>
      <c r="J1845" s="181">
        <f>I1845/D1844</f>
        <v>9</v>
      </c>
      <c r="K1845" s="181">
        <f>7+2</f>
        <v>9</v>
      </c>
    </row>
    <row r="1846" spans="1:11" x14ac:dyDescent="0.35">
      <c r="A1846" s="270">
        <f>A1844+1</f>
        <v>51</v>
      </c>
      <c r="B1846" s="270">
        <v>618</v>
      </c>
      <c r="C1846" s="278" t="s">
        <v>541</v>
      </c>
      <c r="D1846" s="273">
        <v>4979.6000000000004</v>
      </c>
      <c r="E1846" s="267" t="s">
        <v>74</v>
      </c>
      <c r="F1846" s="267">
        <v>5</v>
      </c>
      <c r="G1846" s="270" t="s">
        <v>83</v>
      </c>
      <c r="H1846" s="136" t="s">
        <v>72</v>
      </c>
      <c r="I1846" s="181">
        <f>I1847</f>
        <v>44816.4</v>
      </c>
      <c r="J1846" s="181">
        <f>J1847</f>
        <v>9</v>
      </c>
      <c r="K1846" s="181">
        <f>K1847</f>
        <v>9</v>
      </c>
    </row>
    <row r="1847" spans="1:11" ht="58" customHeight="1" x14ac:dyDescent="0.35">
      <c r="A1847" s="271"/>
      <c r="B1847" s="271"/>
      <c r="C1847" s="279"/>
      <c r="D1847" s="274"/>
      <c r="E1847" s="268"/>
      <c r="F1847" s="268"/>
      <c r="G1847" s="271"/>
      <c r="H1847" s="136" t="s">
        <v>634</v>
      </c>
      <c r="I1847" s="181">
        <f>D1846*K1847</f>
        <v>44816.4</v>
      </c>
      <c r="J1847" s="181">
        <f>I1847/D1846</f>
        <v>9</v>
      </c>
      <c r="K1847" s="181">
        <f>7+2</f>
        <v>9</v>
      </c>
    </row>
    <row r="1848" spans="1:11" x14ac:dyDescent="0.35">
      <c r="A1848" s="277">
        <f>A1846+1</f>
        <v>52</v>
      </c>
      <c r="B1848" s="277">
        <v>532</v>
      </c>
      <c r="C1848" s="286" t="s">
        <v>299</v>
      </c>
      <c r="D1848" s="287">
        <v>3750.3</v>
      </c>
      <c r="E1848" s="276" t="s">
        <v>74</v>
      </c>
      <c r="F1848" s="276">
        <v>5</v>
      </c>
      <c r="G1848" s="277" t="s">
        <v>71</v>
      </c>
      <c r="H1848" s="136" t="s">
        <v>72</v>
      </c>
      <c r="I1848" s="181">
        <f>I1849+I1850</f>
        <v>6519561.1399999997</v>
      </c>
      <c r="J1848" s="181">
        <f>J1849+J1850</f>
        <v>1738.41</v>
      </c>
      <c r="K1848" s="181">
        <f>K1849+K1850</f>
        <v>3242</v>
      </c>
    </row>
    <row r="1849" spans="1:11" x14ac:dyDescent="0.35">
      <c r="A1849" s="277">
        <v>75</v>
      </c>
      <c r="B1849" s="277"/>
      <c r="C1849" s="286"/>
      <c r="D1849" s="287"/>
      <c r="E1849" s="276"/>
      <c r="F1849" s="276"/>
      <c r="G1849" s="277"/>
      <c r="H1849" s="136" t="s">
        <v>73</v>
      </c>
      <c r="I1849" s="181">
        <f>9037373.35*0.7</f>
        <v>6326161.3499999996</v>
      </c>
      <c r="J1849" s="181">
        <f>I1849/D1848</f>
        <v>1686.84</v>
      </c>
      <c r="K1849" s="181">
        <v>3174</v>
      </c>
    </row>
    <row r="1850" spans="1:11" x14ac:dyDescent="0.35">
      <c r="A1850" s="277">
        <v>76</v>
      </c>
      <c r="B1850" s="277"/>
      <c r="C1850" s="286"/>
      <c r="D1850" s="287"/>
      <c r="E1850" s="276"/>
      <c r="F1850" s="276"/>
      <c r="G1850" s="277"/>
      <c r="H1850" s="136" t="s">
        <v>75</v>
      </c>
      <c r="I1850" s="181">
        <f>9037373.35*0.0214</f>
        <v>193399.79</v>
      </c>
      <c r="J1850" s="181">
        <f>I1850/D1848</f>
        <v>51.57</v>
      </c>
      <c r="K1850" s="181">
        <v>68</v>
      </c>
    </row>
    <row r="1851" spans="1:11" x14ac:dyDescent="0.35">
      <c r="A1851" s="277">
        <f>A1848+1</f>
        <v>53</v>
      </c>
      <c r="B1851" s="277">
        <v>588</v>
      </c>
      <c r="C1851" s="286" t="s">
        <v>300</v>
      </c>
      <c r="D1851" s="287">
        <v>1171.8</v>
      </c>
      <c r="E1851" s="276" t="s">
        <v>74</v>
      </c>
      <c r="F1851" s="276">
        <v>5</v>
      </c>
      <c r="G1851" s="277" t="s">
        <v>71</v>
      </c>
      <c r="H1851" s="136" t="s">
        <v>72</v>
      </c>
      <c r="I1851" s="181">
        <f>I1852+I1853</f>
        <v>2342551.2400000002</v>
      </c>
      <c r="J1851" s="181">
        <f>J1852+J1853</f>
        <v>1999.11</v>
      </c>
      <c r="K1851" s="181">
        <f>K1852+K1853</f>
        <v>3242</v>
      </c>
    </row>
    <row r="1852" spans="1:11" x14ac:dyDescent="0.35">
      <c r="A1852" s="277">
        <v>75</v>
      </c>
      <c r="B1852" s="277"/>
      <c r="C1852" s="286"/>
      <c r="D1852" s="287"/>
      <c r="E1852" s="276"/>
      <c r="F1852" s="276"/>
      <c r="G1852" s="277"/>
      <c r="H1852" s="136" t="s">
        <v>73</v>
      </c>
      <c r="I1852" s="181">
        <f>3248229.6*0.7</f>
        <v>2273760.7200000002</v>
      </c>
      <c r="J1852" s="181">
        <f>I1852/D1851</f>
        <v>1940.4</v>
      </c>
      <c r="K1852" s="181">
        <v>3174</v>
      </c>
    </row>
    <row r="1853" spans="1:11" x14ac:dyDescent="0.35">
      <c r="A1853" s="277">
        <v>76</v>
      </c>
      <c r="B1853" s="277"/>
      <c r="C1853" s="286"/>
      <c r="D1853" s="287"/>
      <c r="E1853" s="276"/>
      <c r="F1853" s="276"/>
      <c r="G1853" s="277"/>
      <c r="H1853" s="136" t="s">
        <v>75</v>
      </c>
      <c r="I1853" s="181">
        <v>68790.52</v>
      </c>
      <c r="J1853" s="181">
        <f>I1853/D1851</f>
        <v>58.71</v>
      </c>
      <c r="K1853" s="181">
        <v>68</v>
      </c>
    </row>
    <row r="1854" spans="1:11" x14ac:dyDescent="0.35">
      <c r="A1854" s="277">
        <f>A1851+1</f>
        <v>54</v>
      </c>
      <c r="B1854" s="277">
        <v>581</v>
      </c>
      <c r="C1854" s="286" t="s">
        <v>542</v>
      </c>
      <c r="D1854" s="287">
        <v>3817</v>
      </c>
      <c r="E1854" s="276" t="s">
        <v>74</v>
      </c>
      <c r="F1854" s="276">
        <v>5</v>
      </c>
      <c r="G1854" s="277" t="s">
        <v>86</v>
      </c>
      <c r="H1854" s="136" t="s">
        <v>72</v>
      </c>
      <c r="I1854" s="181">
        <f>I1855</f>
        <v>110254.04</v>
      </c>
      <c r="J1854" s="181">
        <f>J1855</f>
        <v>28.88</v>
      </c>
      <c r="K1854" s="181">
        <f>K1855</f>
        <v>29</v>
      </c>
    </row>
    <row r="1855" spans="1:11" ht="46.5" x14ac:dyDescent="0.35">
      <c r="A1855" s="277"/>
      <c r="B1855" s="277"/>
      <c r="C1855" s="286"/>
      <c r="D1855" s="287"/>
      <c r="E1855" s="276"/>
      <c r="F1855" s="276"/>
      <c r="G1855" s="277"/>
      <c r="H1855" s="136" t="s">
        <v>634</v>
      </c>
      <c r="I1855" s="181">
        <f>87352.04+D1854*6</f>
        <v>110254.04</v>
      </c>
      <c r="J1855" s="181">
        <f>I1855/D1854</f>
        <v>28.88</v>
      </c>
      <c r="K1855" s="181">
        <f>23+6</f>
        <v>29</v>
      </c>
    </row>
    <row r="1856" spans="1:11" x14ac:dyDescent="0.35">
      <c r="A1856" s="270">
        <f>A1854+1</f>
        <v>55</v>
      </c>
      <c r="B1856" s="270">
        <v>554</v>
      </c>
      <c r="C1856" s="278" t="s">
        <v>302</v>
      </c>
      <c r="D1856" s="273">
        <v>3545.5</v>
      </c>
      <c r="E1856" s="267" t="s">
        <v>74</v>
      </c>
      <c r="F1856" s="267">
        <v>5</v>
      </c>
      <c r="G1856" s="277" t="s">
        <v>76</v>
      </c>
      <c r="H1856" s="136" t="s">
        <v>72</v>
      </c>
      <c r="I1856" s="181">
        <f>I1857+I1858+I1859+I1860+I1861+I1862</f>
        <v>6135367.8799999999</v>
      </c>
      <c r="J1856" s="181">
        <f>J1857+J1858+J1859+J1860+J1861+J1862</f>
        <v>1730.47</v>
      </c>
      <c r="K1856" s="181">
        <f>K1857+K1858+K1859+K1860+K1861+K1862</f>
        <v>3055</v>
      </c>
    </row>
    <row r="1857" spans="1:11" x14ac:dyDescent="0.35">
      <c r="A1857" s="271"/>
      <c r="B1857" s="271"/>
      <c r="C1857" s="279"/>
      <c r="D1857" s="274"/>
      <c r="E1857" s="268"/>
      <c r="F1857" s="268"/>
      <c r="G1857" s="277"/>
      <c r="H1857" s="136" t="s">
        <v>73</v>
      </c>
      <c r="I1857" s="181">
        <f>6874316.76*0.7</f>
        <v>4812021.7300000004</v>
      </c>
      <c r="J1857" s="181">
        <f>I1857/D1856+0.01</f>
        <v>1357.23</v>
      </c>
      <c r="K1857" s="181">
        <v>2119</v>
      </c>
    </row>
    <row r="1858" spans="1:11" x14ac:dyDescent="0.35">
      <c r="A1858" s="271"/>
      <c r="B1858" s="271"/>
      <c r="C1858" s="279"/>
      <c r="D1858" s="274"/>
      <c r="E1858" s="268"/>
      <c r="F1858" s="268"/>
      <c r="G1858" s="277"/>
      <c r="H1858" s="136" t="s">
        <v>75</v>
      </c>
      <c r="I1858" s="181">
        <v>99999.99</v>
      </c>
      <c r="J1858" s="181">
        <f>I1858/D1856</f>
        <v>28.2</v>
      </c>
      <c r="K1858" s="181">
        <v>45</v>
      </c>
    </row>
    <row r="1859" spans="1:11" x14ac:dyDescent="0.35">
      <c r="A1859" s="271"/>
      <c r="B1859" s="271"/>
      <c r="C1859" s="279"/>
      <c r="D1859" s="274"/>
      <c r="E1859" s="268"/>
      <c r="F1859" s="268"/>
      <c r="G1859" s="277" t="s">
        <v>77</v>
      </c>
      <c r="H1859" s="136" t="s">
        <v>73</v>
      </c>
      <c r="I1859" s="181">
        <f>538322.42*0.7</f>
        <v>376825.69</v>
      </c>
      <c r="J1859" s="181">
        <f>I1859/D1856</f>
        <v>106.28</v>
      </c>
      <c r="K1859" s="181">
        <v>463</v>
      </c>
    </row>
    <row r="1860" spans="1:11" x14ac:dyDescent="0.35">
      <c r="A1860" s="271"/>
      <c r="B1860" s="271"/>
      <c r="C1860" s="279"/>
      <c r="D1860" s="274"/>
      <c r="E1860" s="268"/>
      <c r="F1860" s="268"/>
      <c r="G1860" s="277"/>
      <c r="H1860" s="136" t="s">
        <v>75</v>
      </c>
      <c r="I1860" s="181">
        <f>538322.42*0.0214</f>
        <v>11520.1</v>
      </c>
      <c r="J1860" s="181">
        <f>I1860/D1856</f>
        <v>3.25</v>
      </c>
      <c r="K1860" s="181">
        <v>10</v>
      </c>
    </row>
    <row r="1861" spans="1:11" x14ac:dyDescent="0.35">
      <c r="A1861" s="271"/>
      <c r="B1861" s="271"/>
      <c r="C1861" s="279"/>
      <c r="D1861" s="274"/>
      <c r="E1861" s="268"/>
      <c r="F1861" s="268"/>
      <c r="G1861" s="277" t="s">
        <v>78</v>
      </c>
      <c r="H1861" s="136" t="s">
        <v>73</v>
      </c>
      <c r="I1861" s="181">
        <f>1157472.1*0.7</f>
        <v>810230.47</v>
      </c>
      <c r="J1861" s="181">
        <f>I1861/D1856</f>
        <v>228.52</v>
      </c>
      <c r="K1861" s="181">
        <v>409</v>
      </c>
    </row>
    <row r="1862" spans="1:11" x14ac:dyDescent="0.35">
      <c r="A1862" s="272"/>
      <c r="B1862" s="272"/>
      <c r="C1862" s="285"/>
      <c r="D1862" s="275"/>
      <c r="E1862" s="269"/>
      <c r="F1862" s="269"/>
      <c r="G1862" s="277"/>
      <c r="H1862" s="136" t="s">
        <v>75</v>
      </c>
      <c r="I1862" s="181">
        <f>1157472.1*0.0214</f>
        <v>24769.9</v>
      </c>
      <c r="J1862" s="181">
        <f>I1862/D1856</f>
        <v>6.99</v>
      </c>
      <c r="K1862" s="181">
        <v>9</v>
      </c>
    </row>
    <row r="1863" spans="1:11" x14ac:dyDescent="0.35">
      <c r="A1863" s="270">
        <f>A1856+1</f>
        <v>56</v>
      </c>
      <c r="B1863" s="270">
        <v>357</v>
      </c>
      <c r="C1863" s="278" t="s">
        <v>543</v>
      </c>
      <c r="D1863" s="273">
        <v>2588.5700000000002</v>
      </c>
      <c r="E1863" s="273" t="s">
        <v>74</v>
      </c>
      <c r="F1863" s="282">
        <v>4</v>
      </c>
      <c r="G1863" s="165"/>
      <c r="H1863" s="136" t="s">
        <v>72</v>
      </c>
      <c r="I1863" s="181">
        <f>I1864+I1865</f>
        <v>314172.27</v>
      </c>
      <c r="J1863" s="181">
        <f>J1864+J1865</f>
        <v>121.37</v>
      </c>
      <c r="K1863" s="181">
        <f>K1864+K1865</f>
        <v>314</v>
      </c>
    </row>
    <row r="1864" spans="1:11" ht="46.5" x14ac:dyDescent="0.35">
      <c r="A1864" s="271"/>
      <c r="B1864" s="271"/>
      <c r="C1864" s="279"/>
      <c r="D1864" s="274"/>
      <c r="E1864" s="274"/>
      <c r="F1864" s="283"/>
      <c r="G1864" s="141" t="s">
        <v>71</v>
      </c>
      <c r="H1864" s="136" t="s">
        <v>673</v>
      </c>
      <c r="I1864" s="181">
        <v>200275.19</v>
      </c>
      <c r="J1864" s="181">
        <f>I1864/D1863</f>
        <v>77.37</v>
      </c>
      <c r="K1864" s="181">
        <f>151+88</f>
        <v>239</v>
      </c>
    </row>
    <row r="1865" spans="1:11" ht="46.5" x14ac:dyDescent="0.35">
      <c r="A1865" s="271"/>
      <c r="B1865" s="271"/>
      <c r="C1865" s="279"/>
      <c r="D1865" s="274"/>
      <c r="E1865" s="274"/>
      <c r="F1865" s="283"/>
      <c r="G1865" s="141" t="s">
        <v>84</v>
      </c>
      <c r="H1865" s="136" t="s">
        <v>673</v>
      </c>
      <c r="I1865" s="181">
        <v>113897.08</v>
      </c>
      <c r="J1865" s="181">
        <f>I1865/D1863</f>
        <v>44</v>
      </c>
      <c r="K1865" s="181">
        <f>63+12</f>
        <v>75</v>
      </c>
    </row>
    <row r="1866" spans="1:11" x14ac:dyDescent="0.35">
      <c r="A1866" s="270">
        <f>A1863+1</f>
        <v>57</v>
      </c>
      <c r="B1866" s="270">
        <v>812</v>
      </c>
      <c r="C1866" s="278" t="s">
        <v>714</v>
      </c>
      <c r="D1866" s="273">
        <v>3238.46</v>
      </c>
      <c r="E1866" s="267" t="s">
        <v>74</v>
      </c>
      <c r="F1866" s="267">
        <v>5</v>
      </c>
      <c r="G1866" s="167"/>
      <c r="H1866" s="136" t="s">
        <v>72</v>
      </c>
      <c r="I1866" s="181">
        <f>I1867+I1868+I1869</f>
        <v>456622.86</v>
      </c>
      <c r="J1866" s="181">
        <f>J1867+J1868+J1869</f>
        <v>141</v>
      </c>
      <c r="K1866" s="181">
        <f>K1867+K1868+K1869</f>
        <v>141</v>
      </c>
    </row>
    <row r="1867" spans="1:11" ht="46.5" x14ac:dyDescent="0.35">
      <c r="A1867" s="271"/>
      <c r="B1867" s="271"/>
      <c r="C1867" s="279"/>
      <c r="D1867" s="274"/>
      <c r="E1867" s="268"/>
      <c r="F1867" s="268"/>
      <c r="G1867" s="141" t="s">
        <v>76</v>
      </c>
      <c r="H1867" s="136" t="s">
        <v>634</v>
      </c>
      <c r="I1867" s="181">
        <f>D1866*K1867</f>
        <v>294699.86</v>
      </c>
      <c r="J1867" s="181">
        <f>I1867/D1866</f>
        <v>91</v>
      </c>
      <c r="K1867" s="181">
        <f>85+6</f>
        <v>91</v>
      </c>
    </row>
    <row r="1868" spans="1:11" ht="46.5" x14ac:dyDescent="0.35">
      <c r="A1868" s="271"/>
      <c r="B1868" s="271"/>
      <c r="C1868" s="279"/>
      <c r="D1868" s="274"/>
      <c r="E1868" s="268"/>
      <c r="F1868" s="268"/>
      <c r="G1868" s="141" t="s">
        <v>77</v>
      </c>
      <c r="H1868" s="136" t="s">
        <v>634</v>
      </c>
      <c r="I1868" s="181">
        <f>D1866*K1868</f>
        <v>87438.42</v>
      </c>
      <c r="J1868" s="181">
        <f>I1868/D1866</f>
        <v>27</v>
      </c>
      <c r="K1868" s="181">
        <f>19+8</f>
        <v>27</v>
      </c>
    </row>
    <row r="1869" spans="1:11" ht="46.5" x14ac:dyDescent="0.35">
      <c r="A1869" s="271"/>
      <c r="B1869" s="271"/>
      <c r="C1869" s="279"/>
      <c r="D1869" s="274"/>
      <c r="E1869" s="268"/>
      <c r="F1869" s="268"/>
      <c r="G1869" s="196" t="s">
        <v>78</v>
      </c>
      <c r="H1869" s="136" t="s">
        <v>634</v>
      </c>
      <c r="I1869" s="181">
        <f>D1866*K1869</f>
        <v>74484.58</v>
      </c>
      <c r="J1869" s="181">
        <f>I1869/D1866</f>
        <v>23</v>
      </c>
      <c r="K1869" s="181">
        <f>16+7</f>
        <v>23</v>
      </c>
    </row>
    <row r="1870" spans="1:11" x14ac:dyDescent="0.35">
      <c r="A1870" s="277">
        <f>A1866+1</f>
        <v>58</v>
      </c>
      <c r="B1870" s="277">
        <v>576</v>
      </c>
      <c r="C1870" s="286" t="s">
        <v>304</v>
      </c>
      <c r="D1870" s="287">
        <v>2984.6</v>
      </c>
      <c r="E1870" s="276" t="s">
        <v>74</v>
      </c>
      <c r="F1870" s="276">
        <v>5</v>
      </c>
      <c r="G1870" s="277" t="s">
        <v>71</v>
      </c>
      <c r="H1870" s="136" t="s">
        <v>72</v>
      </c>
      <c r="I1870" s="181">
        <f>I1871+I1872</f>
        <v>5477861.7800000003</v>
      </c>
      <c r="J1870" s="181">
        <f>J1871+J1872</f>
        <v>1835.38</v>
      </c>
      <c r="K1870" s="181">
        <f>K1871+K1872</f>
        <v>3242</v>
      </c>
    </row>
    <row r="1871" spans="1:11" x14ac:dyDescent="0.35">
      <c r="A1871" s="277">
        <v>75</v>
      </c>
      <c r="B1871" s="277"/>
      <c r="C1871" s="286"/>
      <c r="D1871" s="287"/>
      <c r="E1871" s="276"/>
      <c r="F1871" s="276"/>
      <c r="G1871" s="277"/>
      <c r="H1871" s="136" t="s">
        <v>73</v>
      </c>
      <c r="I1871" s="181">
        <f>7593376.45*0.7</f>
        <v>5315363.5199999996</v>
      </c>
      <c r="J1871" s="181">
        <f>I1871/D1870</f>
        <v>1780.93</v>
      </c>
      <c r="K1871" s="181">
        <v>3174</v>
      </c>
    </row>
    <row r="1872" spans="1:11" x14ac:dyDescent="0.35">
      <c r="A1872" s="277">
        <v>76</v>
      </c>
      <c r="B1872" s="277"/>
      <c r="C1872" s="286"/>
      <c r="D1872" s="287"/>
      <c r="E1872" s="276"/>
      <c r="F1872" s="276"/>
      <c r="G1872" s="277"/>
      <c r="H1872" s="136" t="s">
        <v>75</v>
      </c>
      <c r="I1872" s="181">
        <f>7593376.45*0.0214</f>
        <v>162498.26</v>
      </c>
      <c r="J1872" s="181">
        <f>I1872/D1870</f>
        <v>54.45</v>
      </c>
      <c r="K1872" s="181">
        <v>68</v>
      </c>
    </row>
    <row r="1873" spans="1:11" x14ac:dyDescent="0.35">
      <c r="A1873" s="270">
        <f>A1870+1</f>
        <v>59</v>
      </c>
      <c r="B1873" s="270">
        <v>572</v>
      </c>
      <c r="C1873" s="278" t="s">
        <v>544</v>
      </c>
      <c r="D1873" s="273">
        <v>4481.4799999999996</v>
      </c>
      <c r="E1873" s="267" t="s">
        <v>74</v>
      </c>
      <c r="F1873" s="267">
        <v>5</v>
      </c>
      <c r="G1873" s="167"/>
      <c r="H1873" s="136" t="s">
        <v>72</v>
      </c>
      <c r="I1873" s="181">
        <f>I1874+I1875+I1876+I1877</f>
        <v>523430.63</v>
      </c>
      <c r="J1873" s="181">
        <f>J1874+J1875+J1876+J1877</f>
        <v>116.8</v>
      </c>
      <c r="K1873" s="181">
        <f>K1874+K1875+K1876+K1877</f>
        <v>170</v>
      </c>
    </row>
    <row r="1874" spans="1:11" ht="58.5" customHeight="1" x14ac:dyDescent="0.35">
      <c r="A1874" s="271"/>
      <c r="B1874" s="271"/>
      <c r="C1874" s="279"/>
      <c r="D1874" s="274"/>
      <c r="E1874" s="268"/>
      <c r="F1874" s="268"/>
      <c r="G1874" s="141" t="s">
        <v>86</v>
      </c>
      <c r="H1874" s="136" t="s">
        <v>634</v>
      </c>
      <c r="I1874" s="181">
        <f>102558.67+D1873*6</f>
        <v>129447.55</v>
      </c>
      <c r="J1874" s="181">
        <f>I1874/D1873</f>
        <v>28.89</v>
      </c>
      <c r="K1874" s="181">
        <f>23+6</f>
        <v>29</v>
      </c>
    </row>
    <row r="1875" spans="1:11" ht="62" customHeight="1" x14ac:dyDescent="0.35">
      <c r="A1875" s="271"/>
      <c r="B1875" s="271"/>
      <c r="C1875" s="279"/>
      <c r="D1875" s="274"/>
      <c r="E1875" s="268"/>
      <c r="F1875" s="268"/>
      <c r="G1875" s="141" t="s">
        <v>76</v>
      </c>
      <c r="H1875" s="136" t="s">
        <v>634</v>
      </c>
      <c r="I1875" s="181">
        <v>226507.87</v>
      </c>
      <c r="J1875" s="181">
        <f>I1875/D1873</f>
        <v>50.54</v>
      </c>
      <c r="K1875" s="181">
        <f>85+6</f>
        <v>91</v>
      </c>
    </row>
    <row r="1876" spans="1:11" ht="56.5" customHeight="1" x14ac:dyDescent="0.35">
      <c r="A1876" s="271"/>
      <c r="B1876" s="271"/>
      <c r="C1876" s="279"/>
      <c r="D1876" s="274"/>
      <c r="E1876" s="268"/>
      <c r="F1876" s="268"/>
      <c r="G1876" s="141" t="s">
        <v>77</v>
      </c>
      <c r="H1876" s="136" t="s">
        <v>634</v>
      </c>
      <c r="I1876" s="181">
        <v>92352.42</v>
      </c>
      <c r="J1876" s="181">
        <f>I1876/D1873</f>
        <v>20.61</v>
      </c>
      <c r="K1876" s="181">
        <f>19+8</f>
        <v>27</v>
      </c>
    </row>
    <row r="1877" spans="1:11" ht="56.5" customHeight="1" x14ac:dyDescent="0.35">
      <c r="A1877" s="271"/>
      <c r="B1877" s="271"/>
      <c r="C1877" s="279"/>
      <c r="D1877" s="274"/>
      <c r="E1877" s="268"/>
      <c r="F1877" s="268"/>
      <c r="G1877" s="141" t="s">
        <v>78</v>
      </c>
      <c r="H1877" s="136" t="s">
        <v>634</v>
      </c>
      <c r="I1877" s="181">
        <v>75122.789999999994</v>
      </c>
      <c r="J1877" s="181">
        <f>I1877/D1873</f>
        <v>16.760000000000002</v>
      </c>
      <c r="K1877" s="181">
        <f>16+7</f>
        <v>23</v>
      </c>
    </row>
    <row r="1878" spans="1:11" x14ac:dyDescent="0.35">
      <c r="A1878" s="277">
        <f>A1873+1</f>
        <v>60</v>
      </c>
      <c r="B1878" s="277">
        <v>587</v>
      </c>
      <c r="C1878" s="286" t="s">
        <v>305</v>
      </c>
      <c r="D1878" s="287">
        <v>1802</v>
      </c>
      <c r="E1878" s="276" t="s">
        <v>74</v>
      </c>
      <c r="F1878" s="276">
        <v>5</v>
      </c>
      <c r="G1878" s="277" t="s">
        <v>71</v>
      </c>
      <c r="H1878" s="136" t="s">
        <v>72</v>
      </c>
      <c r="I1878" s="181">
        <f>I1879+I1880</f>
        <v>2731657.7</v>
      </c>
      <c r="J1878" s="181">
        <f>J1879+J1880</f>
        <v>1515.9</v>
      </c>
      <c r="K1878" s="181">
        <f>K1879+K1880</f>
        <v>3242</v>
      </c>
    </row>
    <row r="1879" spans="1:11" x14ac:dyDescent="0.35">
      <c r="A1879" s="277">
        <v>75</v>
      </c>
      <c r="B1879" s="277"/>
      <c r="C1879" s="286"/>
      <c r="D1879" s="287"/>
      <c r="E1879" s="276"/>
      <c r="F1879" s="276"/>
      <c r="G1879" s="277"/>
      <c r="H1879" s="136" t="s">
        <v>73</v>
      </c>
      <c r="I1879" s="181">
        <f>3786606.18*0.7</f>
        <v>2650624.33</v>
      </c>
      <c r="J1879" s="181">
        <f>I1879/D1878</f>
        <v>1470.93</v>
      </c>
      <c r="K1879" s="181">
        <v>3174</v>
      </c>
    </row>
    <row r="1880" spans="1:11" x14ac:dyDescent="0.35">
      <c r="A1880" s="277">
        <v>76</v>
      </c>
      <c r="B1880" s="277"/>
      <c r="C1880" s="286"/>
      <c r="D1880" s="287"/>
      <c r="E1880" s="276"/>
      <c r="F1880" s="276"/>
      <c r="G1880" s="277"/>
      <c r="H1880" s="136" t="s">
        <v>75</v>
      </c>
      <c r="I1880" s="181">
        <f>3786606.18*0.0214</f>
        <v>81033.37</v>
      </c>
      <c r="J1880" s="181">
        <f>I1880/D1878</f>
        <v>44.97</v>
      </c>
      <c r="K1880" s="181">
        <v>68</v>
      </c>
    </row>
    <row r="1881" spans="1:11" x14ac:dyDescent="0.35">
      <c r="A1881" s="277">
        <f>A1878+1</f>
        <v>61</v>
      </c>
      <c r="B1881" s="277">
        <v>892</v>
      </c>
      <c r="C1881" s="286" t="s">
        <v>715</v>
      </c>
      <c r="D1881" s="287">
        <v>5909.15</v>
      </c>
      <c r="E1881" s="276" t="s">
        <v>74</v>
      </c>
      <c r="F1881" s="276">
        <v>6</v>
      </c>
      <c r="G1881" s="277" t="s">
        <v>71</v>
      </c>
      <c r="H1881" s="136" t="s">
        <v>72</v>
      </c>
      <c r="I1881" s="181">
        <f>I1882</f>
        <v>207507.86</v>
      </c>
      <c r="J1881" s="181">
        <f>J1882</f>
        <v>35.119999999999997</v>
      </c>
      <c r="K1881" s="181">
        <f>K1882</f>
        <v>169</v>
      </c>
    </row>
    <row r="1882" spans="1:11" ht="46.5" x14ac:dyDescent="0.35">
      <c r="A1882" s="277"/>
      <c r="B1882" s="277"/>
      <c r="C1882" s="286"/>
      <c r="D1882" s="287"/>
      <c r="E1882" s="276"/>
      <c r="F1882" s="276"/>
      <c r="G1882" s="277"/>
      <c r="H1882" s="182" t="s">
        <v>673</v>
      </c>
      <c r="I1882" s="181">
        <f>101143.16+D1881*18</f>
        <v>207507.86</v>
      </c>
      <c r="J1882" s="181">
        <f>I1882/D1881</f>
        <v>35.119999999999997</v>
      </c>
      <c r="K1882" s="181">
        <f>151+18</f>
        <v>169</v>
      </c>
    </row>
    <row r="1883" spans="1:11" x14ac:dyDescent="0.35">
      <c r="A1883" s="277">
        <f>A1881+1</f>
        <v>62</v>
      </c>
      <c r="B1883" s="277">
        <v>828</v>
      </c>
      <c r="C1883" s="286" t="s">
        <v>716</v>
      </c>
      <c r="D1883" s="287">
        <v>11340.2</v>
      </c>
      <c r="E1883" s="276" t="s">
        <v>70</v>
      </c>
      <c r="F1883" s="276">
        <v>10</v>
      </c>
      <c r="G1883" s="277" t="s">
        <v>71</v>
      </c>
      <c r="H1883" s="136" t="s">
        <v>72</v>
      </c>
      <c r="I1883" s="181">
        <f>I1884</f>
        <v>956467.76</v>
      </c>
      <c r="J1883" s="181">
        <f>J1884</f>
        <v>84.34</v>
      </c>
      <c r="K1883" s="181">
        <f>K1884</f>
        <v>164</v>
      </c>
    </row>
    <row r="1884" spans="1:11" ht="46.5" x14ac:dyDescent="0.35">
      <c r="A1884" s="277"/>
      <c r="B1884" s="277"/>
      <c r="C1884" s="286"/>
      <c r="D1884" s="287"/>
      <c r="E1884" s="276"/>
      <c r="F1884" s="276"/>
      <c r="G1884" s="277"/>
      <c r="H1884" s="136" t="s">
        <v>673</v>
      </c>
      <c r="I1884" s="181">
        <f>809045.16+D1883*13</f>
        <v>956467.76</v>
      </c>
      <c r="J1884" s="181">
        <f>I1884/D1883</f>
        <v>84.34</v>
      </c>
      <c r="K1884" s="181">
        <f>151+13</f>
        <v>164</v>
      </c>
    </row>
    <row r="1885" spans="1:11" x14ac:dyDescent="0.35">
      <c r="A1885" s="270">
        <f>A1883+1</f>
        <v>63</v>
      </c>
      <c r="B1885" s="270">
        <v>283</v>
      </c>
      <c r="C1885" s="278" t="s">
        <v>100</v>
      </c>
      <c r="D1885" s="273">
        <v>2005.9</v>
      </c>
      <c r="E1885" s="267" t="s">
        <v>74</v>
      </c>
      <c r="F1885" s="267">
        <v>3</v>
      </c>
      <c r="G1885" s="167"/>
      <c r="H1885" s="136" t="s">
        <v>72</v>
      </c>
      <c r="I1885" s="181">
        <f>I1886+I1887+I1888+I1889</f>
        <v>863723.76</v>
      </c>
      <c r="J1885" s="181">
        <f>J1886+J1887+J1888+J1889</f>
        <v>430.59</v>
      </c>
      <c r="K1885" s="181">
        <f>K1886+K1887+K1888+K1889</f>
        <v>627</v>
      </c>
    </row>
    <row r="1886" spans="1:11" ht="46.5" x14ac:dyDescent="0.35">
      <c r="A1886" s="271"/>
      <c r="B1886" s="271"/>
      <c r="C1886" s="279"/>
      <c r="D1886" s="274"/>
      <c r="E1886" s="268"/>
      <c r="F1886" s="268"/>
      <c r="G1886" s="270" t="s">
        <v>84</v>
      </c>
      <c r="H1886" s="136" t="s">
        <v>673</v>
      </c>
      <c r="I1886" s="181">
        <f>D1885*K1886</f>
        <v>150442.5</v>
      </c>
      <c r="J1886" s="181">
        <f>I1886/D1885</f>
        <v>75</v>
      </c>
      <c r="K1886" s="181">
        <f>63+12</f>
        <v>75</v>
      </c>
    </row>
    <row r="1887" spans="1:11" ht="46.5" x14ac:dyDescent="0.35">
      <c r="A1887" s="271"/>
      <c r="B1887" s="271"/>
      <c r="C1887" s="279"/>
      <c r="D1887" s="274"/>
      <c r="E1887" s="268"/>
      <c r="F1887" s="268"/>
      <c r="G1887" s="272"/>
      <c r="H1887" s="182" t="s">
        <v>674</v>
      </c>
      <c r="I1887" s="181">
        <f>D1885*K1887</f>
        <v>369085.6</v>
      </c>
      <c r="J1887" s="181">
        <f>I1887/D1885</f>
        <v>184</v>
      </c>
      <c r="K1887" s="181">
        <f>156+28</f>
        <v>184</v>
      </c>
    </row>
    <row r="1888" spans="1:11" ht="46.5" x14ac:dyDescent="0.35">
      <c r="A1888" s="271"/>
      <c r="B1888" s="271"/>
      <c r="C1888" s="279"/>
      <c r="D1888" s="274"/>
      <c r="E1888" s="268"/>
      <c r="F1888" s="268"/>
      <c r="G1888" s="141" t="s">
        <v>71</v>
      </c>
      <c r="H1888" s="136" t="s">
        <v>673</v>
      </c>
      <c r="I1888" s="181">
        <f>147475.53+D1885*18</f>
        <v>183581.73</v>
      </c>
      <c r="J1888" s="181">
        <f>I1888/D1885</f>
        <v>91.52</v>
      </c>
      <c r="K1888" s="181">
        <f>151+88</f>
        <v>239</v>
      </c>
    </row>
    <row r="1889" spans="1:11" ht="46.5" x14ac:dyDescent="0.35">
      <c r="A1889" s="271"/>
      <c r="B1889" s="271"/>
      <c r="C1889" s="279"/>
      <c r="D1889" s="274"/>
      <c r="E1889" s="268"/>
      <c r="F1889" s="268"/>
      <c r="G1889" s="141" t="s">
        <v>76</v>
      </c>
      <c r="H1889" s="136" t="s">
        <v>634</v>
      </c>
      <c r="I1889" s="181">
        <v>160613.93</v>
      </c>
      <c r="J1889" s="181">
        <f>I1889/D1885</f>
        <v>80.069999999999993</v>
      </c>
      <c r="K1889" s="181">
        <f>108+21</f>
        <v>129</v>
      </c>
    </row>
    <row r="1890" spans="1:11" x14ac:dyDescent="0.35">
      <c r="A1890" s="270">
        <f>A1885+1</f>
        <v>64</v>
      </c>
      <c r="B1890" s="270">
        <v>599</v>
      </c>
      <c r="C1890" s="278" t="s">
        <v>312</v>
      </c>
      <c r="D1890" s="273">
        <v>3148.6</v>
      </c>
      <c r="E1890" s="273" t="s">
        <v>74</v>
      </c>
      <c r="F1890" s="282">
        <v>5</v>
      </c>
      <c r="G1890" s="165"/>
      <c r="H1890" s="136" t="s">
        <v>72</v>
      </c>
      <c r="I1890" s="181">
        <f>I1891+I1892</f>
        <v>183248.51</v>
      </c>
      <c r="J1890" s="181">
        <f>J1891+J1892</f>
        <v>58.2</v>
      </c>
      <c r="K1890" s="181">
        <f>K1891+K1892</f>
        <v>173</v>
      </c>
    </row>
    <row r="1891" spans="1:11" ht="46.5" x14ac:dyDescent="0.35">
      <c r="A1891" s="271"/>
      <c r="B1891" s="271"/>
      <c r="C1891" s="279"/>
      <c r="D1891" s="274"/>
      <c r="E1891" s="274"/>
      <c r="F1891" s="283"/>
      <c r="G1891" s="270" t="s">
        <v>83</v>
      </c>
      <c r="H1891" s="136" t="s">
        <v>634</v>
      </c>
      <c r="I1891" s="181">
        <f>22040.19+2*D1890</f>
        <v>28337.39</v>
      </c>
      <c r="J1891" s="181">
        <f>I1891/D1890</f>
        <v>9</v>
      </c>
      <c r="K1891" s="181">
        <f>7+2</f>
        <v>9</v>
      </c>
    </row>
    <row r="1892" spans="1:11" x14ac:dyDescent="0.35">
      <c r="A1892" s="272"/>
      <c r="B1892" s="272"/>
      <c r="C1892" s="285"/>
      <c r="D1892" s="275"/>
      <c r="E1892" s="275"/>
      <c r="F1892" s="284"/>
      <c r="G1892" s="272"/>
      <c r="H1892" s="136" t="s">
        <v>73</v>
      </c>
      <c r="I1892" s="181">
        <f>K1892*D1890*0.3</f>
        <v>154911.12</v>
      </c>
      <c r="J1892" s="181">
        <f>I1892/D1890</f>
        <v>49.2</v>
      </c>
      <c r="K1892" s="181">
        <v>164</v>
      </c>
    </row>
    <row r="1893" spans="1:11" x14ac:dyDescent="0.35">
      <c r="A1893" s="270">
        <f>A1890+1</f>
        <v>65</v>
      </c>
      <c r="B1893" s="270">
        <v>453</v>
      </c>
      <c r="C1893" s="278" t="s">
        <v>313</v>
      </c>
      <c r="D1893" s="273">
        <v>2382.92</v>
      </c>
      <c r="E1893" s="267" t="s">
        <v>74</v>
      </c>
      <c r="F1893" s="267">
        <v>5</v>
      </c>
      <c r="G1893" s="167"/>
      <c r="H1893" s="136" t="s">
        <v>72</v>
      </c>
      <c r="I1893" s="181">
        <f>I1894</f>
        <v>57190.080000000002</v>
      </c>
      <c r="J1893" s="181">
        <f>J1894</f>
        <v>24</v>
      </c>
      <c r="K1893" s="181">
        <f>K1894</f>
        <v>24</v>
      </c>
    </row>
    <row r="1894" spans="1:11" ht="46.5" x14ac:dyDescent="0.35">
      <c r="A1894" s="271"/>
      <c r="B1894" s="271"/>
      <c r="C1894" s="279"/>
      <c r="D1894" s="274"/>
      <c r="E1894" s="268"/>
      <c r="F1894" s="268"/>
      <c r="G1894" s="141" t="s">
        <v>83</v>
      </c>
      <c r="H1894" s="136" t="s">
        <v>634</v>
      </c>
      <c r="I1894" s="181">
        <f>D1893*K1894</f>
        <v>57190.080000000002</v>
      </c>
      <c r="J1894" s="181">
        <f>I1894/D1893</f>
        <v>24</v>
      </c>
      <c r="K1894" s="181">
        <f>11+13</f>
        <v>24</v>
      </c>
    </row>
    <row r="1895" spans="1:11" x14ac:dyDescent="0.35">
      <c r="A1895" s="270">
        <f>A1893+1</f>
        <v>66</v>
      </c>
      <c r="B1895" s="270">
        <v>877</v>
      </c>
      <c r="C1895" s="278" t="s">
        <v>717</v>
      </c>
      <c r="D1895" s="273">
        <v>1533.7</v>
      </c>
      <c r="E1895" s="267" t="s">
        <v>74</v>
      </c>
      <c r="F1895" s="267">
        <v>5</v>
      </c>
      <c r="G1895" s="167"/>
      <c r="H1895" s="136" t="s">
        <v>72</v>
      </c>
      <c r="I1895" s="181">
        <f>I1896+I1897+I1898</f>
        <v>274532.3</v>
      </c>
      <c r="J1895" s="181">
        <f>J1896+J1897+J1898</f>
        <v>179</v>
      </c>
      <c r="K1895" s="181">
        <f>K1896+K1897+K1898</f>
        <v>179</v>
      </c>
    </row>
    <row r="1896" spans="1:11" ht="46.5" x14ac:dyDescent="0.35">
      <c r="A1896" s="271"/>
      <c r="B1896" s="271"/>
      <c r="C1896" s="279"/>
      <c r="D1896" s="274"/>
      <c r="E1896" s="268"/>
      <c r="F1896" s="268"/>
      <c r="G1896" s="141" t="s">
        <v>76</v>
      </c>
      <c r="H1896" s="136" t="s">
        <v>634</v>
      </c>
      <c r="I1896" s="181">
        <f>D1895*K1896</f>
        <v>197847.3</v>
      </c>
      <c r="J1896" s="181">
        <f>I1896/D1895</f>
        <v>129</v>
      </c>
      <c r="K1896" s="181">
        <f>108+21</f>
        <v>129</v>
      </c>
    </row>
    <row r="1897" spans="1:11" ht="46.5" x14ac:dyDescent="0.35">
      <c r="A1897" s="271"/>
      <c r="B1897" s="271"/>
      <c r="C1897" s="279"/>
      <c r="D1897" s="274"/>
      <c r="E1897" s="268"/>
      <c r="F1897" s="268"/>
      <c r="G1897" s="141" t="s">
        <v>77</v>
      </c>
      <c r="H1897" s="136" t="s">
        <v>634</v>
      </c>
      <c r="I1897" s="181">
        <f>D1895*K1897</f>
        <v>41409.9</v>
      </c>
      <c r="J1897" s="181">
        <f>I1897/D1895</f>
        <v>27</v>
      </c>
      <c r="K1897" s="181">
        <f>19+8</f>
        <v>27</v>
      </c>
    </row>
    <row r="1898" spans="1:11" ht="46.5" x14ac:dyDescent="0.35">
      <c r="A1898" s="271"/>
      <c r="B1898" s="271"/>
      <c r="C1898" s="279"/>
      <c r="D1898" s="274"/>
      <c r="E1898" s="268"/>
      <c r="F1898" s="268"/>
      <c r="G1898" s="141" t="s">
        <v>78</v>
      </c>
      <c r="H1898" s="136" t="s">
        <v>634</v>
      </c>
      <c r="I1898" s="181">
        <f>D1895*K1898</f>
        <v>35275.1</v>
      </c>
      <c r="J1898" s="181">
        <f>I1898/D1895</f>
        <v>23</v>
      </c>
      <c r="K1898" s="181">
        <f>16+7</f>
        <v>23</v>
      </c>
    </row>
    <row r="1899" spans="1:11" x14ac:dyDescent="0.35">
      <c r="A1899" s="270">
        <f>A1895+1</f>
        <v>67</v>
      </c>
      <c r="B1899" s="270">
        <v>514</v>
      </c>
      <c r="C1899" s="278" t="s">
        <v>101</v>
      </c>
      <c r="D1899" s="273">
        <v>3096.4</v>
      </c>
      <c r="E1899" s="267" t="s">
        <v>74</v>
      </c>
      <c r="F1899" s="267">
        <v>5</v>
      </c>
      <c r="G1899" s="167"/>
      <c r="H1899" s="136" t="s">
        <v>72</v>
      </c>
      <c r="I1899" s="181">
        <f>I1900+I1901</f>
        <v>299856.74</v>
      </c>
      <c r="J1899" s="181">
        <f>J1900+J1901</f>
        <v>96.84</v>
      </c>
      <c r="K1899" s="181">
        <f>K1900+K1901</f>
        <v>178</v>
      </c>
    </row>
    <row r="1900" spans="1:11" ht="46.5" x14ac:dyDescent="0.35">
      <c r="A1900" s="271"/>
      <c r="B1900" s="271"/>
      <c r="C1900" s="279"/>
      <c r="D1900" s="274"/>
      <c r="E1900" s="268"/>
      <c r="F1900" s="268"/>
      <c r="G1900" s="141" t="s">
        <v>83</v>
      </c>
      <c r="H1900" s="136" t="s">
        <v>634</v>
      </c>
      <c r="I1900" s="181">
        <f>D1899*K1900</f>
        <v>27867.599999999999</v>
      </c>
      <c r="J1900" s="181">
        <f>I1900/D1899</f>
        <v>9</v>
      </c>
      <c r="K1900" s="181">
        <f>7+2</f>
        <v>9</v>
      </c>
    </row>
    <row r="1901" spans="1:11" ht="46.5" x14ac:dyDescent="0.35">
      <c r="A1901" s="271"/>
      <c r="B1901" s="271"/>
      <c r="C1901" s="279"/>
      <c r="D1901" s="274"/>
      <c r="E1901" s="268"/>
      <c r="F1901" s="268"/>
      <c r="G1901" s="141" t="s">
        <v>71</v>
      </c>
      <c r="H1901" s="136" t="s">
        <v>673</v>
      </c>
      <c r="I1901" s="181">
        <f>216253.94+D1899*18</f>
        <v>271989.14</v>
      </c>
      <c r="J1901" s="181">
        <f>I1901/D1899</f>
        <v>87.84</v>
      </c>
      <c r="K1901" s="181">
        <f>151+18</f>
        <v>169</v>
      </c>
    </row>
    <row r="1902" spans="1:11" x14ac:dyDescent="0.35">
      <c r="A1902" s="270">
        <f>A1899+1</f>
        <v>68</v>
      </c>
      <c r="B1902" s="270">
        <v>159</v>
      </c>
      <c r="C1902" s="278" t="s">
        <v>102</v>
      </c>
      <c r="D1902" s="273">
        <v>1087.8</v>
      </c>
      <c r="E1902" s="273" t="s">
        <v>79</v>
      </c>
      <c r="F1902" s="282">
        <v>3</v>
      </c>
      <c r="G1902" s="146"/>
      <c r="H1902" s="136" t="s">
        <v>72</v>
      </c>
      <c r="I1902" s="181">
        <f>SUM(I1903:I1904)</f>
        <v>608080.19999999995</v>
      </c>
      <c r="J1902" s="181">
        <f>SUM(J1903:J1904)</f>
        <v>559</v>
      </c>
      <c r="K1902" s="181">
        <f>SUM(K1903:K1904)</f>
        <v>559</v>
      </c>
    </row>
    <row r="1903" spans="1:11" ht="46.5" x14ac:dyDescent="0.35">
      <c r="A1903" s="271"/>
      <c r="B1903" s="271"/>
      <c r="C1903" s="279"/>
      <c r="D1903" s="274"/>
      <c r="E1903" s="274"/>
      <c r="F1903" s="283"/>
      <c r="G1903" s="141" t="s">
        <v>81</v>
      </c>
      <c r="H1903" s="136" t="s">
        <v>634</v>
      </c>
      <c r="I1903" s="181">
        <f>D1902*K1903</f>
        <v>584148.6</v>
      </c>
      <c r="J1903" s="181">
        <f>I1903/D1902</f>
        <v>537</v>
      </c>
      <c r="K1903" s="181">
        <f>523+14</f>
        <v>537</v>
      </c>
    </row>
    <row r="1904" spans="1:11" ht="46.5" x14ac:dyDescent="0.35">
      <c r="A1904" s="271"/>
      <c r="B1904" s="271"/>
      <c r="C1904" s="279"/>
      <c r="D1904" s="274"/>
      <c r="E1904" s="274"/>
      <c r="F1904" s="283"/>
      <c r="G1904" s="141" t="s">
        <v>82</v>
      </c>
      <c r="H1904" s="136" t="s">
        <v>634</v>
      </c>
      <c r="I1904" s="181">
        <f>K1904*D1902</f>
        <v>23931.599999999999</v>
      </c>
      <c r="J1904" s="181">
        <f>I1904/D1902</f>
        <v>22</v>
      </c>
      <c r="K1904" s="181">
        <f>16+6</f>
        <v>22</v>
      </c>
    </row>
    <row r="1905" spans="1:11" x14ac:dyDescent="0.35">
      <c r="A1905" s="270">
        <f>A1902+1</f>
        <v>69</v>
      </c>
      <c r="B1905" s="270">
        <v>476</v>
      </c>
      <c r="C1905" s="278" t="s">
        <v>103</v>
      </c>
      <c r="D1905" s="273">
        <v>3176.66</v>
      </c>
      <c r="E1905" s="267" t="s">
        <v>74</v>
      </c>
      <c r="F1905" s="267">
        <v>5</v>
      </c>
      <c r="G1905" s="167"/>
      <c r="H1905" s="136" t="s">
        <v>72</v>
      </c>
      <c r="I1905" s="181">
        <f>I1906+I1907+I1908</f>
        <v>351123.65</v>
      </c>
      <c r="J1905" s="181">
        <f>J1906+J1907+J1908</f>
        <v>110.53</v>
      </c>
      <c r="K1905" s="181">
        <f>K1906+K1907+K1908</f>
        <v>141</v>
      </c>
    </row>
    <row r="1906" spans="1:11" ht="46.5" x14ac:dyDescent="0.35">
      <c r="A1906" s="271"/>
      <c r="B1906" s="271"/>
      <c r="C1906" s="279"/>
      <c r="D1906" s="274"/>
      <c r="E1906" s="268"/>
      <c r="F1906" s="268"/>
      <c r="G1906" s="141" t="s">
        <v>76</v>
      </c>
      <c r="H1906" s="136" t="s">
        <v>634</v>
      </c>
      <c r="I1906" s="181">
        <v>234516.19</v>
      </c>
      <c r="J1906" s="181">
        <f>I1906/D1905</f>
        <v>73.819999999999993</v>
      </c>
      <c r="K1906" s="181">
        <f>85+6</f>
        <v>91</v>
      </c>
    </row>
    <row r="1907" spans="1:11" ht="46.5" x14ac:dyDescent="0.35">
      <c r="A1907" s="271"/>
      <c r="B1907" s="271"/>
      <c r="C1907" s="279"/>
      <c r="D1907" s="274"/>
      <c r="E1907" s="268"/>
      <c r="F1907" s="268"/>
      <c r="G1907" s="141" t="s">
        <v>77</v>
      </c>
      <c r="H1907" s="136" t="s">
        <v>634</v>
      </c>
      <c r="I1907" s="181">
        <v>64440.97</v>
      </c>
      <c r="J1907" s="181">
        <f>I1907/D1905</f>
        <v>20.29</v>
      </c>
      <c r="K1907" s="181">
        <f>19+8</f>
        <v>27</v>
      </c>
    </row>
    <row r="1908" spans="1:11" ht="46.5" x14ac:dyDescent="0.35">
      <c r="A1908" s="271"/>
      <c r="B1908" s="271"/>
      <c r="C1908" s="279"/>
      <c r="D1908" s="274"/>
      <c r="E1908" s="268"/>
      <c r="F1908" s="268"/>
      <c r="G1908" s="141" t="s">
        <v>78</v>
      </c>
      <c r="H1908" s="136" t="s">
        <v>634</v>
      </c>
      <c r="I1908" s="181">
        <v>52166.49</v>
      </c>
      <c r="J1908" s="181">
        <f>I1908/D1905</f>
        <v>16.420000000000002</v>
      </c>
      <c r="K1908" s="181">
        <f>16+7</f>
        <v>23</v>
      </c>
    </row>
    <row r="1909" spans="1:11" x14ac:dyDescent="0.35">
      <c r="A1909" s="270">
        <f>A1905+1</f>
        <v>70</v>
      </c>
      <c r="B1909" s="270">
        <v>555</v>
      </c>
      <c r="C1909" s="278" t="s">
        <v>318</v>
      </c>
      <c r="D1909" s="273">
        <v>2510.5</v>
      </c>
      <c r="E1909" s="270" t="s">
        <v>74</v>
      </c>
      <c r="F1909" s="270">
        <v>5</v>
      </c>
      <c r="G1909" s="167"/>
      <c r="H1909" s="136" t="s">
        <v>72</v>
      </c>
      <c r="I1909" s="181">
        <f>I1910+I1911+I1912+I1913+I1914+I1915+I1916+I1917+I1918+I1919+I1920+I1921+I1922+I1923+I1924</f>
        <v>17718011.789999999</v>
      </c>
      <c r="J1909" s="181">
        <f>J1910+J1911+J1912+J1913+J1914+J1915+J1916+J1917+J1918+J1919+J1920+J1921+J1922+J1923+J1924</f>
        <v>7057.56</v>
      </c>
      <c r="K1909" s="181">
        <f>K1910+K1911+K1912+K1913+K1914+K1915+K1916+K1917+K1918+K1919+K1920+K1921+K1922+K1923+K1924</f>
        <v>7200</v>
      </c>
    </row>
    <row r="1910" spans="1:11" x14ac:dyDescent="0.35">
      <c r="A1910" s="271"/>
      <c r="B1910" s="271"/>
      <c r="C1910" s="279"/>
      <c r="D1910" s="274"/>
      <c r="E1910" s="271"/>
      <c r="F1910" s="271"/>
      <c r="G1910" s="277" t="s">
        <v>81</v>
      </c>
      <c r="H1910" s="136" t="s">
        <v>73</v>
      </c>
      <c r="I1910" s="181">
        <f>D1909*K1910</f>
        <v>2096267.5</v>
      </c>
      <c r="J1910" s="181">
        <f>I1910/D1909</f>
        <v>835</v>
      </c>
      <c r="K1910" s="181">
        <v>835</v>
      </c>
    </row>
    <row r="1911" spans="1:11" x14ac:dyDescent="0.35">
      <c r="A1911" s="271"/>
      <c r="B1911" s="271"/>
      <c r="C1911" s="279"/>
      <c r="D1911" s="274"/>
      <c r="E1911" s="271"/>
      <c r="F1911" s="271"/>
      <c r="G1911" s="277"/>
      <c r="H1911" s="136" t="s">
        <v>75</v>
      </c>
      <c r="I1911" s="181">
        <v>45056.28</v>
      </c>
      <c r="J1911" s="181">
        <f>I1911/D1909-0.01</f>
        <v>17.940000000000001</v>
      </c>
      <c r="K1911" s="181">
        <v>18</v>
      </c>
    </row>
    <row r="1912" spans="1:11" ht="46.5" x14ac:dyDescent="0.35">
      <c r="A1912" s="271"/>
      <c r="B1912" s="271"/>
      <c r="C1912" s="279"/>
      <c r="D1912" s="274"/>
      <c r="E1912" s="271"/>
      <c r="F1912" s="271"/>
      <c r="G1912" s="141" t="s">
        <v>83</v>
      </c>
      <c r="H1912" s="136" t="s">
        <v>634</v>
      </c>
      <c r="I1912" s="181">
        <f>27615.5+D1909*13</f>
        <v>60252</v>
      </c>
      <c r="J1912" s="181">
        <f>I1912/D1909</f>
        <v>24</v>
      </c>
      <c r="K1912" s="181">
        <f>11+13</f>
        <v>24</v>
      </c>
    </row>
    <row r="1913" spans="1:11" ht="46.5" x14ac:dyDescent="0.35">
      <c r="A1913" s="271"/>
      <c r="B1913" s="271"/>
      <c r="C1913" s="279"/>
      <c r="D1913" s="274"/>
      <c r="E1913" s="271"/>
      <c r="F1913" s="271"/>
      <c r="G1913" s="270" t="s">
        <v>77</v>
      </c>
      <c r="H1913" s="136" t="s">
        <v>634</v>
      </c>
      <c r="I1913" s="181">
        <v>52720.5</v>
      </c>
      <c r="J1913" s="181">
        <f>I1913/D1909</f>
        <v>21</v>
      </c>
      <c r="K1913" s="181">
        <f>19+8</f>
        <v>27</v>
      </c>
    </row>
    <row r="1914" spans="1:11" x14ac:dyDescent="0.35">
      <c r="A1914" s="271"/>
      <c r="B1914" s="271"/>
      <c r="C1914" s="279"/>
      <c r="D1914" s="274"/>
      <c r="E1914" s="271"/>
      <c r="F1914" s="271"/>
      <c r="G1914" s="271"/>
      <c r="H1914" s="136" t="s">
        <v>73</v>
      </c>
      <c r="I1914" s="181">
        <f>D1909*K1914</f>
        <v>1162361.5</v>
      </c>
      <c r="J1914" s="181">
        <f>I1914/D1909</f>
        <v>463</v>
      </c>
      <c r="K1914" s="181">
        <v>463</v>
      </c>
    </row>
    <row r="1915" spans="1:11" x14ac:dyDescent="0.35">
      <c r="A1915" s="271"/>
      <c r="B1915" s="271"/>
      <c r="C1915" s="279"/>
      <c r="D1915" s="274"/>
      <c r="E1915" s="271"/>
      <c r="F1915" s="271"/>
      <c r="G1915" s="272"/>
      <c r="H1915" s="136" t="s">
        <v>75</v>
      </c>
      <c r="I1915" s="181">
        <f>D1909*K1915</f>
        <v>25105</v>
      </c>
      <c r="J1915" s="181">
        <f>I1915/D1909</f>
        <v>10</v>
      </c>
      <c r="K1915" s="181">
        <v>10</v>
      </c>
    </row>
    <row r="1916" spans="1:11" ht="46.5" x14ac:dyDescent="0.35">
      <c r="A1916" s="271"/>
      <c r="B1916" s="271"/>
      <c r="C1916" s="279"/>
      <c r="D1916" s="274"/>
      <c r="E1916" s="271"/>
      <c r="F1916" s="271"/>
      <c r="G1916" s="270" t="s">
        <v>78</v>
      </c>
      <c r="H1916" s="136" t="s">
        <v>634</v>
      </c>
      <c r="I1916" s="181">
        <v>42678.5</v>
      </c>
      <c r="J1916" s="181">
        <f>I1916/D1909</f>
        <v>17</v>
      </c>
      <c r="K1916" s="181">
        <f>16+7</f>
        <v>23</v>
      </c>
    </row>
    <row r="1917" spans="1:11" x14ac:dyDescent="0.35">
      <c r="A1917" s="271"/>
      <c r="B1917" s="271"/>
      <c r="C1917" s="279"/>
      <c r="D1917" s="274"/>
      <c r="E1917" s="271"/>
      <c r="F1917" s="271"/>
      <c r="G1917" s="271"/>
      <c r="H1917" s="136" t="s">
        <v>73</v>
      </c>
      <c r="I1917" s="181">
        <f>D1909*K1917</f>
        <v>1026794.5</v>
      </c>
      <c r="J1917" s="181">
        <f>I1917/D1909</f>
        <v>409</v>
      </c>
      <c r="K1917" s="181">
        <v>409</v>
      </c>
    </row>
    <row r="1918" spans="1:11" x14ac:dyDescent="0.35">
      <c r="A1918" s="271"/>
      <c r="B1918" s="271"/>
      <c r="C1918" s="279"/>
      <c r="D1918" s="274"/>
      <c r="E1918" s="271"/>
      <c r="F1918" s="271"/>
      <c r="G1918" s="272"/>
      <c r="H1918" s="136" t="s">
        <v>75</v>
      </c>
      <c r="I1918" s="181">
        <f>D1909*K1918</f>
        <v>22594.5</v>
      </c>
      <c r="J1918" s="181">
        <f>I1918/D1909</f>
        <v>9</v>
      </c>
      <c r="K1918" s="181">
        <v>9</v>
      </c>
    </row>
    <row r="1919" spans="1:11" ht="46.5" x14ac:dyDescent="0.35">
      <c r="A1919" s="271"/>
      <c r="B1919" s="271"/>
      <c r="C1919" s="279"/>
      <c r="D1919" s="274"/>
      <c r="E1919" s="271"/>
      <c r="F1919" s="271"/>
      <c r="G1919" s="270" t="s">
        <v>76</v>
      </c>
      <c r="H1919" s="136" t="s">
        <v>634</v>
      </c>
      <c r="I1919" s="181">
        <v>149918.26</v>
      </c>
      <c r="J1919" s="181">
        <f>I1919/D1909</f>
        <v>59.72</v>
      </c>
      <c r="K1919" s="181">
        <f>108+21</f>
        <v>129</v>
      </c>
    </row>
    <row r="1920" spans="1:11" x14ac:dyDescent="0.35">
      <c r="A1920" s="271"/>
      <c r="B1920" s="271"/>
      <c r="C1920" s="279"/>
      <c r="D1920" s="274"/>
      <c r="E1920" s="271"/>
      <c r="F1920" s="271"/>
      <c r="G1920" s="271"/>
      <c r="H1920" s="136" t="s">
        <v>73</v>
      </c>
      <c r="I1920" s="181">
        <f>D1909*K1920</f>
        <v>6755755.5</v>
      </c>
      <c r="J1920" s="181">
        <f>I1920/D1909</f>
        <v>2691</v>
      </c>
      <c r="K1920" s="181">
        <v>2691</v>
      </c>
    </row>
    <row r="1921" spans="1:11" x14ac:dyDescent="0.35">
      <c r="A1921" s="271"/>
      <c r="B1921" s="271"/>
      <c r="C1921" s="279"/>
      <c r="D1921" s="274"/>
      <c r="E1921" s="271"/>
      <c r="F1921" s="271"/>
      <c r="G1921" s="272"/>
      <c r="H1921" s="136" t="s">
        <v>75</v>
      </c>
      <c r="I1921" s="181">
        <f>D1909*K1921</f>
        <v>145609</v>
      </c>
      <c r="J1921" s="181">
        <f>I1921/D1909</f>
        <v>58</v>
      </c>
      <c r="K1921" s="181">
        <v>58</v>
      </c>
    </row>
    <row r="1922" spans="1:11" ht="46.5" x14ac:dyDescent="0.35">
      <c r="A1922" s="271"/>
      <c r="B1922" s="271"/>
      <c r="C1922" s="279"/>
      <c r="D1922" s="274"/>
      <c r="E1922" s="271"/>
      <c r="F1922" s="271"/>
      <c r="G1922" s="270" t="s">
        <v>691</v>
      </c>
      <c r="H1922" s="136" t="s">
        <v>634</v>
      </c>
      <c r="I1922" s="181">
        <v>102677.75</v>
      </c>
      <c r="J1922" s="181">
        <f>I1922/D1909</f>
        <v>40.9</v>
      </c>
      <c r="K1922" s="181">
        <f>(47+4)*2</f>
        <v>102</v>
      </c>
    </row>
    <row r="1923" spans="1:11" x14ac:dyDescent="0.35">
      <c r="A1923" s="271"/>
      <c r="B1923" s="271"/>
      <c r="C1923" s="279"/>
      <c r="D1923" s="274"/>
      <c r="E1923" s="271"/>
      <c r="F1923" s="271"/>
      <c r="G1923" s="271"/>
      <c r="H1923" s="136" t="s">
        <v>73</v>
      </c>
      <c r="I1923" s="181">
        <f>D1909*K1923</f>
        <v>5904696</v>
      </c>
      <c r="J1923" s="181">
        <f>I1923/D1909</f>
        <v>2352</v>
      </c>
      <c r="K1923" s="181">
        <f>1176*2</f>
        <v>2352</v>
      </c>
    </row>
    <row r="1924" spans="1:11" ht="142" customHeight="1" x14ac:dyDescent="0.35">
      <c r="A1924" s="272"/>
      <c r="B1924" s="272"/>
      <c r="C1924" s="285"/>
      <c r="D1924" s="275"/>
      <c r="E1924" s="272"/>
      <c r="F1924" s="272"/>
      <c r="G1924" s="272"/>
      <c r="H1924" s="136" t="s">
        <v>75</v>
      </c>
      <c r="I1924" s="181">
        <f>D1909*K1924</f>
        <v>125525</v>
      </c>
      <c r="J1924" s="181">
        <f>I1924/D1909</f>
        <v>50</v>
      </c>
      <c r="K1924" s="181">
        <f>25*2</f>
        <v>50</v>
      </c>
    </row>
    <row r="1925" spans="1:11" x14ac:dyDescent="0.35">
      <c r="A1925" s="270">
        <f>A1909+1</f>
        <v>71</v>
      </c>
      <c r="B1925" s="270">
        <v>601</v>
      </c>
      <c r="C1925" s="278" t="s">
        <v>547</v>
      </c>
      <c r="D1925" s="273">
        <v>2902</v>
      </c>
      <c r="E1925" s="267" t="s">
        <v>74</v>
      </c>
      <c r="F1925" s="267">
        <v>5</v>
      </c>
      <c r="G1925" s="167"/>
      <c r="H1925" s="136" t="s">
        <v>72</v>
      </c>
      <c r="I1925" s="181">
        <f>I1926+I1927+I1928+I1929</f>
        <v>472596.13</v>
      </c>
      <c r="J1925" s="181">
        <f>J1926+J1927+J1928+J1929</f>
        <v>162.85</v>
      </c>
      <c r="K1925" s="181">
        <f>K1926+K1927+K1928+K1929</f>
        <v>208</v>
      </c>
    </row>
    <row r="1926" spans="1:11" ht="46.5" x14ac:dyDescent="0.35">
      <c r="A1926" s="271"/>
      <c r="B1926" s="271"/>
      <c r="C1926" s="279"/>
      <c r="D1926" s="274"/>
      <c r="E1926" s="268"/>
      <c r="F1926" s="268"/>
      <c r="G1926" s="141" t="s">
        <v>86</v>
      </c>
      <c r="H1926" s="136" t="s">
        <v>634</v>
      </c>
      <c r="I1926" s="181">
        <f>66412.27+D1925*6</f>
        <v>83824.27</v>
      </c>
      <c r="J1926" s="181">
        <f>I1926/D1925</f>
        <v>28.89</v>
      </c>
      <c r="K1926" s="181">
        <f>23+6</f>
        <v>29</v>
      </c>
    </row>
    <row r="1927" spans="1:11" ht="46.5" x14ac:dyDescent="0.35">
      <c r="A1927" s="271"/>
      <c r="B1927" s="271"/>
      <c r="C1927" s="279"/>
      <c r="D1927" s="274"/>
      <c r="E1927" s="268"/>
      <c r="F1927" s="268"/>
      <c r="G1927" s="141" t="s">
        <v>76</v>
      </c>
      <c r="H1927" s="136" t="s">
        <v>634</v>
      </c>
      <c r="I1927" s="181">
        <f>182729.86+D1925*21</f>
        <v>243671.86</v>
      </c>
      <c r="J1927" s="181">
        <f>I1927/D1925-0.01</f>
        <v>83.96</v>
      </c>
      <c r="K1927" s="181">
        <f>108+21</f>
        <v>129</v>
      </c>
    </row>
    <row r="1928" spans="1:11" ht="46.5" x14ac:dyDescent="0.35">
      <c r="A1928" s="271"/>
      <c r="B1928" s="271"/>
      <c r="C1928" s="279"/>
      <c r="D1928" s="274"/>
      <c r="E1928" s="268"/>
      <c r="F1928" s="268"/>
      <c r="G1928" s="141" t="s">
        <v>77</v>
      </c>
      <c r="H1928" s="136" t="s">
        <v>634</v>
      </c>
      <c r="I1928" s="181">
        <f>55138+D1925*8</f>
        <v>78354</v>
      </c>
      <c r="J1928" s="181">
        <f>I1928/D1925</f>
        <v>27</v>
      </c>
      <c r="K1928" s="181">
        <f>19+8</f>
        <v>27</v>
      </c>
    </row>
    <row r="1929" spans="1:11" ht="46.5" x14ac:dyDescent="0.35">
      <c r="A1929" s="271"/>
      <c r="B1929" s="271"/>
      <c r="C1929" s="279"/>
      <c r="D1929" s="274"/>
      <c r="E1929" s="268"/>
      <c r="F1929" s="268"/>
      <c r="G1929" s="141" t="s">
        <v>78</v>
      </c>
      <c r="H1929" s="136" t="s">
        <v>634</v>
      </c>
      <c r="I1929" s="181">
        <f>46432+D1925*7</f>
        <v>66746</v>
      </c>
      <c r="J1929" s="181">
        <f>I1929/D1925</f>
        <v>23</v>
      </c>
      <c r="K1929" s="181">
        <f>16+7</f>
        <v>23</v>
      </c>
    </row>
    <row r="1930" spans="1:11" x14ac:dyDescent="0.35">
      <c r="A1930" s="270">
        <f>A1925+1</f>
        <v>72</v>
      </c>
      <c r="B1930" s="270">
        <v>119</v>
      </c>
      <c r="C1930" s="278" t="s">
        <v>104</v>
      </c>
      <c r="D1930" s="273">
        <v>811.7</v>
      </c>
      <c r="E1930" s="267" t="s">
        <v>79</v>
      </c>
      <c r="F1930" s="267">
        <v>3</v>
      </c>
      <c r="G1930" s="270" t="s">
        <v>71</v>
      </c>
      <c r="H1930" s="136" t="s">
        <v>72</v>
      </c>
      <c r="I1930" s="181">
        <f>I1931</f>
        <v>178282.49</v>
      </c>
      <c r="J1930" s="181">
        <f>J1931</f>
        <v>219.64</v>
      </c>
      <c r="K1930" s="181">
        <f>K1931</f>
        <v>252</v>
      </c>
    </row>
    <row r="1931" spans="1:11" ht="46.5" x14ac:dyDescent="0.35">
      <c r="A1931" s="271"/>
      <c r="B1931" s="271"/>
      <c r="C1931" s="279"/>
      <c r="D1931" s="274"/>
      <c r="E1931" s="268"/>
      <c r="F1931" s="268"/>
      <c r="G1931" s="271"/>
      <c r="H1931" s="136" t="s">
        <v>673</v>
      </c>
      <c r="I1931" s="181">
        <f>106852.89+D1930*88</f>
        <v>178282.49</v>
      </c>
      <c r="J1931" s="181">
        <f>I1931/D1930</f>
        <v>219.64</v>
      </c>
      <c r="K1931" s="181">
        <f>164+88</f>
        <v>252</v>
      </c>
    </row>
    <row r="1932" spans="1:11" x14ac:dyDescent="0.35">
      <c r="A1932" s="277">
        <f>A1930+1</f>
        <v>73</v>
      </c>
      <c r="B1932" s="277">
        <v>179</v>
      </c>
      <c r="C1932" s="286" t="s">
        <v>105</v>
      </c>
      <c r="D1932" s="287">
        <v>840.9</v>
      </c>
      <c r="E1932" s="276" t="s">
        <v>79</v>
      </c>
      <c r="F1932" s="276">
        <v>3</v>
      </c>
      <c r="G1932" s="277" t="s">
        <v>71</v>
      </c>
      <c r="H1932" s="136" t="s">
        <v>72</v>
      </c>
      <c r="I1932" s="181">
        <f>I1933</f>
        <v>184401.56</v>
      </c>
      <c r="J1932" s="181">
        <f>J1933</f>
        <v>219.29</v>
      </c>
      <c r="K1932" s="181">
        <f>K1933</f>
        <v>252</v>
      </c>
    </row>
    <row r="1933" spans="1:11" ht="46.5" x14ac:dyDescent="0.35">
      <c r="A1933" s="277"/>
      <c r="B1933" s="277"/>
      <c r="C1933" s="286"/>
      <c r="D1933" s="287"/>
      <c r="E1933" s="276"/>
      <c r="F1933" s="276"/>
      <c r="G1933" s="277"/>
      <c r="H1933" s="136" t="s">
        <v>673</v>
      </c>
      <c r="I1933" s="181">
        <f>110402.36+D1932*88</f>
        <v>184401.56</v>
      </c>
      <c r="J1933" s="181">
        <f>I1933/D1932</f>
        <v>219.29</v>
      </c>
      <c r="K1933" s="181">
        <f>164+88</f>
        <v>252</v>
      </c>
    </row>
    <row r="1934" spans="1:11" x14ac:dyDescent="0.35">
      <c r="A1934" s="277">
        <f>A1932+1</f>
        <v>74</v>
      </c>
      <c r="B1934" s="277">
        <v>244</v>
      </c>
      <c r="C1934" s="286" t="s">
        <v>106</v>
      </c>
      <c r="D1934" s="287">
        <v>3721.87</v>
      </c>
      <c r="E1934" s="276" t="s">
        <v>79</v>
      </c>
      <c r="F1934" s="276">
        <v>5</v>
      </c>
      <c r="G1934" s="277" t="s">
        <v>71</v>
      </c>
      <c r="H1934" s="136" t="s">
        <v>72</v>
      </c>
      <c r="I1934" s="181">
        <f>I1935</f>
        <v>276483.88</v>
      </c>
      <c r="J1934" s="181">
        <f>J1935</f>
        <v>74.290000000000006</v>
      </c>
      <c r="K1934" s="181">
        <f>K1935</f>
        <v>182</v>
      </c>
    </row>
    <row r="1935" spans="1:11" ht="46.5" x14ac:dyDescent="0.35">
      <c r="A1935" s="277"/>
      <c r="B1935" s="277"/>
      <c r="C1935" s="286"/>
      <c r="D1935" s="287"/>
      <c r="E1935" s="276"/>
      <c r="F1935" s="276"/>
      <c r="G1935" s="277"/>
      <c r="H1935" s="136" t="s">
        <v>673</v>
      </c>
      <c r="I1935" s="181">
        <f>209490.22+D1934*18</f>
        <v>276483.88</v>
      </c>
      <c r="J1935" s="181">
        <f>I1935/D1934</f>
        <v>74.290000000000006</v>
      </c>
      <c r="K1935" s="181">
        <f>164+18</f>
        <v>182</v>
      </c>
    </row>
    <row r="1936" spans="1:11" x14ac:dyDescent="0.35">
      <c r="A1936" s="277">
        <f>A1934+1</f>
        <v>75</v>
      </c>
      <c r="B1936" s="277">
        <v>508</v>
      </c>
      <c r="C1936" s="286" t="s">
        <v>319</v>
      </c>
      <c r="D1936" s="287">
        <v>2539.88</v>
      </c>
      <c r="E1936" s="276" t="s">
        <v>70</v>
      </c>
      <c r="F1936" s="276">
        <v>5</v>
      </c>
      <c r="G1936" s="277" t="s">
        <v>71</v>
      </c>
      <c r="H1936" s="136" t="s">
        <v>72</v>
      </c>
      <c r="I1936" s="181">
        <f>I1937+I1938</f>
        <v>3351578.62</v>
      </c>
      <c r="J1936" s="181">
        <f>J1937+J1938</f>
        <v>1319.58</v>
      </c>
      <c r="K1936" s="181">
        <f>K1937+K1938</f>
        <v>3242</v>
      </c>
    </row>
    <row r="1937" spans="1:11" x14ac:dyDescent="0.35">
      <c r="A1937" s="277">
        <v>75</v>
      </c>
      <c r="B1937" s="277"/>
      <c r="C1937" s="286"/>
      <c r="D1937" s="287"/>
      <c r="E1937" s="276"/>
      <c r="F1937" s="276"/>
      <c r="G1937" s="277"/>
      <c r="H1937" s="136" t="s">
        <v>73</v>
      </c>
      <c r="I1937" s="181">
        <v>3249056.59</v>
      </c>
      <c r="J1937" s="181">
        <f>I1937/D1936</f>
        <v>1279.22</v>
      </c>
      <c r="K1937" s="181">
        <v>3174</v>
      </c>
    </row>
    <row r="1938" spans="1:11" x14ac:dyDescent="0.35">
      <c r="A1938" s="277">
        <v>76</v>
      </c>
      <c r="B1938" s="277"/>
      <c r="C1938" s="286"/>
      <c r="D1938" s="287"/>
      <c r="E1938" s="276"/>
      <c r="F1938" s="276"/>
      <c r="G1938" s="277"/>
      <c r="H1938" s="136" t="s">
        <v>75</v>
      </c>
      <c r="I1938" s="181">
        <f>4790749.26*0.0214</f>
        <v>102522.03</v>
      </c>
      <c r="J1938" s="181">
        <f>I1938/D1936</f>
        <v>40.36</v>
      </c>
      <c r="K1938" s="181">
        <v>68</v>
      </c>
    </row>
    <row r="1939" spans="1:11" x14ac:dyDescent="0.35">
      <c r="A1939" s="277">
        <f>A1936+1</f>
        <v>76</v>
      </c>
      <c r="B1939" s="277">
        <v>610</v>
      </c>
      <c r="C1939" s="286" t="s">
        <v>321</v>
      </c>
      <c r="D1939" s="287">
        <v>2077.6</v>
      </c>
      <c r="E1939" s="276" t="s">
        <v>74</v>
      </c>
      <c r="F1939" s="276">
        <v>5</v>
      </c>
      <c r="G1939" s="277" t="s">
        <v>71</v>
      </c>
      <c r="H1939" s="136" t="s">
        <v>72</v>
      </c>
      <c r="I1939" s="181">
        <f>I1940+I1941</f>
        <v>2894649.24</v>
      </c>
      <c r="J1939" s="181">
        <f>J1940+J1941</f>
        <v>1393.27</v>
      </c>
      <c r="K1939" s="181">
        <f>K1940+K1941</f>
        <v>3242</v>
      </c>
    </row>
    <row r="1940" spans="1:11" x14ac:dyDescent="0.35">
      <c r="A1940" s="277">
        <v>75</v>
      </c>
      <c r="B1940" s="277"/>
      <c r="C1940" s="286"/>
      <c r="D1940" s="287"/>
      <c r="E1940" s="276"/>
      <c r="F1940" s="276"/>
      <c r="G1940" s="277"/>
      <c r="H1940" s="136" t="s">
        <v>73</v>
      </c>
      <c r="I1940" s="181">
        <f>4012544*0.7</f>
        <v>2808780.7999999998</v>
      </c>
      <c r="J1940" s="181">
        <f>I1940/D1939</f>
        <v>1351.94</v>
      </c>
      <c r="K1940" s="181">
        <v>3174</v>
      </c>
    </row>
    <row r="1941" spans="1:11" x14ac:dyDescent="0.35">
      <c r="A1941" s="277">
        <v>76</v>
      </c>
      <c r="B1941" s="277"/>
      <c r="C1941" s="286"/>
      <c r="D1941" s="287"/>
      <c r="E1941" s="276"/>
      <c r="F1941" s="276"/>
      <c r="G1941" s="277"/>
      <c r="H1941" s="136" t="s">
        <v>75</v>
      </c>
      <c r="I1941" s="181">
        <f>4012544*0.0214</f>
        <v>85868.44</v>
      </c>
      <c r="J1941" s="181">
        <f>I1941/D1939</f>
        <v>41.33</v>
      </c>
      <c r="K1941" s="181">
        <v>68</v>
      </c>
    </row>
    <row r="1942" spans="1:11" x14ac:dyDescent="0.35">
      <c r="A1942" s="277">
        <f>A1939+1</f>
        <v>77</v>
      </c>
      <c r="B1942" s="277">
        <v>1836</v>
      </c>
      <c r="C1942" s="286" t="s">
        <v>718</v>
      </c>
      <c r="D1942" s="287">
        <v>7452.1</v>
      </c>
      <c r="E1942" s="276" t="s">
        <v>74</v>
      </c>
      <c r="F1942" s="276">
        <v>6</v>
      </c>
      <c r="G1942" s="277" t="s">
        <v>71</v>
      </c>
      <c r="H1942" s="136" t="s">
        <v>72</v>
      </c>
      <c r="I1942" s="181">
        <f>I1943</f>
        <v>1025613.46</v>
      </c>
      <c r="J1942" s="181">
        <f>J1943</f>
        <v>137.63</v>
      </c>
      <c r="K1942" s="181">
        <f>K1943</f>
        <v>232</v>
      </c>
    </row>
    <row r="1943" spans="1:11" ht="62" x14ac:dyDescent="0.35">
      <c r="A1943" s="277"/>
      <c r="B1943" s="277"/>
      <c r="C1943" s="286"/>
      <c r="D1943" s="287"/>
      <c r="E1943" s="276"/>
      <c r="F1943" s="276"/>
      <c r="G1943" s="277"/>
      <c r="H1943" s="136" t="s">
        <v>761</v>
      </c>
      <c r="I1943" s="181">
        <f>891475.66+D1942*18</f>
        <v>1025613.46</v>
      </c>
      <c r="J1943" s="181">
        <f>I1943/D1942</f>
        <v>137.63</v>
      </c>
      <c r="K1943" s="181">
        <f>214+18</f>
        <v>232</v>
      </c>
    </row>
    <row r="1944" spans="1:11" x14ac:dyDescent="0.35">
      <c r="A1944" s="277">
        <f>A1942+1</f>
        <v>78</v>
      </c>
      <c r="B1944" s="277">
        <v>1846</v>
      </c>
      <c r="C1944" s="286" t="s">
        <v>324</v>
      </c>
      <c r="D1944" s="287">
        <v>3875.5</v>
      </c>
      <c r="E1944" s="276" t="s">
        <v>70</v>
      </c>
      <c r="F1944" s="276">
        <v>5</v>
      </c>
      <c r="G1944" s="277" t="s">
        <v>71</v>
      </c>
      <c r="H1944" s="136" t="s">
        <v>72</v>
      </c>
      <c r="I1944" s="181">
        <f>I1945+I1946</f>
        <v>8711400.1400000006</v>
      </c>
      <c r="J1944" s="181">
        <f>J1945+J1946</f>
        <v>2247.81</v>
      </c>
      <c r="K1944" s="181">
        <f>K1945+K1946</f>
        <v>3449</v>
      </c>
    </row>
    <row r="1945" spans="1:11" ht="31" x14ac:dyDescent="0.35">
      <c r="A1945" s="277">
        <v>77</v>
      </c>
      <c r="B1945" s="277"/>
      <c r="C1945" s="286"/>
      <c r="D1945" s="287"/>
      <c r="E1945" s="276"/>
      <c r="F1945" s="276"/>
      <c r="G1945" s="277"/>
      <c r="H1945" s="136" t="s">
        <v>85</v>
      </c>
      <c r="I1945" s="181">
        <f>12075686.36*0.7</f>
        <v>8452980.4499999993</v>
      </c>
      <c r="J1945" s="181">
        <f>I1945/D1944</f>
        <v>2181.13</v>
      </c>
      <c r="K1945" s="181">
        <v>3377</v>
      </c>
    </row>
    <row r="1946" spans="1:11" x14ac:dyDescent="0.35">
      <c r="A1946" s="277">
        <v>78</v>
      </c>
      <c r="B1946" s="277"/>
      <c r="C1946" s="286"/>
      <c r="D1946" s="287"/>
      <c r="E1946" s="276"/>
      <c r="F1946" s="276"/>
      <c r="G1946" s="277"/>
      <c r="H1946" s="136" t="s">
        <v>75</v>
      </c>
      <c r="I1946" s="181">
        <f>12075686.36*0.0214</f>
        <v>258419.69</v>
      </c>
      <c r="J1946" s="181">
        <f>I1946/D1944</f>
        <v>66.680000000000007</v>
      </c>
      <c r="K1946" s="181">
        <v>72</v>
      </c>
    </row>
    <row r="1947" spans="1:11" x14ac:dyDescent="0.35">
      <c r="A1947" s="277">
        <f>A1944+1</f>
        <v>79</v>
      </c>
      <c r="B1947" s="277">
        <v>1408</v>
      </c>
      <c r="C1947" s="286" t="s">
        <v>548</v>
      </c>
      <c r="D1947" s="287">
        <v>3363.29</v>
      </c>
      <c r="E1947" s="276" t="s">
        <v>74</v>
      </c>
      <c r="F1947" s="276">
        <v>5</v>
      </c>
      <c r="G1947" s="277" t="s">
        <v>71</v>
      </c>
      <c r="H1947" s="136" t="s">
        <v>72</v>
      </c>
      <c r="I1947" s="181">
        <f>I1948</f>
        <v>228173.61</v>
      </c>
      <c r="J1947" s="181">
        <f>J1948</f>
        <v>67.84</v>
      </c>
      <c r="K1947" s="181">
        <f>K1948</f>
        <v>169</v>
      </c>
    </row>
    <row r="1948" spans="1:11" ht="62" customHeight="1" x14ac:dyDescent="0.35">
      <c r="A1948" s="277"/>
      <c r="B1948" s="277"/>
      <c r="C1948" s="286"/>
      <c r="D1948" s="287"/>
      <c r="E1948" s="276"/>
      <c r="F1948" s="276"/>
      <c r="G1948" s="277"/>
      <c r="H1948" s="136" t="s">
        <v>673</v>
      </c>
      <c r="I1948" s="181">
        <f>167634.39+D1947*18</f>
        <v>228173.61</v>
      </c>
      <c r="J1948" s="181">
        <f>I1948/D1947</f>
        <v>67.84</v>
      </c>
      <c r="K1948" s="181">
        <f>151+18</f>
        <v>169</v>
      </c>
    </row>
    <row r="1949" spans="1:11" x14ac:dyDescent="0.35">
      <c r="A1949" s="270">
        <f>A1947+1</f>
        <v>80</v>
      </c>
      <c r="B1949" s="270">
        <v>1410</v>
      </c>
      <c r="C1949" s="278" t="s">
        <v>549</v>
      </c>
      <c r="D1949" s="273">
        <v>1477.5</v>
      </c>
      <c r="E1949" s="267" t="s">
        <v>74</v>
      </c>
      <c r="F1949" s="267">
        <v>5</v>
      </c>
      <c r="G1949" s="165"/>
      <c r="H1949" s="136" t="s">
        <v>72</v>
      </c>
      <c r="I1949" s="181">
        <f>I1950+I1951+I1952</f>
        <v>607435.03</v>
      </c>
      <c r="J1949" s="181">
        <f>J1950+J1951+J1952</f>
        <v>411.12</v>
      </c>
      <c r="K1949" s="181">
        <f>K1950+K1951+K1952</f>
        <v>428</v>
      </c>
    </row>
    <row r="1950" spans="1:11" ht="62" customHeight="1" x14ac:dyDescent="0.35">
      <c r="A1950" s="271"/>
      <c r="B1950" s="271"/>
      <c r="C1950" s="279"/>
      <c r="D1950" s="274"/>
      <c r="E1950" s="268"/>
      <c r="F1950" s="268"/>
      <c r="G1950" s="141" t="s">
        <v>71</v>
      </c>
      <c r="H1950" s="136" t="s">
        <v>673</v>
      </c>
      <c r="I1950" s="181">
        <f>207482.53+17280</f>
        <v>224762.53</v>
      </c>
      <c r="J1950" s="181">
        <f>I1950/D1949</f>
        <v>152.12</v>
      </c>
      <c r="K1950" s="181">
        <f>151+18</f>
        <v>169</v>
      </c>
    </row>
    <row r="1951" spans="1:11" ht="56" customHeight="1" x14ac:dyDescent="0.35">
      <c r="A1951" s="271"/>
      <c r="B1951" s="271"/>
      <c r="C1951" s="279"/>
      <c r="D1951" s="274"/>
      <c r="E1951" s="268"/>
      <c r="F1951" s="268"/>
      <c r="G1951" s="270" t="s">
        <v>84</v>
      </c>
      <c r="H1951" s="136" t="s">
        <v>673</v>
      </c>
      <c r="I1951" s="181">
        <f>D1949*K1951</f>
        <v>110812.5</v>
      </c>
      <c r="J1951" s="181">
        <f>I1951/D1949</f>
        <v>75</v>
      </c>
      <c r="K1951" s="181">
        <f>63+12</f>
        <v>75</v>
      </c>
    </row>
    <row r="1952" spans="1:11" ht="56" customHeight="1" x14ac:dyDescent="0.35">
      <c r="A1952" s="271"/>
      <c r="B1952" s="271"/>
      <c r="C1952" s="279"/>
      <c r="D1952" s="274"/>
      <c r="E1952" s="268"/>
      <c r="F1952" s="268"/>
      <c r="G1952" s="272"/>
      <c r="H1952" s="136" t="s">
        <v>674</v>
      </c>
      <c r="I1952" s="181">
        <f>D1949*K1952</f>
        <v>271860</v>
      </c>
      <c r="J1952" s="181">
        <f>I1952/D1949</f>
        <v>184</v>
      </c>
      <c r="K1952" s="181">
        <f>156+28</f>
        <v>184</v>
      </c>
    </row>
    <row r="1953" spans="1:11" x14ac:dyDescent="0.35">
      <c r="A1953" s="270">
        <f>A1949+1</f>
        <v>81</v>
      </c>
      <c r="B1953" s="270">
        <v>1349</v>
      </c>
      <c r="C1953" s="278" t="s">
        <v>107</v>
      </c>
      <c r="D1953" s="273">
        <v>639.14</v>
      </c>
      <c r="E1953" s="273" t="s">
        <v>74</v>
      </c>
      <c r="F1953" s="282">
        <v>2</v>
      </c>
      <c r="G1953" s="165"/>
      <c r="H1953" s="136" t="s">
        <v>72</v>
      </c>
      <c r="I1953" s="181">
        <f>I1954+I1955</f>
        <v>247581.7</v>
      </c>
      <c r="J1953" s="181">
        <f>J1954+J1955</f>
        <v>387.37</v>
      </c>
      <c r="K1953" s="181">
        <f>K1954+K1955</f>
        <v>399</v>
      </c>
    </row>
    <row r="1954" spans="1:11" ht="46.5" x14ac:dyDescent="0.35">
      <c r="A1954" s="271"/>
      <c r="B1954" s="271"/>
      <c r="C1954" s="279"/>
      <c r="D1954" s="274"/>
      <c r="E1954" s="274"/>
      <c r="F1954" s="283"/>
      <c r="G1954" s="146" t="s">
        <v>71</v>
      </c>
      <c r="H1954" s="136" t="s">
        <v>673</v>
      </c>
      <c r="I1954" s="181">
        <f>90509.55+D1953*96</f>
        <v>151866.99</v>
      </c>
      <c r="J1954" s="181">
        <f>I1954/D1953</f>
        <v>237.61</v>
      </c>
      <c r="K1954" s="181">
        <f>151+96</f>
        <v>247</v>
      </c>
    </row>
    <row r="1955" spans="1:11" ht="108.5" x14ac:dyDescent="0.35">
      <c r="A1955" s="272"/>
      <c r="B1955" s="272"/>
      <c r="C1955" s="285"/>
      <c r="D1955" s="275"/>
      <c r="E1955" s="275"/>
      <c r="F1955" s="284"/>
      <c r="G1955" s="141" t="s">
        <v>108</v>
      </c>
      <c r="H1955" s="136" t="s">
        <v>634</v>
      </c>
      <c r="I1955" s="181">
        <f>70149.11+D1953*40</f>
        <v>95714.71</v>
      </c>
      <c r="J1955" s="181">
        <f>I1955/D1953</f>
        <v>149.76</v>
      </c>
      <c r="K1955" s="181">
        <f>112+40</f>
        <v>152</v>
      </c>
    </row>
    <row r="1956" spans="1:11" x14ac:dyDescent="0.35">
      <c r="A1956" s="277">
        <f>A1953+1</f>
        <v>82</v>
      </c>
      <c r="B1956" s="277">
        <v>1858</v>
      </c>
      <c r="C1956" s="286" t="s">
        <v>327</v>
      </c>
      <c r="D1956" s="287">
        <v>3498.4</v>
      </c>
      <c r="E1956" s="276" t="s">
        <v>74</v>
      </c>
      <c r="F1956" s="276">
        <v>5</v>
      </c>
      <c r="G1956" s="277" t="s">
        <v>71</v>
      </c>
      <c r="H1956" s="136" t="s">
        <v>72</v>
      </c>
      <c r="I1956" s="181">
        <f>I1957+I1958</f>
        <v>4392469.7</v>
      </c>
      <c r="J1956" s="181">
        <f>J1957+J1958</f>
        <v>1255.57</v>
      </c>
      <c r="K1956" s="181">
        <f>K1957+K1958</f>
        <v>3242</v>
      </c>
    </row>
    <row r="1957" spans="1:11" x14ac:dyDescent="0.35">
      <c r="A1957" s="277">
        <v>77</v>
      </c>
      <c r="B1957" s="277"/>
      <c r="C1957" s="286"/>
      <c r="D1957" s="287"/>
      <c r="E1957" s="276"/>
      <c r="F1957" s="276"/>
      <c r="G1957" s="277"/>
      <c r="H1957" s="136" t="s">
        <v>73</v>
      </c>
      <c r="I1957" s="181">
        <f>6088813*0.7</f>
        <v>4262169.0999999996</v>
      </c>
      <c r="J1957" s="181">
        <f>I1957/D1956</f>
        <v>1218.32</v>
      </c>
      <c r="K1957" s="181">
        <v>3174</v>
      </c>
    </row>
    <row r="1958" spans="1:11" x14ac:dyDescent="0.35">
      <c r="A1958" s="277">
        <v>78</v>
      </c>
      <c r="B1958" s="277"/>
      <c r="C1958" s="286"/>
      <c r="D1958" s="287"/>
      <c r="E1958" s="276"/>
      <c r="F1958" s="276"/>
      <c r="G1958" s="277"/>
      <c r="H1958" s="136" t="s">
        <v>75</v>
      </c>
      <c r="I1958" s="181">
        <f>6088813*0.0214</f>
        <v>130300.6</v>
      </c>
      <c r="J1958" s="181">
        <f>I1958/D1956</f>
        <v>37.25</v>
      </c>
      <c r="K1958" s="181">
        <v>68</v>
      </c>
    </row>
    <row r="1959" spans="1:11" x14ac:dyDescent="0.35">
      <c r="A1959" s="270">
        <f>A1956+1</f>
        <v>83</v>
      </c>
      <c r="B1959" s="270">
        <v>1275</v>
      </c>
      <c r="C1959" s="278" t="s">
        <v>719</v>
      </c>
      <c r="D1959" s="273">
        <v>2591.9</v>
      </c>
      <c r="E1959" s="267" t="s">
        <v>74</v>
      </c>
      <c r="F1959" s="267">
        <v>6</v>
      </c>
      <c r="G1959" s="167"/>
      <c r="H1959" s="136" t="s">
        <v>72</v>
      </c>
      <c r="I1959" s="181">
        <f>I1960+I1961+I1962</f>
        <v>463950.1</v>
      </c>
      <c r="J1959" s="181">
        <f>J1960+J1961+J1962</f>
        <v>179</v>
      </c>
      <c r="K1959" s="181">
        <f>K1960+K1961+K1962</f>
        <v>179</v>
      </c>
    </row>
    <row r="1960" spans="1:11" ht="46.5" x14ac:dyDescent="0.35">
      <c r="A1960" s="271"/>
      <c r="B1960" s="271"/>
      <c r="C1960" s="279"/>
      <c r="D1960" s="274"/>
      <c r="E1960" s="268"/>
      <c r="F1960" s="268"/>
      <c r="G1960" s="141" t="s">
        <v>76</v>
      </c>
      <c r="H1960" s="136" t="s">
        <v>634</v>
      </c>
      <c r="I1960" s="181">
        <f>D1959*K1960</f>
        <v>334355.09999999998</v>
      </c>
      <c r="J1960" s="181">
        <f>I1960/D1959</f>
        <v>129</v>
      </c>
      <c r="K1960" s="181">
        <f>108+21</f>
        <v>129</v>
      </c>
    </row>
    <row r="1961" spans="1:11" ht="46.5" x14ac:dyDescent="0.35">
      <c r="A1961" s="271"/>
      <c r="B1961" s="271"/>
      <c r="C1961" s="279"/>
      <c r="D1961" s="274"/>
      <c r="E1961" s="268"/>
      <c r="F1961" s="268"/>
      <c r="G1961" s="141" t="s">
        <v>77</v>
      </c>
      <c r="H1961" s="136" t="s">
        <v>634</v>
      </c>
      <c r="I1961" s="181">
        <f>D1959*K1961</f>
        <v>69981.3</v>
      </c>
      <c r="J1961" s="181">
        <f>I1961/D1959</f>
        <v>27</v>
      </c>
      <c r="K1961" s="181">
        <f>19+8</f>
        <v>27</v>
      </c>
    </row>
    <row r="1962" spans="1:11" ht="46.5" x14ac:dyDescent="0.35">
      <c r="A1962" s="271"/>
      <c r="B1962" s="271"/>
      <c r="C1962" s="279"/>
      <c r="D1962" s="274"/>
      <c r="E1962" s="268"/>
      <c r="F1962" s="268"/>
      <c r="G1962" s="141" t="s">
        <v>78</v>
      </c>
      <c r="H1962" s="136" t="s">
        <v>634</v>
      </c>
      <c r="I1962" s="181">
        <f>D1959*K1962</f>
        <v>59613.7</v>
      </c>
      <c r="J1962" s="181">
        <f>I1962/D1959</f>
        <v>23</v>
      </c>
      <c r="K1962" s="181">
        <f>16+7</f>
        <v>23</v>
      </c>
    </row>
    <row r="1963" spans="1:11" x14ac:dyDescent="0.35">
      <c r="A1963" s="277">
        <f>A1959+1</f>
        <v>84</v>
      </c>
      <c r="B1963" s="277">
        <v>1725</v>
      </c>
      <c r="C1963" s="286" t="s">
        <v>328</v>
      </c>
      <c r="D1963" s="287">
        <v>299.2</v>
      </c>
      <c r="E1963" s="276" t="s">
        <v>633</v>
      </c>
      <c r="F1963" s="276">
        <v>2</v>
      </c>
      <c r="G1963" s="277" t="s">
        <v>71</v>
      </c>
      <c r="H1963" s="136" t="s">
        <v>72</v>
      </c>
      <c r="I1963" s="181">
        <f>I1964+I1965</f>
        <v>1262688.47</v>
      </c>
      <c r="J1963" s="181">
        <f>J1964+J1965</f>
        <v>4220.22</v>
      </c>
      <c r="K1963" s="181">
        <f>K1964+K1965</f>
        <v>7066</v>
      </c>
    </row>
    <row r="1964" spans="1:11" x14ac:dyDescent="0.35">
      <c r="A1964" s="277">
        <v>77</v>
      </c>
      <c r="B1964" s="277"/>
      <c r="C1964" s="286"/>
      <c r="D1964" s="287"/>
      <c r="E1964" s="276"/>
      <c r="F1964" s="276"/>
      <c r="G1964" s="277"/>
      <c r="H1964" s="136" t="s">
        <v>73</v>
      </c>
      <c r="I1964" s="181">
        <v>1226891.04</v>
      </c>
      <c r="J1964" s="181">
        <f>I1964/D1963+0.01</f>
        <v>4100.58</v>
      </c>
      <c r="K1964" s="181">
        <v>6918</v>
      </c>
    </row>
    <row r="1965" spans="1:11" x14ac:dyDescent="0.35">
      <c r="A1965" s="277">
        <v>78</v>
      </c>
      <c r="B1965" s="277"/>
      <c r="C1965" s="286"/>
      <c r="D1965" s="287"/>
      <c r="E1965" s="276"/>
      <c r="F1965" s="276"/>
      <c r="G1965" s="277"/>
      <c r="H1965" s="136" t="s">
        <v>75</v>
      </c>
      <c r="I1965" s="181">
        <v>35797.43</v>
      </c>
      <c r="J1965" s="181">
        <f>I1965/D1963</f>
        <v>119.64</v>
      </c>
      <c r="K1965" s="181">
        <v>148</v>
      </c>
    </row>
    <row r="1966" spans="1:11" x14ac:dyDescent="0.35">
      <c r="A1966" s="277">
        <f>A1963+1</f>
        <v>85</v>
      </c>
      <c r="B1966" s="277">
        <v>1286</v>
      </c>
      <c r="C1966" s="286" t="s">
        <v>109</v>
      </c>
      <c r="D1966" s="287">
        <v>3177.26</v>
      </c>
      <c r="E1966" s="276" t="s">
        <v>74</v>
      </c>
      <c r="F1966" s="276">
        <v>5</v>
      </c>
      <c r="G1966" s="277" t="s">
        <v>71</v>
      </c>
      <c r="H1966" s="136" t="s">
        <v>72</v>
      </c>
      <c r="I1966" s="181">
        <f>I1967</f>
        <v>276765.90999999997</v>
      </c>
      <c r="J1966" s="181">
        <f>J1967</f>
        <v>87.11</v>
      </c>
      <c r="K1966" s="181">
        <f>K1967</f>
        <v>169</v>
      </c>
    </row>
    <row r="1967" spans="1:11" ht="46.5" x14ac:dyDescent="0.35">
      <c r="A1967" s="277"/>
      <c r="B1967" s="277"/>
      <c r="C1967" s="286"/>
      <c r="D1967" s="287"/>
      <c r="E1967" s="276"/>
      <c r="F1967" s="276"/>
      <c r="G1967" s="277"/>
      <c r="H1967" s="136" t="s">
        <v>673</v>
      </c>
      <c r="I1967" s="181">
        <f>219575.23+D1966*18</f>
        <v>276765.90999999997</v>
      </c>
      <c r="J1967" s="181">
        <f>I1967/D1966</f>
        <v>87.11</v>
      </c>
      <c r="K1967" s="181">
        <f>151+18</f>
        <v>169</v>
      </c>
    </row>
    <row r="1968" spans="1:11" x14ac:dyDescent="0.35">
      <c r="A1968" s="270">
        <f>A1966+1</f>
        <v>86</v>
      </c>
      <c r="B1968" s="270">
        <v>1367</v>
      </c>
      <c r="C1968" s="278" t="s">
        <v>330</v>
      </c>
      <c r="D1968" s="273">
        <v>12279.6</v>
      </c>
      <c r="E1968" s="267" t="s">
        <v>70</v>
      </c>
      <c r="F1968" s="267">
        <v>9</v>
      </c>
      <c r="G1968" s="311" t="s">
        <v>76</v>
      </c>
      <c r="H1968" s="136" t="s">
        <v>72</v>
      </c>
      <c r="I1968" s="181">
        <f>I1969+I1970+I1971+I1972+I1973+I1974</f>
        <v>17067686.109999999</v>
      </c>
      <c r="J1968" s="181">
        <f>J1969+J1970+J1971+J1972+J1973+J1974</f>
        <v>1389.92</v>
      </c>
      <c r="K1968" s="181">
        <f>K1969+K1970+K1971+K1972+K1973+K1974</f>
        <v>2178</v>
      </c>
    </row>
    <row r="1969" spans="1:11" x14ac:dyDescent="0.35">
      <c r="A1969" s="271"/>
      <c r="B1969" s="271"/>
      <c r="C1969" s="279"/>
      <c r="D1969" s="274"/>
      <c r="E1969" s="268"/>
      <c r="F1969" s="268"/>
      <c r="G1969" s="354"/>
      <c r="H1969" s="136" t="s">
        <v>73</v>
      </c>
      <c r="I1969" s="181">
        <f>15394934.51*0.7</f>
        <v>10776454.16</v>
      </c>
      <c r="J1969" s="181">
        <f>I1969/D1968</f>
        <v>877.59</v>
      </c>
      <c r="K1969" s="181">
        <v>1260</v>
      </c>
    </row>
    <row r="1970" spans="1:11" x14ac:dyDescent="0.35">
      <c r="A1970" s="271"/>
      <c r="B1970" s="271"/>
      <c r="C1970" s="279"/>
      <c r="D1970" s="274"/>
      <c r="E1970" s="268"/>
      <c r="F1970" s="268"/>
      <c r="G1970" s="312"/>
      <c r="H1970" s="136" t="s">
        <v>75</v>
      </c>
      <c r="I1970" s="181">
        <f>15394934.51*0.0214</f>
        <v>329451.59999999998</v>
      </c>
      <c r="J1970" s="181">
        <f>I1970/D1968</f>
        <v>26.83</v>
      </c>
      <c r="K1970" s="181">
        <v>27</v>
      </c>
    </row>
    <row r="1971" spans="1:11" x14ac:dyDescent="0.35">
      <c r="A1971" s="271"/>
      <c r="B1971" s="271"/>
      <c r="C1971" s="279"/>
      <c r="D1971" s="274"/>
      <c r="E1971" s="268"/>
      <c r="F1971" s="268"/>
      <c r="G1971" s="270" t="s">
        <v>77</v>
      </c>
      <c r="H1971" s="136" t="s">
        <v>73</v>
      </c>
      <c r="I1971" s="181">
        <f>3266936.64*0.7</f>
        <v>2286855.65</v>
      </c>
      <c r="J1971" s="181">
        <f>I1971/D1968</f>
        <v>186.23</v>
      </c>
      <c r="K1971" s="181">
        <v>463</v>
      </c>
    </row>
    <row r="1972" spans="1:11" x14ac:dyDescent="0.35">
      <c r="A1972" s="271"/>
      <c r="B1972" s="271"/>
      <c r="C1972" s="279"/>
      <c r="D1972" s="274"/>
      <c r="E1972" s="268"/>
      <c r="F1972" s="268"/>
      <c r="G1972" s="272"/>
      <c r="H1972" s="136" t="s">
        <v>75</v>
      </c>
      <c r="I1972" s="181">
        <f>3266936.64*0.0214</f>
        <v>69912.44</v>
      </c>
      <c r="J1972" s="181">
        <f>I1972/D1968</f>
        <v>5.69</v>
      </c>
      <c r="K1972" s="181">
        <v>10</v>
      </c>
    </row>
    <row r="1973" spans="1:11" x14ac:dyDescent="0.35">
      <c r="A1973" s="271"/>
      <c r="B1973" s="271"/>
      <c r="C1973" s="279"/>
      <c r="D1973" s="274"/>
      <c r="E1973" s="268"/>
      <c r="F1973" s="268"/>
      <c r="G1973" s="270" t="s">
        <v>78</v>
      </c>
      <c r="H1973" s="136" t="s">
        <v>73</v>
      </c>
      <c r="I1973" s="181">
        <f>4997244.62*0.7</f>
        <v>3498071.23</v>
      </c>
      <c r="J1973" s="181">
        <f>I1973/D1968</f>
        <v>284.87</v>
      </c>
      <c r="K1973" s="181">
        <v>409</v>
      </c>
    </row>
    <row r="1974" spans="1:11" x14ac:dyDescent="0.35">
      <c r="A1974" s="272"/>
      <c r="B1974" s="272"/>
      <c r="C1974" s="285"/>
      <c r="D1974" s="275"/>
      <c r="E1974" s="269"/>
      <c r="F1974" s="269"/>
      <c r="G1974" s="272"/>
      <c r="H1974" s="136" t="s">
        <v>75</v>
      </c>
      <c r="I1974" s="181">
        <f>4997244.62*0.0214</f>
        <v>106941.03</v>
      </c>
      <c r="J1974" s="181">
        <f>I1974/D1968</f>
        <v>8.7100000000000009</v>
      </c>
      <c r="K1974" s="181">
        <v>9</v>
      </c>
    </row>
    <row r="1975" spans="1:11" ht="15.5" customHeight="1" x14ac:dyDescent="0.35">
      <c r="A1975" s="277">
        <f>A1968+1</f>
        <v>87</v>
      </c>
      <c r="B1975" s="277">
        <v>1057</v>
      </c>
      <c r="C1975" s="277" t="s">
        <v>832</v>
      </c>
      <c r="D1975" s="287">
        <v>15850.4</v>
      </c>
      <c r="E1975" s="287" t="s">
        <v>70</v>
      </c>
      <c r="F1975" s="304">
        <v>7</v>
      </c>
      <c r="G1975" s="146"/>
      <c r="H1975" s="182" t="s">
        <v>72</v>
      </c>
      <c r="I1975" s="181">
        <f>SUM(I1976:I1981)</f>
        <v>3555346</v>
      </c>
      <c r="J1975" s="181">
        <f>SUM(J1976:J1981)</f>
        <v>224.31</v>
      </c>
      <c r="K1975" s="181">
        <f>SUM(K1976:K1981)</f>
        <v>224.31</v>
      </c>
    </row>
    <row r="1976" spans="1:11" ht="46.5" x14ac:dyDescent="0.35">
      <c r="A1976" s="277"/>
      <c r="B1976" s="277"/>
      <c r="C1976" s="277"/>
      <c r="D1976" s="287"/>
      <c r="E1976" s="287"/>
      <c r="F1976" s="304"/>
      <c r="G1976" s="270" t="s">
        <v>650</v>
      </c>
      <c r="H1976" s="182" t="s">
        <v>634</v>
      </c>
      <c r="I1976" s="181">
        <v>32281</v>
      </c>
      <c r="J1976" s="181">
        <f>I1976/D1975</f>
        <v>2.04</v>
      </c>
      <c r="K1976" s="181">
        <f>32281/D1975-0.01</f>
        <v>2.0299999999999998</v>
      </c>
    </row>
    <row r="1977" spans="1:11" x14ac:dyDescent="0.35">
      <c r="A1977" s="277">
        <v>756</v>
      </c>
      <c r="B1977" s="277"/>
      <c r="C1977" s="277"/>
      <c r="D1977" s="287"/>
      <c r="E1977" s="287"/>
      <c r="F1977" s="304"/>
      <c r="G1977" s="271"/>
      <c r="H1977" s="182" t="s">
        <v>642</v>
      </c>
      <c r="I1977" s="181">
        <v>1708823</v>
      </c>
      <c r="J1977" s="181">
        <f>I1977/D1975-0.01</f>
        <v>107.8</v>
      </c>
      <c r="K1977" s="181">
        <f>1708823/D1975</f>
        <v>107.81</v>
      </c>
    </row>
    <row r="1978" spans="1:11" x14ac:dyDescent="0.35">
      <c r="A1978" s="277">
        <v>757</v>
      </c>
      <c r="B1978" s="277"/>
      <c r="C1978" s="277"/>
      <c r="D1978" s="287"/>
      <c r="E1978" s="287"/>
      <c r="F1978" s="304"/>
      <c r="G1978" s="272"/>
      <c r="H1978" s="182" t="s">
        <v>75</v>
      </c>
      <c r="I1978" s="181">
        <v>36569</v>
      </c>
      <c r="J1978" s="181">
        <f>I1978/D1975</f>
        <v>2.31</v>
      </c>
      <c r="K1978" s="181">
        <f>36569/D1975</f>
        <v>2.31</v>
      </c>
    </row>
    <row r="1979" spans="1:11" ht="46.5" x14ac:dyDescent="0.35">
      <c r="A1979" s="277"/>
      <c r="B1979" s="277"/>
      <c r="C1979" s="277"/>
      <c r="D1979" s="287"/>
      <c r="E1979" s="287"/>
      <c r="F1979" s="304"/>
      <c r="G1979" s="270" t="s">
        <v>651</v>
      </c>
      <c r="H1979" s="182" t="s">
        <v>634</v>
      </c>
      <c r="I1979" s="181">
        <v>32281</v>
      </c>
      <c r="J1979" s="181">
        <f>I1979/D1975</f>
        <v>2.04</v>
      </c>
      <c r="K1979" s="181">
        <f>32281/D1975</f>
        <v>2.04</v>
      </c>
    </row>
    <row r="1980" spans="1:11" x14ac:dyDescent="0.35">
      <c r="A1980" s="277"/>
      <c r="B1980" s="277"/>
      <c r="C1980" s="277"/>
      <c r="D1980" s="287"/>
      <c r="E1980" s="287"/>
      <c r="F1980" s="304"/>
      <c r="G1980" s="271"/>
      <c r="H1980" s="182" t="s">
        <v>642</v>
      </c>
      <c r="I1980" s="181">
        <v>1708823</v>
      </c>
      <c r="J1980" s="181">
        <f>I1980/D1975</f>
        <v>107.81</v>
      </c>
      <c r="K1980" s="181">
        <f>1708823/D1975</f>
        <v>107.81</v>
      </c>
    </row>
    <row r="1981" spans="1:11" x14ac:dyDescent="0.35">
      <c r="A1981" s="277"/>
      <c r="B1981" s="277"/>
      <c r="C1981" s="277"/>
      <c r="D1981" s="287"/>
      <c r="E1981" s="287"/>
      <c r="F1981" s="304"/>
      <c r="G1981" s="272"/>
      <c r="H1981" s="182" t="s">
        <v>75</v>
      </c>
      <c r="I1981" s="181">
        <v>36569</v>
      </c>
      <c r="J1981" s="181">
        <f>I1981/D1975</f>
        <v>2.31</v>
      </c>
      <c r="K1981" s="181">
        <f>36569/D1975</f>
        <v>2.31</v>
      </c>
    </row>
    <row r="1982" spans="1:11" x14ac:dyDescent="0.35">
      <c r="A1982" s="277">
        <f>A1975+1</f>
        <v>88</v>
      </c>
      <c r="B1982" s="277">
        <v>1490</v>
      </c>
      <c r="C1982" s="286" t="s">
        <v>110</v>
      </c>
      <c r="D1982" s="287">
        <v>3162.22</v>
      </c>
      <c r="E1982" s="276" t="s">
        <v>74</v>
      </c>
      <c r="F1982" s="276">
        <v>5</v>
      </c>
      <c r="G1982" s="277" t="s">
        <v>71</v>
      </c>
      <c r="H1982" s="136" t="s">
        <v>72</v>
      </c>
      <c r="I1982" s="181">
        <f>I1983</f>
        <v>271958.71999999997</v>
      </c>
      <c r="J1982" s="181">
        <f>J1983</f>
        <v>86</v>
      </c>
      <c r="K1982" s="181">
        <f>K1983</f>
        <v>169</v>
      </c>
    </row>
    <row r="1983" spans="1:11" ht="46.5" x14ac:dyDescent="0.35">
      <c r="A1983" s="277"/>
      <c r="B1983" s="277"/>
      <c r="C1983" s="286"/>
      <c r="D1983" s="287"/>
      <c r="E1983" s="276"/>
      <c r="F1983" s="276"/>
      <c r="G1983" s="277"/>
      <c r="H1983" s="136" t="s">
        <v>673</v>
      </c>
      <c r="I1983" s="181">
        <f>215038.76+D1982*18</f>
        <v>271958.71999999997</v>
      </c>
      <c r="J1983" s="181">
        <f>I1983/D1982</f>
        <v>86</v>
      </c>
      <c r="K1983" s="181">
        <f>151+18</f>
        <v>169</v>
      </c>
    </row>
    <row r="1984" spans="1:11" x14ac:dyDescent="0.35">
      <c r="A1984" s="277">
        <f>A1982+1</f>
        <v>89</v>
      </c>
      <c r="B1984" s="277">
        <v>1492</v>
      </c>
      <c r="C1984" s="286" t="s">
        <v>111</v>
      </c>
      <c r="D1984" s="287">
        <v>3144.5</v>
      </c>
      <c r="E1984" s="276" t="s">
        <v>74</v>
      </c>
      <c r="F1984" s="276">
        <v>5</v>
      </c>
      <c r="G1984" s="277" t="s">
        <v>71</v>
      </c>
      <c r="H1984" s="136" t="s">
        <v>72</v>
      </c>
      <c r="I1984" s="181">
        <f>I1985</f>
        <v>235139.75</v>
      </c>
      <c r="J1984" s="181">
        <f>J1985</f>
        <v>74.78</v>
      </c>
      <c r="K1984" s="181">
        <f>K1985</f>
        <v>169</v>
      </c>
    </row>
    <row r="1985" spans="1:11" ht="46.5" x14ac:dyDescent="0.35">
      <c r="A1985" s="277"/>
      <c r="B1985" s="277"/>
      <c r="C1985" s="286"/>
      <c r="D1985" s="287"/>
      <c r="E1985" s="276"/>
      <c r="F1985" s="276"/>
      <c r="G1985" s="277"/>
      <c r="H1985" s="136" t="s">
        <v>673</v>
      </c>
      <c r="I1985" s="181">
        <f>178538.75+D1984*18</f>
        <v>235139.75</v>
      </c>
      <c r="J1985" s="181">
        <f>I1985/D1984</f>
        <v>74.78</v>
      </c>
      <c r="K1985" s="181">
        <f>151+18</f>
        <v>169</v>
      </c>
    </row>
    <row r="1986" spans="1:11" x14ac:dyDescent="0.35">
      <c r="A1986" s="277">
        <f>A1984+1</f>
        <v>90</v>
      </c>
      <c r="B1986" s="277">
        <v>1370</v>
      </c>
      <c r="C1986" s="286" t="s">
        <v>332</v>
      </c>
      <c r="D1986" s="287">
        <v>4201.3999999999996</v>
      </c>
      <c r="E1986" s="276" t="s">
        <v>74</v>
      </c>
      <c r="F1986" s="276">
        <v>5</v>
      </c>
      <c r="G1986" s="277" t="s">
        <v>86</v>
      </c>
      <c r="H1986" s="136" t="s">
        <v>72</v>
      </c>
      <c r="I1986" s="181">
        <f>I1987+I1988</f>
        <v>1145353.72</v>
      </c>
      <c r="J1986" s="181">
        <f>J1987+J1988</f>
        <v>272.61</v>
      </c>
      <c r="K1986" s="181">
        <f>K1987+K1988</f>
        <v>596</v>
      </c>
    </row>
    <row r="1987" spans="1:11" x14ac:dyDescent="0.35">
      <c r="A1987" s="277">
        <v>77</v>
      </c>
      <c r="B1987" s="277"/>
      <c r="C1987" s="286"/>
      <c r="D1987" s="287"/>
      <c r="E1987" s="276"/>
      <c r="F1987" s="276"/>
      <c r="G1987" s="277"/>
      <c r="H1987" s="136" t="s">
        <v>73</v>
      </c>
      <c r="I1987" s="181">
        <f>1587681.9*0.7</f>
        <v>1111377.33</v>
      </c>
      <c r="J1987" s="181">
        <f>I1987/D1986-0.01</f>
        <v>264.52</v>
      </c>
      <c r="K1987" s="181">
        <v>584</v>
      </c>
    </row>
    <row r="1988" spans="1:11" x14ac:dyDescent="0.35">
      <c r="A1988" s="277">
        <v>78</v>
      </c>
      <c r="B1988" s="277"/>
      <c r="C1988" s="286"/>
      <c r="D1988" s="287"/>
      <c r="E1988" s="276"/>
      <c r="F1988" s="276"/>
      <c r="G1988" s="277"/>
      <c r="H1988" s="136" t="s">
        <v>75</v>
      </c>
      <c r="I1988" s="181">
        <f>1587681.9*0.0214</f>
        <v>33976.39</v>
      </c>
      <c r="J1988" s="181">
        <f>I1988/D1986</f>
        <v>8.09</v>
      </c>
      <c r="K1988" s="181">
        <v>12</v>
      </c>
    </row>
    <row r="1989" spans="1:11" x14ac:dyDescent="0.35">
      <c r="A1989" s="277">
        <f>A1986+1</f>
        <v>91</v>
      </c>
      <c r="B1989" s="277">
        <v>1445</v>
      </c>
      <c r="C1989" s="286" t="s">
        <v>333</v>
      </c>
      <c r="D1989" s="287">
        <v>1372.4</v>
      </c>
      <c r="E1989" s="276" t="s">
        <v>74</v>
      </c>
      <c r="F1989" s="276">
        <v>6</v>
      </c>
      <c r="G1989" s="277" t="s">
        <v>71</v>
      </c>
      <c r="H1989" s="136" t="s">
        <v>72</v>
      </c>
      <c r="I1989" s="181">
        <f>I1990+I1991</f>
        <v>2846460.33</v>
      </c>
      <c r="J1989" s="181">
        <f>J1990+J1991</f>
        <v>2074.0700000000002</v>
      </c>
      <c r="K1989" s="181">
        <f>K1990+K1991</f>
        <v>3242</v>
      </c>
    </row>
    <row r="1990" spans="1:11" x14ac:dyDescent="0.35">
      <c r="A1990" s="277">
        <v>77</v>
      </c>
      <c r="B1990" s="277"/>
      <c r="C1990" s="286"/>
      <c r="D1990" s="287"/>
      <c r="E1990" s="276"/>
      <c r="F1990" s="276"/>
      <c r="G1990" s="277"/>
      <c r="H1990" s="136" t="s">
        <v>73</v>
      </c>
      <c r="I1990" s="181">
        <v>2786822.33</v>
      </c>
      <c r="J1990" s="181">
        <f>I1990/D1989-0.01</f>
        <v>2030.61</v>
      </c>
      <c r="K1990" s="181">
        <v>3174</v>
      </c>
    </row>
    <row r="1991" spans="1:11" x14ac:dyDescent="0.35">
      <c r="A1991" s="277">
        <v>78</v>
      </c>
      <c r="B1991" s="277"/>
      <c r="C1991" s="286"/>
      <c r="D1991" s="287"/>
      <c r="E1991" s="276"/>
      <c r="F1991" s="276"/>
      <c r="G1991" s="277"/>
      <c r="H1991" s="136" t="s">
        <v>75</v>
      </c>
      <c r="I1991" s="181">
        <f>I1990*0.0214</f>
        <v>59638</v>
      </c>
      <c r="J1991" s="181">
        <f>I1991/D1989</f>
        <v>43.46</v>
      </c>
      <c r="K1991" s="181">
        <v>68</v>
      </c>
    </row>
    <row r="1992" spans="1:11" x14ac:dyDescent="0.35">
      <c r="A1992" s="277">
        <f>A1989+1</f>
        <v>92</v>
      </c>
      <c r="B1992" s="277">
        <v>1373</v>
      </c>
      <c r="C1992" s="286" t="s">
        <v>336</v>
      </c>
      <c r="D1992" s="287">
        <v>3533.5</v>
      </c>
      <c r="E1992" s="276" t="s">
        <v>70</v>
      </c>
      <c r="F1992" s="276">
        <v>5</v>
      </c>
      <c r="G1992" s="277" t="s">
        <v>71</v>
      </c>
      <c r="H1992" s="136" t="s">
        <v>72</v>
      </c>
      <c r="I1992" s="181">
        <f>I1993+I1994</f>
        <v>8579176.3200000003</v>
      </c>
      <c r="J1992" s="181">
        <f>J1993+J1994</f>
        <v>2427.9499999999998</v>
      </c>
      <c r="K1992" s="181">
        <f>K1993+K1994</f>
        <v>3449</v>
      </c>
    </row>
    <row r="1993" spans="1:11" ht="31" x14ac:dyDescent="0.35">
      <c r="A1993" s="277"/>
      <c r="B1993" s="277"/>
      <c r="C1993" s="286"/>
      <c r="D1993" s="287"/>
      <c r="E1993" s="276"/>
      <c r="F1993" s="276"/>
      <c r="G1993" s="277"/>
      <c r="H1993" s="136" t="s">
        <v>85</v>
      </c>
      <c r="I1993" s="181">
        <f>11894337.69*0.7</f>
        <v>8326036.3799999999</v>
      </c>
      <c r="J1993" s="181">
        <f>I1993/D1992</f>
        <v>2356.31</v>
      </c>
      <c r="K1993" s="181">
        <v>3377</v>
      </c>
    </row>
    <row r="1994" spans="1:11" x14ac:dyDescent="0.35">
      <c r="A1994" s="277"/>
      <c r="B1994" s="277"/>
      <c r="C1994" s="286"/>
      <c r="D1994" s="287"/>
      <c r="E1994" s="276"/>
      <c r="F1994" s="276"/>
      <c r="G1994" s="277"/>
      <c r="H1994" s="136" t="s">
        <v>75</v>
      </c>
      <c r="I1994" s="181">
        <v>253139.94</v>
      </c>
      <c r="J1994" s="181">
        <f>I1994/D1992</f>
        <v>71.64</v>
      </c>
      <c r="K1994" s="181">
        <v>72</v>
      </c>
    </row>
    <row r="1995" spans="1:11" x14ac:dyDescent="0.35">
      <c r="A1995" s="277">
        <f>A1992+1</f>
        <v>93</v>
      </c>
      <c r="B1995" s="277">
        <v>1376</v>
      </c>
      <c r="C1995" s="286" t="s">
        <v>337</v>
      </c>
      <c r="D1995" s="287">
        <v>2451.35</v>
      </c>
      <c r="E1995" s="276" t="s">
        <v>70</v>
      </c>
      <c r="F1995" s="276">
        <v>5</v>
      </c>
      <c r="G1995" s="277" t="s">
        <v>71</v>
      </c>
      <c r="H1995" s="136" t="s">
        <v>72</v>
      </c>
      <c r="I1995" s="181">
        <f>I1996+I1997</f>
        <v>5673984.2699999996</v>
      </c>
      <c r="J1995" s="181">
        <f>J1996+J1997</f>
        <v>2314.64</v>
      </c>
      <c r="K1995" s="181">
        <f>K1996+K1997</f>
        <v>3449</v>
      </c>
    </row>
    <row r="1996" spans="1:11" ht="31" x14ac:dyDescent="0.35">
      <c r="A1996" s="277">
        <v>77</v>
      </c>
      <c r="B1996" s="277"/>
      <c r="C1996" s="286"/>
      <c r="D1996" s="287"/>
      <c r="E1996" s="276"/>
      <c r="F1996" s="276"/>
      <c r="G1996" s="277"/>
      <c r="H1996" s="136" t="s">
        <v>85</v>
      </c>
      <c r="I1996" s="181">
        <f>7865240.19*0.7</f>
        <v>5505668.1299999999</v>
      </c>
      <c r="J1996" s="181">
        <f>I1996/D1995+0.01</f>
        <v>2245.98</v>
      </c>
      <c r="K1996" s="181">
        <v>3377</v>
      </c>
    </row>
    <row r="1997" spans="1:11" x14ac:dyDescent="0.35">
      <c r="A1997" s="277">
        <v>78</v>
      </c>
      <c r="B1997" s="277"/>
      <c r="C1997" s="286"/>
      <c r="D1997" s="287"/>
      <c r="E1997" s="276"/>
      <c r="F1997" s="276"/>
      <c r="G1997" s="277"/>
      <c r="H1997" s="136" t="s">
        <v>75</v>
      </c>
      <c r="I1997" s="181">
        <f>7865240.19*0.0214</f>
        <v>168316.14</v>
      </c>
      <c r="J1997" s="181">
        <f>I1997/D1995</f>
        <v>68.66</v>
      </c>
      <c r="K1997" s="181">
        <v>72</v>
      </c>
    </row>
    <row r="1998" spans="1:11" x14ac:dyDescent="0.35">
      <c r="A1998" s="270">
        <f>A1995+1</f>
        <v>94</v>
      </c>
      <c r="B1998" s="270">
        <v>1377</v>
      </c>
      <c r="C1998" s="278" t="s">
        <v>338</v>
      </c>
      <c r="D1998" s="273">
        <v>14235.2</v>
      </c>
      <c r="E1998" s="267" t="s">
        <v>70</v>
      </c>
      <c r="F1998" s="267">
        <v>9</v>
      </c>
      <c r="G1998" s="277" t="s">
        <v>76</v>
      </c>
      <c r="H1998" s="136" t="s">
        <v>72</v>
      </c>
      <c r="I1998" s="181">
        <f>I1999+I2000+I2001+I2002+I2003+I2004</f>
        <v>19852770.469999999</v>
      </c>
      <c r="J1998" s="181">
        <f>J1999+J2000+J2001+J2002+J2003+J2004</f>
        <v>1394.63</v>
      </c>
      <c r="K1998" s="181">
        <f>K1999+K2000+K2001+K2002+K2003+K2004</f>
        <v>2178</v>
      </c>
    </row>
    <row r="1999" spans="1:11" x14ac:dyDescent="0.35">
      <c r="A1999" s="271"/>
      <c r="B1999" s="271"/>
      <c r="C1999" s="279"/>
      <c r="D1999" s="274"/>
      <c r="E1999" s="268"/>
      <c r="F1999" s="268"/>
      <c r="G1999" s="277"/>
      <c r="H1999" s="136" t="s">
        <v>73</v>
      </c>
      <c r="I1999" s="181">
        <f>17846670.24*0.7</f>
        <v>12492669.17</v>
      </c>
      <c r="J1999" s="181">
        <f>I1999/D1998</f>
        <v>877.59</v>
      </c>
      <c r="K1999" s="181">
        <v>1260</v>
      </c>
    </row>
    <row r="2000" spans="1:11" x14ac:dyDescent="0.35">
      <c r="A2000" s="271"/>
      <c r="B2000" s="271"/>
      <c r="C2000" s="279"/>
      <c r="D2000" s="274"/>
      <c r="E2000" s="268"/>
      <c r="F2000" s="268"/>
      <c r="G2000" s="277"/>
      <c r="H2000" s="136" t="s">
        <v>75</v>
      </c>
      <c r="I2000" s="181">
        <f>17846670.24*0.0214</f>
        <v>381918.74</v>
      </c>
      <c r="J2000" s="181">
        <f>I2000/D1998</f>
        <v>26.83</v>
      </c>
      <c r="K2000" s="181">
        <v>27</v>
      </c>
    </row>
    <row r="2001" spans="1:11" x14ac:dyDescent="0.35">
      <c r="A2001" s="271"/>
      <c r="B2001" s="271"/>
      <c r="C2001" s="279"/>
      <c r="D2001" s="274"/>
      <c r="E2001" s="268"/>
      <c r="F2001" s="268"/>
      <c r="G2001" s="270" t="s">
        <v>77</v>
      </c>
      <c r="H2001" s="136" t="s">
        <v>73</v>
      </c>
      <c r="I2001" s="181">
        <f>3880025.57*0.7</f>
        <v>2716017.9</v>
      </c>
      <c r="J2001" s="181">
        <f>I2001/D1998</f>
        <v>190.8</v>
      </c>
      <c r="K2001" s="181">
        <v>463</v>
      </c>
    </row>
    <row r="2002" spans="1:11" x14ac:dyDescent="0.35">
      <c r="A2002" s="271"/>
      <c r="B2002" s="271"/>
      <c r="C2002" s="279"/>
      <c r="D2002" s="274"/>
      <c r="E2002" s="268"/>
      <c r="F2002" s="268"/>
      <c r="G2002" s="272"/>
      <c r="H2002" s="136" t="s">
        <v>75</v>
      </c>
      <c r="I2002" s="181">
        <f>3880025.57*0.0214</f>
        <v>83032.55</v>
      </c>
      <c r="J2002" s="181">
        <f>I2002/D1998</f>
        <v>5.83</v>
      </c>
      <c r="K2002" s="181">
        <v>10</v>
      </c>
    </row>
    <row r="2003" spans="1:11" x14ac:dyDescent="0.35">
      <c r="A2003" s="271"/>
      <c r="B2003" s="271"/>
      <c r="C2003" s="279"/>
      <c r="D2003" s="274"/>
      <c r="E2003" s="268"/>
      <c r="F2003" s="268"/>
      <c r="G2003" s="270" t="s">
        <v>78</v>
      </c>
      <c r="H2003" s="136" t="s">
        <v>73</v>
      </c>
      <c r="I2003" s="181">
        <f>5793085.81*0.7</f>
        <v>4055160.07</v>
      </c>
      <c r="J2003" s="181">
        <f>I2003/D1998</f>
        <v>284.87</v>
      </c>
      <c r="K2003" s="181">
        <v>409</v>
      </c>
    </row>
    <row r="2004" spans="1:11" x14ac:dyDescent="0.35">
      <c r="A2004" s="272"/>
      <c r="B2004" s="272"/>
      <c r="C2004" s="285"/>
      <c r="D2004" s="275"/>
      <c r="E2004" s="269"/>
      <c r="F2004" s="269"/>
      <c r="G2004" s="272"/>
      <c r="H2004" s="136" t="s">
        <v>75</v>
      </c>
      <c r="I2004" s="181">
        <f>5793085.81*0.0214</f>
        <v>123972.04</v>
      </c>
      <c r="J2004" s="181">
        <f>I2004/D1998</f>
        <v>8.7100000000000009</v>
      </c>
      <c r="K2004" s="181">
        <v>9</v>
      </c>
    </row>
    <row r="2005" spans="1:11" x14ac:dyDescent="0.35">
      <c r="A2005" s="277">
        <f>A1998+1</f>
        <v>95</v>
      </c>
      <c r="B2005" s="277">
        <v>1378</v>
      </c>
      <c r="C2005" s="286" t="s">
        <v>339</v>
      </c>
      <c r="D2005" s="295">
        <v>4687.8</v>
      </c>
      <c r="E2005" s="317" t="s">
        <v>70</v>
      </c>
      <c r="F2005" s="317">
        <v>5</v>
      </c>
      <c r="G2005" s="277" t="s">
        <v>71</v>
      </c>
      <c r="H2005" s="136" t="s">
        <v>72</v>
      </c>
      <c r="I2005" s="181">
        <f>I2006+I2007</f>
        <v>10137640.33</v>
      </c>
      <c r="J2005" s="181">
        <f>J2006+J2007</f>
        <v>2162.56</v>
      </c>
      <c r="K2005" s="181">
        <f>K2006+K2007</f>
        <v>3449</v>
      </c>
    </row>
    <row r="2006" spans="1:11" ht="31" x14ac:dyDescent="0.35">
      <c r="A2006" s="277"/>
      <c r="B2006" s="277"/>
      <c r="C2006" s="286"/>
      <c r="D2006" s="295"/>
      <c r="E2006" s="317"/>
      <c r="F2006" s="317"/>
      <c r="G2006" s="277"/>
      <c r="H2006" s="136" t="s">
        <v>85</v>
      </c>
      <c r="I2006" s="181">
        <f>14052731.26*0.7</f>
        <v>9836911.8800000008</v>
      </c>
      <c r="J2006" s="181">
        <f>I2006/D2005</f>
        <v>2098.41</v>
      </c>
      <c r="K2006" s="181">
        <v>3377</v>
      </c>
    </row>
    <row r="2007" spans="1:11" x14ac:dyDescent="0.35">
      <c r="A2007" s="277"/>
      <c r="B2007" s="277"/>
      <c r="C2007" s="286"/>
      <c r="D2007" s="295"/>
      <c r="E2007" s="317"/>
      <c r="F2007" s="317"/>
      <c r="G2007" s="277"/>
      <c r="H2007" s="136" t="s">
        <v>75</v>
      </c>
      <c r="I2007" s="181">
        <f>14052731.26*0.0214</f>
        <v>300728.45</v>
      </c>
      <c r="J2007" s="181">
        <f>I2007/D2005</f>
        <v>64.150000000000006</v>
      </c>
      <c r="K2007" s="181">
        <v>72</v>
      </c>
    </row>
    <row r="2008" spans="1:11" x14ac:dyDescent="0.35">
      <c r="A2008" s="277">
        <f>A2005+1</f>
        <v>96</v>
      </c>
      <c r="B2008" s="277">
        <v>1379</v>
      </c>
      <c r="C2008" s="286" t="s">
        <v>340</v>
      </c>
      <c r="D2008" s="295">
        <v>2659.6</v>
      </c>
      <c r="E2008" s="317" t="s">
        <v>70</v>
      </c>
      <c r="F2008" s="317">
        <v>5</v>
      </c>
      <c r="G2008" s="277" t="s">
        <v>71</v>
      </c>
      <c r="H2008" s="136" t="s">
        <v>72</v>
      </c>
      <c r="I2008" s="181">
        <f>I2009+I2010</f>
        <v>5644582.8099999996</v>
      </c>
      <c r="J2008" s="181">
        <f>J2009+J2010</f>
        <v>2122.34</v>
      </c>
      <c r="K2008" s="181">
        <f>K2009+K2010</f>
        <v>3449</v>
      </c>
    </row>
    <row r="2009" spans="1:11" ht="31" x14ac:dyDescent="0.35">
      <c r="A2009" s="277"/>
      <c r="B2009" s="277"/>
      <c r="C2009" s="286"/>
      <c r="D2009" s="295"/>
      <c r="E2009" s="317"/>
      <c r="F2009" s="317"/>
      <c r="G2009" s="277"/>
      <c r="H2009" s="136" t="s">
        <v>85</v>
      </c>
      <c r="I2009" s="181">
        <f>7824484.07*0.7</f>
        <v>5477138.8499999996</v>
      </c>
      <c r="J2009" s="181">
        <f>I2009/D2008</f>
        <v>2059.38</v>
      </c>
      <c r="K2009" s="181">
        <v>3377</v>
      </c>
    </row>
    <row r="2010" spans="1:11" x14ac:dyDescent="0.35">
      <c r="A2010" s="277"/>
      <c r="B2010" s="277"/>
      <c r="C2010" s="286"/>
      <c r="D2010" s="295"/>
      <c r="E2010" s="317"/>
      <c r="F2010" s="317"/>
      <c r="G2010" s="277"/>
      <c r="H2010" s="136" t="s">
        <v>75</v>
      </c>
      <c r="I2010" s="181">
        <f>7824484.07*0.0214</f>
        <v>167443.96</v>
      </c>
      <c r="J2010" s="181">
        <f>I2010/D2008</f>
        <v>62.96</v>
      </c>
      <c r="K2010" s="181">
        <v>72</v>
      </c>
    </row>
    <row r="2011" spans="1:11" x14ac:dyDescent="0.35">
      <c r="A2011" s="270">
        <f>A2008+1</f>
        <v>97</v>
      </c>
      <c r="B2011" s="270">
        <v>1242</v>
      </c>
      <c r="C2011" s="278" t="s">
        <v>720</v>
      </c>
      <c r="D2011" s="273">
        <v>7740.2</v>
      </c>
      <c r="E2011" s="267" t="s">
        <v>70</v>
      </c>
      <c r="F2011" s="267">
        <v>9</v>
      </c>
      <c r="G2011" s="167"/>
      <c r="H2011" s="136" t="s">
        <v>72</v>
      </c>
      <c r="I2011" s="181">
        <f>I2012+I2013+I2014</f>
        <v>1091368.2</v>
      </c>
      <c r="J2011" s="181">
        <f>J2012+J2013+J2014</f>
        <v>141</v>
      </c>
      <c r="K2011" s="181">
        <f>K2012+K2013+K2014</f>
        <v>141</v>
      </c>
    </row>
    <row r="2012" spans="1:11" ht="46.5" x14ac:dyDescent="0.35">
      <c r="A2012" s="271"/>
      <c r="B2012" s="271"/>
      <c r="C2012" s="279"/>
      <c r="D2012" s="274"/>
      <c r="E2012" s="268"/>
      <c r="F2012" s="268"/>
      <c r="G2012" s="141" t="s">
        <v>76</v>
      </c>
      <c r="H2012" s="136" t="s">
        <v>634</v>
      </c>
      <c r="I2012" s="181">
        <f>D2011*K2012</f>
        <v>704358.2</v>
      </c>
      <c r="J2012" s="181">
        <f>I2012/D2011</f>
        <v>91</v>
      </c>
      <c r="K2012" s="181">
        <f>85+6</f>
        <v>91</v>
      </c>
    </row>
    <row r="2013" spans="1:11" ht="61.5" customHeight="1" x14ac:dyDescent="0.35">
      <c r="A2013" s="271"/>
      <c r="B2013" s="271"/>
      <c r="C2013" s="279"/>
      <c r="D2013" s="274"/>
      <c r="E2013" s="268"/>
      <c r="F2013" s="268"/>
      <c r="G2013" s="141" t="s">
        <v>77</v>
      </c>
      <c r="H2013" s="136" t="s">
        <v>634</v>
      </c>
      <c r="I2013" s="181">
        <f>D2011*K2013</f>
        <v>208985.4</v>
      </c>
      <c r="J2013" s="181">
        <f>I2013/D2011</f>
        <v>27</v>
      </c>
      <c r="K2013" s="181">
        <f>19+8</f>
        <v>27</v>
      </c>
    </row>
    <row r="2014" spans="1:11" ht="56.5" customHeight="1" x14ac:dyDescent="0.35">
      <c r="A2014" s="271"/>
      <c r="B2014" s="271"/>
      <c r="C2014" s="279"/>
      <c r="D2014" s="274"/>
      <c r="E2014" s="268"/>
      <c r="F2014" s="268"/>
      <c r="G2014" s="141" t="s">
        <v>78</v>
      </c>
      <c r="H2014" s="136" t="s">
        <v>634</v>
      </c>
      <c r="I2014" s="181">
        <f>D2011*K2014</f>
        <v>178024.6</v>
      </c>
      <c r="J2014" s="181">
        <f>I2014/D2011</f>
        <v>23</v>
      </c>
      <c r="K2014" s="181">
        <f>16+7</f>
        <v>23</v>
      </c>
    </row>
    <row r="2015" spans="1:11" x14ac:dyDescent="0.35">
      <c r="A2015" s="277">
        <f>A2011+1</f>
        <v>98</v>
      </c>
      <c r="B2015" s="277">
        <v>1787</v>
      </c>
      <c r="C2015" s="286" t="s">
        <v>341</v>
      </c>
      <c r="D2015" s="295">
        <v>2886.9</v>
      </c>
      <c r="E2015" s="317" t="s">
        <v>70</v>
      </c>
      <c r="F2015" s="317">
        <v>5</v>
      </c>
      <c r="G2015" s="277" t="s">
        <v>71</v>
      </c>
      <c r="H2015" s="136" t="s">
        <v>72</v>
      </c>
      <c r="I2015" s="181">
        <f>I2016+I2017</f>
        <v>5108611.7699999996</v>
      </c>
      <c r="J2015" s="181">
        <f>J2016+J2017</f>
        <v>1769.58</v>
      </c>
      <c r="K2015" s="181">
        <f>K2016+K2017</f>
        <v>3242</v>
      </c>
    </row>
    <row r="2016" spans="1:11" x14ac:dyDescent="0.35">
      <c r="A2016" s="277"/>
      <c r="B2016" s="277"/>
      <c r="C2016" s="286"/>
      <c r="D2016" s="295"/>
      <c r="E2016" s="317"/>
      <c r="F2016" s="317"/>
      <c r="G2016" s="277"/>
      <c r="H2016" s="136" t="s">
        <v>73</v>
      </c>
      <c r="I2016" s="181">
        <f>7081524.5*0.7</f>
        <v>4957067.1500000004</v>
      </c>
      <c r="J2016" s="181">
        <f>I2016/D2015</f>
        <v>1717.09</v>
      </c>
      <c r="K2016" s="181">
        <v>3174</v>
      </c>
    </row>
    <row r="2017" spans="1:11" x14ac:dyDescent="0.35">
      <c r="A2017" s="277"/>
      <c r="B2017" s="277"/>
      <c r="C2017" s="286"/>
      <c r="D2017" s="295"/>
      <c r="E2017" s="317"/>
      <c r="F2017" s="317"/>
      <c r="G2017" s="277"/>
      <c r="H2017" s="136" t="s">
        <v>75</v>
      </c>
      <c r="I2017" s="181">
        <f>7081524.5*0.0214</f>
        <v>151544.62</v>
      </c>
      <c r="J2017" s="181">
        <f>I2017/D2015</f>
        <v>52.49</v>
      </c>
      <c r="K2017" s="181">
        <v>68</v>
      </c>
    </row>
    <row r="2018" spans="1:11" x14ac:dyDescent="0.35">
      <c r="A2018" s="277">
        <f>A2015+1</f>
        <v>99</v>
      </c>
      <c r="B2018" s="277">
        <v>1789</v>
      </c>
      <c r="C2018" s="286" t="s">
        <v>550</v>
      </c>
      <c r="D2018" s="287">
        <v>2815.6</v>
      </c>
      <c r="E2018" s="276" t="s">
        <v>74</v>
      </c>
      <c r="F2018" s="276">
        <v>5</v>
      </c>
      <c r="G2018" s="277" t="s">
        <v>71</v>
      </c>
      <c r="H2018" s="136" t="s">
        <v>72</v>
      </c>
      <c r="I2018" s="181">
        <f>I2019</f>
        <v>94918.6</v>
      </c>
      <c r="J2018" s="181">
        <f>J2019</f>
        <v>33.71</v>
      </c>
      <c r="K2018" s="181">
        <f>K2019</f>
        <v>169</v>
      </c>
    </row>
    <row r="2019" spans="1:11" ht="68" customHeight="1" x14ac:dyDescent="0.35">
      <c r="A2019" s="277"/>
      <c r="B2019" s="277"/>
      <c r="C2019" s="286"/>
      <c r="D2019" s="287"/>
      <c r="E2019" s="276"/>
      <c r="F2019" s="276"/>
      <c r="G2019" s="277"/>
      <c r="H2019" s="136" t="s">
        <v>673</v>
      </c>
      <c r="I2019" s="181">
        <f>44237.8+D2018*18</f>
        <v>94918.6</v>
      </c>
      <c r="J2019" s="181">
        <f>I2019/D2018</f>
        <v>33.71</v>
      </c>
      <c r="K2019" s="181">
        <f>151+18</f>
        <v>169</v>
      </c>
    </row>
    <row r="2020" spans="1:11" x14ac:dyDescent="0.35">
      <c r="A2020" s="270">
        <f>A2018+1</f>
        <v>100</v>
      </c>
      <c r="B2020" s="270">
        <v>1263</v>
      </c>
      <c r="C2020" s="278" t="s">
        <v>87</v>
      </c>
      <c r="D2020" s="273">
        <v>2040.56</v>
      </c>
      <c r="E2020" s="267" t="s">
        <v>74</v>
      </c>
      <c r="F2020" s="267">
        <v>3</v>
      </c>
      <c r="G2020" s="346" t="s">
        <v>86</v>
      </c>
      <c r="H2020" s="136" t="s">
        <v>72</v>
      </c>
      <c r="I2020" s="181">
        <f>I2021+I2022+I2023+I2024</f>
        <v>6191024.9800000004</v>
      </c>
      <c r="J2020" s="181">
        <f>J2021+J2022+J2023+J2024</f>
        <v>3033.98</v>
      </c>
      <c r="K2020" s="181">
        <f>K2021+K2022+K2023+K2024</f>
        <v>3044</v>
      </c>
    </row>
    <row r="2021" spans="1:11" ht="46.5" x14ac:dyDescent="0.35">
      <c r="A2021" s="271"/>
      <c r="B2021" s="271"/>
      <c r="C2021" s="279"/>
      <c r="D2021" s="274"/>
      <c r="E2021" s="268"/>
      <c r="F2021" s="268"/>
      <c r="G2021" s="347"/>
      <c r="H2021" s="136" t="s">
        <v>634</v>
      </c>
      <c r="I2021" s="181">
        <f>46698.22+D2020*6</f>
        <v>58941.58</v>
      </c>
      <c r="J2021" s="181">
        <f>I2021/D2020</f>
        <v>28.89</v>
      </c>
      <c r="K2021" s="181">
        <f>23+6</f>
        <v>29</v>
      </c>
    </row>
    <row r="2022" spans="1:11" ht="46.5" x14ac:dyDescent="0.35">
      <c r="A2022" s="271"/>
      <c r="B2022" s="271"/>
      <c r="C2022" s="279"/>
      <c r="D2022" s="274"/>
      <c r="E2022" s="268"/>
      <c r="F2022" s="268"/>
      <c r="G2022" s="270" t="s">
        <v>108</v>
      </c>
      <c r="H2022" s="136" t="s">
        <v>634</v>
      </c>
      <c r="I2022" s="181">
        <f>208337.72+D2020*40</f>
        <v>289960.12</v>
      </c>
      <c r="J2022" s="181">
        <f>I2022/D2020-0.01</f>
        <v>142.09</v>
      </c>
      <c r="K2022" s="181">
        <f>112+40</f>
        <v>152</v>
      </c>
    </row>
    <row r="2023" spans="1:11" x14ac:dyDescent="0.35">
      <c r="A2023" s="271"/>
      <c r="B2023" s="271"/>
      <c r="C2023" s="279"/>
      <c r="D2023" s="274"/>
      <c r="E2023" s="268"/>
      <c r="F2023" s="268"/>
      <c r="G2023" s="271"/>
      <c r="H2023" s="136" t="s">
        <v>73</v>
      </c>
      <c r="I2023" s="181">
        <f>D2020*K2023</f>
        <v>5719689.6799999997</v>
      </c>
      <c r="J2023" s="181">
        <f>I2023/D2020</f>
        <v>2803</v>
      </c>
      <c r="K2023" s="181">
        <v>2803</v>
      </c>
    </row>
    <row r="2024" spans="1:11" x14ac:dyDescent="0.35">
      <c r="A2024" s="272"/>
      <c r="B2024" s="272"/>
      <c r="C2024" s="285"/>
      <c r="D2024" s="275"/>
      <c r="E2024" s="269"/>
      <c r="F2024" s="269"/>
      <c r="G2024" s="272"/>
      <c r="H2024" s="136" t="s">
        <v>75</v>
      </c>
      <c r="I2024" s="181">
        <f>D2020*K2024</f>
        <v>122433.60000000001</v>
      </c>
      <c r="J2024" s="181">
        <f>I2024/D2020</f>
        <v>60</v>
      </c>
      <c r="K2024" s="181">
        <v>60</v>
      </c>
    </row>
    <row r="2025" spans="1:11" x14ac:dyDescent="0.35">
      <c r="A2025" s="277">
        <f>A2020+1</f>
        <v>101</v>
      </c>
      <c r="B2025" s="277">
        <v>1264</v>
      </c>
      <c r="C2025" s="286" t="s">
        <v>112</v>
      </c>
      <c r="D2025" s="287">
        <v>2815.1</v>
      </c>
      <c r="E2025" s="276" t="s">
        <v>74</v>
      </c>
      <c r="F2025" s="276">
        <v>5</v>
      </c>
      <c r="G2025" s="277" t="s">
        <v>71</v>
      </c>
      <c r="H2025" s="136" t="s">
        <v>72</v>
      </c>
      <c r="I2025" s="181">
        <f>I2026</f>
        <v>236818.28</v>
      </c>
      <c r="J2025" s="181">
        <f>J2026</f>
        <v>84.12</v>
      </c>
      <c r="K2025" s="181">
        <f>K2026</f>
        <v>169</v>
      </c>
    </row>
    <row r="2026" spans="1:11" ht="46.5" x14ac:dyDescent="0.35">
      <c r="A2026" s="277"/>
      <c r="B2026" s="277"/>
      <c r="C2026" s="286"/>
      <c r="D2026" s="287"/>
      <c r="E2026" s="276"/>
      <c r="F2026" s="276"/>
      <c r="G2026" s="277"/>
      <c r="H2026" s="136" t="s">
        <v>673</v>
      </c>
      <c r="I2026" s="181">
        <f>186146.48+D2025*18</f>
        <v>236818.28</v>
      </c>
      <c r="J2026" s="181">
        <f>I2026/D2025</f>
        <v>84.12</v>
      </c>
      <c r="K2026" s="181">
        <f>151+18</f>
        <v>169</v>
      </c>
    </row>
    <row r="2027" spans="1:11" x14ac:dyDescent="0.35">
      <c r="A2027" s="270">
        <f>A2025+1</f>
        <v>102</v>
      </c>
      <c r="B2027" s="270">
        <v>1265</v>
      </c>
      <c r="C2027" s="278" t="s">
        <v>342</v>
      </c>
      <c r="D2027" s="273">
        <v>4275.8</v>
      </c>
      <c r="E2027" s="267" t="s">
        <v>74</v>
      </c>
      <c r="F2027" s="267">
        <v>6</v>
      </c>
      <c r="G2027" s="270" t="s">
        <v>71</v>
      </c>
      <c r="H2027" s="136" t="s">
        <v>72</v>
      </c>
      <c r="I2027" s="181">
        <f>I2028+I2029</f>
        <v>11121313.380000001</v>
      </c>
      <c r="J2027" s="181">
        <f>J2028+J2029</f>
        <v>2600.9899999999998</v>
      </c>
      <c r="K2027" s="181">
        <f>K2028+K2029</f>
        <v>3242</v>
      </c>
    </row>
    <row r="2028" spans="1:11" x14ac:dyDescent="0.35">
      <c r="A2028" s="271"/>
      <c r="B2028" s="271"/>
      <c r="C2028" s="279"/>
      <c r="D2028" s="274"/>
      <c r="E2028" s="268"/>
      <c r="F2028" s="268"/>
      <c r="G2028" s="271"/>
      <c r="H2028" s="136" t="s">
        <v>73</v>
      </c>
      <c r="I2028" s="181">
        <v>10888303.68</v>
      </c>
      <c r="J2028" s="181">
        <f>I2028/D2027</f>
        <v>2546.5</v>
      </c>
      <c r="K2028" s="181">
        <v>3174</v>
      </c>
    </row>
    <row r="2029" spans="1:11" x14ac:dyDescent="0.35">
      <c r="A2029" s="272"/>
      <c r="B2029" s="272"/>
      <c r="C2029" s="285"/>
      <c r="D2029" s="275"/>
      <c r="E2029" s="269"/>
      <c r="F2029" s="269"/>
      <c r="G2029" s="272"/>
      <c r="H2029" s="136" t="s">
        <v>75</v>
      </c>
      <c r="I2029" s="181">
        <f>I2028*0.0214</f>
        <v>233009.7</v>
      </c>
      <c r="J2029" s="181">
        <f>I2029/D2027</f>
        <v>54.49</v>
      </c>
      <c r="K2029" s="181">
        <v>68</v>
      </c>
    </row>
    <row r="2030" spans="1:11" x14ac:dyDescent="0.35">
      <c r="A2030" s="270">
        <f>A2027+1</f>
        <v>103</v>
      </c>
      <c r="B2030" s="270">
        <v>1267</v>
      </c>
      <c r="C2030" s="278" t="s">
        <v>343</v>
      </c>
      <c r="D2030" s="273">
        <v>3044.9</v>
      </c>
      <c r="E2030" s="273" t="s">
        <v>74</v>
      </c>
      <c r="F2030" s="282">
        <v>5</v>
      </c>
      <c r="G2030" s="146"/>
      <c r="H2030" s="136" t="s">
        <v>72</v>
      </c>
      <c r="I2030" s="181">
        <f>I2031+I2032+I2033</f>
        <v>992887.94</v>
      </c>
      <c r="J2030" s="181">
        <f>J2031+J2032+J2033</f>
        <v>326.08</v>
      </c>
      <c r="K2030" s="181">
        <f>K2031+K2032+K2033</f>
        <v>712</v>
      </c>
    </row>
    <row r="2031" spans="1:11" ht="46.5" x14ac:dyDescent="0.35">
      <c r="A2031" s="271"/>
      <c r="B2031" s="271"/>
      <c r="C2031" s="279"/>
      <c r="D2031" s="274"/>
      <c r="E2031" s="274"/>
      <c r="F2031" s="283"/>
      <c r="G2031" s="146" t="s">
        <v>81</v>
      </c>
      <c r="H2031" s="136" t="s">
        <v>634</v>
      </c>
      <c r="I2031" s="181">
        <f>409055.63*1.3+D2030*14</f>
        <v>574400.92000000004</v>
      </c>
      <c r="J2031" s="181">
        <f>I2031/D2030</f>
        <v>188.64</v>
      </c>
      <c r="K2031" s="181">
        <f>509+14</f>
        <v>523</v>
      </c>
    </row>
    <row r="2032" spans="1:11" ht="46.5" x14ac:dyDescent="0.35">
      <c r="A2032" s="271"/>
      <c r="B2032" s="271"/>
      <c r="C2032" s="279"/>
      <c r="D2032" s="274"/>
      <c r="E2032" s="274"/>
      <c r="F2032" s="283"/>
      <c r="G2032" s="146" t="s">
        <v>82</v>
      </c>
      <c r="H2032" s="136" t="s">
        <v>634</v>
      </c>
      <c r="I2032" s="181">
        <f>D2030*K2032</f>
        <v>60898</v>
      </c>
      <c r="J2032" s="181">
        <f>I2032/D2030</f>
        <v>20</v>
      </c>
      <c r="K2032" s="181">
        <f>14+6</f>
        <v>20</v>
      </c>
    </row>
    <row r="2033" spans="1:11" ht="46.5" x14ac:dyDescent="0.35">
      <c r="A2033" s="271"/>
      <c r="B2033" s="271"/>
      <c r="C2033" s="279"/>
      <c r="D2033" s="274"/>
      <c r="E2033" s="274"/>
      <c r="F2033" s="283"/>
      <c r="G2033" s="146" t="s">
        <v>71</v>
      </c>
      <c r="H2033" s="136" t="s">
        <v>673</v>
      </c>
      <c r="I2033" s="181">
        <f>232908.32*1.3+D2030*18</f>
        <v>357589.02</v>
      </c>
      <c r="J2033" s="181">
        <f>I2033/D2030</f>
        <v>117.44</v>
      </c>
      <c r="K2033" s="181">
        <f>151+18</f>
        <v>169</v>
      </c>
    </row>
    <row r="2034" spans="1:11" x14ac:dyDescent="0.35">
      <c r="A2034" s="270">
        <f>A2030+1</f>
        <v>104</v>
      </c>
      <c r="B2034" s="270">
        <v>1353</v>
      </c>
      <c r="C2034" s="278" t="s">
        <v>88</v>
      </c>
      <c r="D2034" s="273">
        <v>6993.5</v>
      </c>
      <c r="E2034" s="273" t="s">
        <v>74</v>
      </c>
      <c r="F2034" s="282">
        <v>5</v>
      </c>
      <c r="G2034" s="165"/>
      <c r="H2034" s="136" t="s">
        <v>72</v>
      </c>
      <c r="I2034" s="181">
        <f>I2035+I2036</f>
        <v>407021.7</v>
      </c>
      <c r="J2034" s="181">
        <f>J2035+J2036</f>
        <v>58.2</v>
      </c>
      <c r="K2034" s="181">
        <f>K2035+K2036</f>
        <v>173</v>
      </c>
    </row>
    <row r="2035" spans="1:11" ht="46.5" x14ac:dyDescent="0.35">
      <c r="A2035" s="271"/>
      <c r="B2035" s="271"/>
      <c r="C2035" s="279"/>
      <c r="D2035" s="274"/>
      <c r="E2035" s="274"/>
      <c r="F2035" s="283"/>
      <c r="G2035" s="270" t="s">
        <v>83</v>
      </c>
      <c r="H2035" s="136" t="s">
        <v>634</v>
      </c>
      <c r="I2035" s="181">
        <f>D2034*K2035</f>
        <v>62941.5</v>
      </c>
      <c r="J2035" s="181">
        <f>I2035/D2034</f>
        <v>9</v>
      </c>
      <c r="K2035" s="181">
        <f>7+2</f>
        <v>9</v>
      </c>
    </row>
    <row r="2036" spans="1:11" x14ac:dyDescent="0.35">
      <c r="A2036" s="272"/>
      <c r="B2036" s="272"/>
      <c r="C2036" s="285"/>
      <c r="D2036" s="275"/>
      <c r="E2036" s="275"/>
      <c r="F2036" s="284"/>
      <c r="G2036" s="272"/>
      <c r="H2036" s="136" t="s">
        <v>73</v>
      </c>
      <c r="I2036" s="181">
        <f>K2036*D2034*0.3</f>
        <v>344080.2</v>
      </c>
      <c r="J2036" s="181">
        <f>I2036/D2034</f>
        <v>49.2</v>
      </c>
      <c r="K2036" s="181">
        <v>164</v>
      </c>
    </row>
    <row r="2037" spans="1:11" x14ac:dyDescent="0.35">
      <c r="A2037" s="270">
        <f>A2034+1</f>
        <v>105</v>
      </c>
      <c r="B2037" s="270">
        <v>1421</v>
      </c>
      <c r="C2037" s="278" t="s">
        <v>345</v>
      </c>
      <c r="D2037" s="273">
        <v>3894.6</v>
      </c>
      <c r="E2037" s="267" t="s">
        <v>70</v>
      </c>
      <c r="F2037" s="267">
        <v>5</v>
      </c>
      <c r="G2037" s="270" t="s">
        <v>71</v>
      </c>
      <c r="H2037" s="136" t="s">
        <v>72</v>
      </c>
      <c r="I2037" s="181">
        <f>I2038+I2039</f>
        <v>13365312.199999999</v>
      </c>
      <c r="J2037" s="181">
        <f>J2038+J2039</f>
        <v>3431.75</v>
      </c>
      <c r="K2037" s="181">
        <f>K2038+K2039</f>
        <v>3449</v>
      </c>
    </row>
    <row r="2038" spans="1:11" ht="46" customHeight="1" x14ac:dyDescent="0.35">
      <c r="A2038" s="271"/>
      <c r="B2038" s="271"/>
      <c r="C2038" s="279"/>
      <c r="D2038" s="274"/>
      <c r="E2038" s="268"/>
      <c r="F2038" s="268"/>
      <c r="G2038" s="271"/>
      <c r="H2038" s="136" t="s">
        <v>85</v>
      </c>
      <c r="I2038" s="181">
        <v>13086303.060000001</v>
      </c>
      <c r="J2038" s="181">
        <f>I2038/D2037</f>
        <v>3360.11</v>
      </c>
      <c r="K2038" s="181">
        <v>3377</v>
      </c>
    </row>
    <row r="2039" spans="1:11" x14ac:dyDescent="0.35">
      <c r="A2039" s="272"/>
      <c r="B2039" s="272"/>
      <c r="C2039" s="285"/>
      <c r="D2039" s="275"/>
      <c r="E2039" s="269"/>
      <c r="F2039" s="269"/>
      <c r="G2039" s="272"/>
      <c r="H2039" s="136" t="s">
        <v>75</v>
      </c>
      <c r="I2039" s="181">
        <v>279009.14</v>
      </c>
      <c r="J2039" s="181">
        <f>I2039/D2037</f>
        <v>71.64</v>
      </c>
      <c r="K2039" s="181">
        <v>72</v>
      </c>
    </row>
    <row r="2040" spans="1:11" x14ac:dyDescent="0.35">
      <c r="A2040" s="277">
        <f>A2037+1</f>
        <v>106</v>
      </c>
      <c r="B2040" s="277">
        <v>1042</v>
      </c>
      <c r="C2040" s="286" t="s">
        <v>552</v>
      </c>
      <c r="D2040" s="287">
        <v>3945.3</v>
      </c>
      <c r="E2040" s="276" t="s">
        <v>70</v>
      </c>
      <c r="F2040" s="276">
        <v>5</v>
      </c>
      <c r="G2040" s="277" t="s">
        <v>71</v>
      </c>
      <c r="H2040" s="136" t="s">
        <v>72</v>
      </c>
      <c r="I2040" s="181">
        <f>I2041</f>
        <v>304099.05</v>
      </c>
      <c r="J2040" s="181">
        <f>J2041</f>
        <v>77.08</v>
      </c>
      <c r="K2040" s="181">
        <f>K2041</f>
        <v>169</v>
      </c>
    </row>
    <row r="2041" spans="1:11" ht="58.5" customHeight="1" x14ac:dyDescent="0.35">
      <c r="A2041" s="277"/>
      <c r="B2041" s="277"/>
      <c r="C2041" s="286"/>
      <c r="D2041" s="287"/>
      <c r="E2041" s="276"/>
      <c r="F2041" s="276"/>
      <c r="G2041" s="277"/>
      <c r="H2041" s="136" t="s">
        <v>673</v>
      </c>
      <c r="I2041" s="181">
        <f>233083.65+D2040*18</f>
        <v>304099.05</v>
      </c>
      <c r="J2041" s="181">
        <f>I2041/D2040</f>
        <v>77.08</v>
      </c>
      <c r="K2041" s="181">
        <f>151+18</f>
        <v>169</v>
      </c>
    </row>
    <row r="2042" spans="1:11" x14ac:dyDescent="0.35">
      <c r="A2042" s="270">
        <f>A2040+1</f>
        <v>107</v>
      </c>
      <c r="B2042" s="270">
        <v>1030</v>
      </c>
      <c r="C2042" s="278" t="s">
        <v>346</v>
      </c>
      <c r="D2042" s="273">
        <v>2345.1999999999998</v>
      </c>
      <c r="E2042" s="267" t="s">
        <v>70</v>
      </c>
      <c r="F2042" s="267">
        <v>5</v>
      </c>
      <c r="G2042" s="270" t="s">
        <v>71</v>
      </c>
      <c r="H2042" s="136" t="s">
        <v>72</v>
      </c>
      <c r="I2042" s="181">
        <f>I2043+I2044</f>
        <v>7127142.3499999996</v>
      </c>
      <c r="J2042" s="181">
        <f>J2043+J2044</f>
        <v>3039.03</v>
      </c>
      <c r="K2042" s="181">
        <f>K2043+K2044</f>
        <v>3449</v>
      </c>
    </row>
    <row r="2043" spans="1:11" ht="31" x14ac:dyDescent="0.35">
      <c r="A2043" s="271"/>
      <c r="B2043" s="271"/>
      <c r="C2043" s="279"/>
      <c r="D2043" s="274"/>
      <c r="E2043" s="268"/>
      <c r="F2043" s="268"/>
      <c r="G2043" s="271"/>
      <c r="H2043" s="136" t="s">
        <v>85</v>
      </c>
      <c r="I2043" s="181">
        <v>6977817.0599999996</v>
      </c>
      <c r="J2043" s="181">
        <f>I2043/D2042</f>
        <v>2975.36</v>
      </c>
      <c r="K2043" s="181">
        <v>3377</v>
      </c>
    </row>
    <row r="2044" spans="1:11" x14ac:dyDescent="0.35">
      <c r="A2044" s="272"/>
      <c r="B2044" s="272"/>
      <c r="C2044" s="285"/>
      <c r="D2044" s="275"/>
      <c r="E2044" s="269"/>
      <c r="F2044" s="269"/>
      <c r="G2044" s="272"/>
      <c r="H2044" s="136" t="s">
        <v>75</v>
      </c>
      <c r="I2044" s="181">
        <f>I2043*0.0214</f>
        <v>149325.29</v>
      </c>
      <c r="J2044" s="181">
        <f>I2044/D2042</f>
        <v>63.67</v>
      </c>
      <c r="K2044" s="181">
        <v>72</v>
      </c>
    </row>
    <row r="2045" spans="1:11" x14ac:dyDescent="0.35">
      <c r="A2045" s="270">
        <f>A2042+1</f>
        <v>108</v>
      </c>
      <c r="B2045" s="270">
        <v>1354</v>
      </c>
      <c r="C2045" s="278" t="s">
        <v>347</v>
      </c>
      <c r="D2045" s="273">
        <v>3816</v>
      </c>
      <c r="E2045" s="267" t="s">
        <v>70</v>
      </c>
      <c r="F2045" s="267">
        <v>5</v>
      </c>
      <c r="G2045" s="270" t="s">
        <v>86</v>
      </c>
      <c r="H2045" s="136" t="s">
        <v>72</v>
      </c>
      <c r="I2045" s="181">
        <f>I2046+I2047</f>
        <v>732768.58</v>
      </c>
      <c r="J2045" s="181">
        <f>J2046+J2047</f>
        <v>192.03</v>
      </c>
      <c r="K2045" s="181">
        <f>K2046+K2047</f>
        <v>596</v>
      </c>
    </row>
    <row r="2046" spans="1:11" x14ac:dyDescent="0.35">
      <c r="A2046" s="271"/>
      <c r="B2046" s="271"/>
      <c r="C2046" s="279"/>
      <c r="D2046" s="274"/>
      <c r="E2046" s="268"/>
      <c r="F2046" s="268"/>
      <c r="G2046" s="271"/>
      <c r="H2046" s="136" t="s">
        <v>73</v>
      </c>
      <c r="I2046" s="181">
        <v>710418.42</v>
      </c>
      <c r="J2046" s="181">
        <f>I2046/D2045</f>
        <v>186.17</v>
      </c>
      <c r="K2046" s="181">
        <v>584</v>
      </c>
    </row>
    <row r="2047" spans="1:11" x14ac:dyDescent="0.35">
      <c r="A2047" s="272"/>
      <c r="B2047" s="272"/>
      <c r="C2047" s="285"/>
      <c r="D2047" s="275"/>
      <c r="E2047" s="269"/>
      <c r="F2047" s="269"/>
      <c r="G2047" s="272"/>
      <c r="H2047" s="136" t="s">
        <v>75</v>
      </c>
      <c r="I2047" s="181">
        <v>22350.16</v>
      </c>
      <c r="J2047" s="181">
        <f>I2047/D2045</f>
        <v>5.86</v>
      </c>
      <c r="K2047" s="181">
        <v>12</v>
      </c>
    </row>
    <row r="2048" spans="1:11" x14ac:dyDescent="0.35">
      <c r="A2048" s="270">
        <f>A2045+1</f>
        <v>109</v>
      </c>
      <c r="B2048" s="270">
        <v>1357</v>
      </c>
      <c r="C2048" s="278" t="s">
        <v>348</v>
      </c>
      <c r="D2048" s="273">
        <v>3930.8</v>
      </c>
      <c r="E2048" s="267" t="s">
        <v>74</v>
      </c>
      <c r="F2048" s="267">
        <v>5</v>
      </c>
      <c r="G2048" s="270" t="s">
        <v>86</v>
      </c>
      <c r="H2048" s="136" t="s">
        <v>72</v>
      </c>
      <c r="I2048" s="181">
        <f>I2049+I2050</f>
        <v>880713.65</v>
      </c>
      <c r="J2048" s="181">
        <f>J2049+J2050</f>
        <v>224.05</v>
      </c>
      <c r="K2048" s="181">
        <f>K2049+K2050</f>
        <v>596</v>
      </c>
    </row>
    <row r="2049" spans="1:11" x14ac:dyDescent="0.35">
      <c r="A2049" s="271"/>
      <c r="B2049" s="271"/>
      <c r="C2049" s="279"/>
      <c r="D2049" s="274"/>
      <c r="E2049" s="268"/>
      <c r="F2049" s="268"/>
      <c r="G2049" s="271"/>
      <c r="H2049" s="136" t="s">
        <v>73</v>
      </c>
      <c r="I2049" s="181">
        <v>853713.7</v>
      </c>
      <c r="J2049" s="181">
        <f>I2049/D2048-0.01</f>
        <v>217.18</v>
      </c>
      <c r="K2049" s="181">
        <v>584</v>
      </c>
    </row>
    <row r="2050" spans="1:11" x14ac:dyDescent="0.35">
      <c r="A2050" s="272"/>
      <c r="B2050" s="272"/>
      <c r="C2050" s="285"/>
      <c r="D2050" s="275"/>
      <c r="E2050" s="269"/>
      <c r="F2050" s="269"/>
      <c r="G2050" s="272"/>
      <c r="H2050" s="136" t="s">
        <v>75</v>
      </c>
      <c r="I2050" s="181">
        <v>26999.95</v>
      </c>
      <c r="J2050" s="181">
        <f>I2050/D2048</f>
        <v>6.87</v>
      </c>
      <c r="K2050" s="181">
        <v>12</v>
      </c>
    </row>
    <row r="2051" spans="1:11" x14ac:dyDescent="0.35">
      <c r="A2051" s="277">
        <f>A2048+1</f>
        <v>110</v>
      </c>
      <c r="B2051" s="277">
        <v>1358</v>
      </c>
      <c r="C2051" s="286" t="s">
        <v>349</v>
      </c>
      <c r="D2051" s="287">
        <v>3186.9</v>
      </c>
      <c r="E2051" s="276" t="s">
        <v>74</v>
      </c>
      <c r="F2051" s="276">
        <v>5</v>
      </c>
      <c r="G2051" s="277" t="s">
        <v>86</v>
      </c>
      <c r="H2051" s="136" t="s">
        <v>72</v>
      </c>
      <c r="I2051" s="181">
        <f>I2052+I2053</f>
        <v>1808499.58</v>
      </c>
      <c r="J2051" s="181">
        <f>J2052+J2053</f>
        <v>567.48</v>
      </c>
      <c r="K2051" s="181">
        <f>K2052+K2053</f>
        <v>798</v>
      </c>
    </row>
    <row r="2052" spans="1:11" x14ac:dyDescent="0.35">
      <c r="A2052" s="277">
        <v>77</v>
      </c>
      <c r="B2052" s="277"/>
      <c r="C2052" s="286"/>
      <c r="D2052" s="287"/>
      <c r="E2052" s="276"/>
      <c r="F2052" s="276"/>
      <c r="G2052" s="277"/>
      <c r="H2052" s="136" t="s">
        <v>73</v>
      </c>
      <c r="I2052" s="181">
        <v>1770608.56</v>
      </c>
      <c r="J2052" s="181">
        <f>I2052/D2051</f>
        <v>555.59</v>
      </c>
      <c r="K2052" s="181">
        <v>781</v>
      </c>
    </row>
    <row r="2053" spans="1:11" x14ac:dyDescent="0.35">
      <c r="A2053" s="277">
        <v>78</v>
      </c>
      <c r="B2053" s="277"/>
      <c r="C2053" s="286"/>
      <c r="D2053" s="287"/>
      <c r="E2053" s="276"/>
      <c r="F2053" s="276"/>
      <c r="G2053" s="277"/>
      <c r="H2053" s="136" t="s">
        <v>75</v>
      </c>
      <c r="I2053" s="181">
        <f>I2052*0.0214</f>
        <v>37891.019999999997</v>
      </c>
      <c r="J2053" s="181">
        <f>I2053/D2051</f>
        <v>11.89</v>
      </c>
      <c r="K2053" s="181">
        <v>17</v>
      </c>
    </row>
    <row r="2054" spans="1:11" x14ac:dyDescent="0.35">
      <c r="A2054" s="277">
        <f>A2051+1</f>
        <v>111</v>
      </c>
      <c r="B2054" s="277">
        <v>1361</v>
      </c>
      <c r="C2054" s="286" t="s">
        <v>350</v>
      </c>
      <c r="D2054" s="287">
        <v>4296</v>
      </c>
      <c r="E2054" s="276" t="s">
        <v>70</v>
      </c>
      <c r="F2054" s="276">
        <v>5</v>
      </c>
      <c r="G2054" s="277" t="s">
        <v>71</v>
      </c>
      <c r="H2054" s="136" t="s">
        <v>72</v>
      </c>
      <c r="I2054" s="181">
        <f>I2055+I2056</f>
        <v>10464626.4</v>
      </c>
      <c r="J2054" s="181">
        <f>J2055+J2056</f>
        <v>2435.9</v>
      </c>
      <c r="K2054" s="181">
        <f>K2055+K2056</f>
        <v>3449</v>
      </c>
    </row>
    <row r="2055" spans="1:11" ht="31" x14ac:dyDescent="0.35">
      <c r="A2055" s="277">
        <v>77</v>
      </c>
      <c r="B2055" s="277"/>
      <c r="C2055" s="286"/>
      <c r="D2055" s="287"/>
      <c r="E2055" s="276"/>
      <c r="F2055" s="276"/>
      <c r="G2055" s="277"/>
      <c r="H2055" s="136" t="s">
        <v>85</v>
      </c>
      <c r="I2055" s="181">
        <f>K2055*D2054*0.7</f>
        <v>10155314.4</v>
      </c>
      <c r="J2055" s="181">
        <f>I2055/D2054</f>
        <v>2363.9</v>
      </c>
      <c r="K2055" s="181">
        <v>3377</v>
      </c>
    </row>
    <row r="2056" spans="1:11" x14ac:dyDescent="0.35">
      <c r="A2056" s="277">
        <v>78</v>
      </c>
      <c r="B2056" s="277"/>
      <c r="C2056" s="286"/>
      <c r="D2056" s="287"/>
      <c r="E2056" s="276"/>
      <c r="F2056" s="276"/>
      <c r="G2056" s="277"/>
      <c r="H2056" s="136" t="s">
        <v>75</v>
      </c>
      <c r="I2056" s="181">
        <f>K2056*D2054</f>
        <v>309312</v>
      </c>
      <c r="J2056" s="181">
        <f>I2056/D2054</f>
        <v>72</v>
      </c>
      <c r="K2056" s="181">
        <v>72</v>
      </c>
    </row>
    <row r="2057" spans="1:11" x14ac:dyDescent="0.35">
      <c r="A2057" s="277">
        <f>A2054+1</f>
        <v>112</v>
      </c>
      <c r="B2057" s="277">
        <v>1362</v>
      </c>
      <c r="C2057" s="286" t="s">
        <v>721</v>
      </c>
      <c r="D2057" s="287">
        <v>16523.3</v>
      </c>
      <c r="E2057" s="276" t="s">
        <v>70</v>
      </c>
      <c r="F2057" s="276">
        <v>9</v>
      </c>
      <c r="G2057" s="277" t="s">
        <v>76</v>
      </c>
      <c r="H2057" s="136" t="s">
        <v>72</v>
      </c>
      <c r="I2057" s="181">
        <f>I2058</f>
        <v>892258.2</v>
      </c>
      <c r="J2057" s="181">
        <f>J2058</f>
        <v>54</v>
      </c>
      <c r="K2057" s="181">
        <f>K2058</f>
        <v>54</v>
      </c>
    </row>
    <row r="2058" spans="1:11" ht="46.5" x14ac:dyDescent="0.35">
      <c r="A2058" s="277"/>
      <c r="B2058" s="277"/>
      <c r="C2058" s="286"/>
      <c r="D2058" s="287"/>
      <c r="E2058" s="276"/>
      <c r="F2058" s="276"/>
      <c r="G2058" s="277"/>
      <c r="H2058" s="136" t="s">
        <v>634</v>
      </c>
      <c r="I2058" s="181">
        <f>D2057*K2058</f>
        <v>892258.2</v>
      </c>
      <c r="J2058" s="181">
        <f>I2058/D2057</f>
        <v>54</v>
      </c>
      <c r="K2058" s="181">
        <f>50+4</f>
        <v>54</v>
      </c>
    </row>
    <row r="2059" spans="1:11" x14ac:dyDescent="0.35">
      <c r="A2059" s="277">
        <f>A2057+1</f>
        <v>113</v>
      </c>
      <c r="B2059" s="277">
        <v>1301</v>
      </c>
      <c r="C2059" s="286" t="s">
        <v>113</v>
      </c>
      <c r="D2059" s="287">
        <v>3842.9</v>
      </c>
      <c r="E2059" s="276" t="s">
        <v>74</v>
      </c>
      <c r="F2059" s="276">
        <v>9</v>
      </c>
      <c r="G2059" s="277" t="s">
        <v>71</v>
      </c>
      <c r="H2059" s="136" t="s">
        <v>72</v>
      </c>
      <c r="I2059" s="181">
        <f>I2060</f>
        <v>167408.04999999999</v>
      </c>
      <c r="J2059" s="181">
        <f>J2060</f>
        <v>43.56</v>
      </c>
      <c r="K2059" s="181">
        <f>K2060</f>
        <v>164</v>
      </c>
    </row>
    <row r="2060" spans="1:11" ht="46.5" x14ac:dyDescent="0.35">
      <c r="A2060" s="277"/>
      <c r="B2060" s="277"/>
      <c r="C2060" s="286"/>
      <c r="D2060" s="287"/>
      <c r="E2060" s="276"/>
      <c r="F2060" s="276"/>
      <c r="G2060" s="277"/>
      <c r="H2060" s="136" t="s">
        <v>673</v>
      </c>
      <c r="I2060" s="181">
        <f>117450.35+D2059*13</f>
        <v>167408.04999999999</v>
      </c>
      <c r="J2060" s="181">
        <f>I2060/D2059</f>
        <v>43.56</v>
      </c>
      <c r="K2060" s="181">
        <f>151+13</f>
        <v>164</v>
      </c>
    </row>
    <row r="2061" spans="1:11" x14ac:dyDescent="0.35">
      <c r="A2061" s="277">
        <f>A2059+1</f>
        <v>114</v>
      </c>
      <c r="B2061" s="277">
        <v>1307</v>
      </c>
      <c r="C2061" s="286" t="s">
        <v>553</v>
      </c>
      <c r="D2061" s="287">
        <v>1438.9</v>
      </c>
      <c r="E2061" s="276" t="s">
        <v>74</v>
      </c>
      <c r="F2061" s="276">
        <v>5</v>
      </c>
      <c r="G2061" s="277" t="s">
        <v>71</v>
      </c>
      <c r="H2061" s="136" t="s">
        <v>72</v>
      </c>
      <c r="I2061" s="181">
        <f>I2062</f>
        <v>243174.1</v>
      </c>
      <c r="J2061" s="181">
        <f>J2062</f>
        <v>169</v>
      </c>
      <c r="K2061" s="181">
        <f>K2062</f>
        <v>169</v>
      </c>
    </row>
    <row r="2062" spans="1:11" ht="46.5" x14ac:dyDescent="0.35">
      <c r="A2062" s="277"/>
      <c r="B2062" s="277"/>
      <c r="C2062" s="286"/>
      <c r="D2062" s="287"/>
      <c r="E2062" s="276"/>
      <c r="F2062" s="276"/>
      <c r="G2062" s="277"/>
      <c r="H2062" s="136" t="s">
        <v>673</v>
      </c>
      <c r="I2062" s="181">
        <f>217273.9+D2061*18</f>
        <v>243174.1</v>
      </c>
      <c r="J2062" s="181">
        <f>I2062/D2061</f>
        <v>169</v>
      </c>
      <c r="K2062" s="181">
        <f>151+18</f>
        <v>169</v>
      </c>
    </row>
    <row r="2063" spans="1:11" x14ac:dyDescent="0.35">
      <c r="A2063" s="277">
        <f>A2061+1</f>
        <v>115</v>
      </c>
      <c r="B2063" s="277">
        <v>1322</v>
      </c>
      <c r="C2063" s="286" t="s">
        <v>554</v>
      </c>
      <c r="D2063" s="287">
        <v>2419.6999999999998</v>
      </c>
      <c r="E2063" s="276" t="s">
        <v>74</v>
      </c>
      <c r="F2063" s="276">
        <v>5</v>
      </c>
      <c r="G2063" s="277" t="s">
        <v>71</v>
      </c>
      <c r="H2063" s="136" t="s">
        <v>72</v>
      </c>
      <c r="I2063" s="181">
        <f>I2064</f>
        <v>231045.8</v>
      </c>
      <c r="J2063" s="181">
        <f>J2064</f>
        <v>95.49</v>
      </c>
      <c r="K2063" s="181">
        <f>K2064</f>
        <v>169</v>
      </c>
    </row>
    <row r="2064" spans="1:11" ht="46.5" x14ac:dyDescent="0.35">
      <c r="A2064" s="277"/>
      <c r="B2064" s="277"/>
      <c r="C2064" s="286"/>
      <c r="D2064" s="287"/>
      <c r="E2064" s="276"/>
      <c r="F2064" s="276"/>
      <c r="G2064" s="277"/>
      <c r="H2064" s="136" t="s">
        <v>673</v>
      </c>
      <c r="I2064" s="181">
        <f>187491.2+D2063*18</f>
        <v>231045.8</v>
      </c>
      <c r="J2064" s="181">
        <f>I2064/D2063</f>
        <v>95.49</v>
      </c>
      <c r="K2064" s="181">
        <f>151+18</f>
        <v>169</v>
      </c>
    </row>
    <row r="2065" spans="1:11" x14ac:dyDescent="0.35">
      <c r="A2065" s="277">
        <f>A2063+1</f>
        <v>116</v>
      </c>
      <c r="B2065" s="277">
        <v>1323</v>
      </c>
      <c r="C2065" s="286" t="s">
        <v>555</v>
      </c>
      <c r="D2065" s="287">
        <v>2542.4</v>
      </c>
      <c r="E2065" s="276" t="s">
        <v>74</v>
      </c>
      <c r="F2065" s="276">
        <v>5</v>
      </c>
      <c r="G2065" s="277" t="s">
        <v>71</v>
      </c>
      <c r="H2065" s="136" t="s">
        <v>72</v>
      </c>
      <c r="I2065" s="181">
        <f>I2066</f>
        <v>234104.7</v>
      </c>
      <c r="J2065" s="181">
        <f>J2066</f>
        <v>92.08</v>
      </c>
      <c r="K2065" s="181">
        <f>K2066</f>
        <v>169</v>
      </c>
    </row>
    <row r="2066" spans="1:11" ht="46.5" x14ac:dyDescent="0.35">
      <c r="A2066" s="277"/>
      <c r="B2066" s="277"/>
      <c r="C2066" s="286"/>
      <c r="D2066" s="287"/>
      <c r="E2066" s="276"/>
      <c r="F2066" s="276"/>
      <c r="G2066" s="277"/>
      <c r="H2066" s="136" t="s">
        <v>673</v>
      </c>
      <c r="I2066" s="181">
        <f>188341.5+D2065*18</f>
        <v>234104.7</v>
      </c>
      <c r="J2066" s="181">
        <f>I2066/D2065</f>
        <v>92.08</v>
      </c>
      <c r="K2066" s="181">
        <f>151+18</f>
        <v>169</v>
      </c>
    </row>
    <row r="2067" spans="1:11" x14ac:dyDescent="0.35">
      <c r="A2067" s="277">
        <f>A2065+1</f>
        <v>117</v>
      </c>
      <c r="B2067" s="277">
        <v>1628</v>
      </c>
      <c r="C2067" s="286" t="s">
        <v>354</v>
      </c>
      <c r="D2067" s="287">
        <v>6113.76</v>
      </c>
      <c r="E2067" s="276" t="s">
        <v>74</v>
      </c>
      <c r="F2067" s="276">
        <v>5</v>
      </c>
      <c r="G2067" s="277" t="s">
        <v>71</v>
      </c>
      <c r="H2067" s="136" t="s">
        <v>72</v>
      </c>
      <c r="I2067" s="181">
        <f>I2068</f>
        <v>421379</v>
      </c>
      <c r="J2067" s="181">
        <f>J2068</f>
        <v>68.92</v>
      </c>
      <c r="K2067" s="181">
        <f>K2068</f>
        <v>169</v>
      </c>
    </row>
    <row r="2068" spans="1:11" ht="46.5" x14ac:dyDescent="0.35">
      <c r="A2068" s="277"/>
      <c r="B2068" s="277"/>
      <c r="C2068" s="286"/>
      <c r="D2068" s="287"/>
      <c r="E2068" s="276"/>
      <c r="F2068" s="276"/>
      <c r="G2068" s="277"/>
      <c r="H2068" s="136" t="s">
        <v>673</v>
      </c>
      <c r="I2068" s="181">
        <f>311331.32+D2067*18</f>
        <v>421379</v>
      </c>
      <c r="J2068" s="181">
        <f>I2068/D2067</f>
        <v>68.92</v>
      </c>
      <c r="K2068" s="181">
        <f>151+18</f>
        <v>169</v>
      </c>
    </row>
    <row r="2069" spans="1:11" x14ac:dyDescent="0.35">
      <c r="A2069" s="277">
        <f>A2067+1</f>
        <v>118</v>
      </c>
      <c r="B2069" s="277">
        <v>1630</v>
      </c>
      <c r="C2069" s="286" t="s">
        <v>355</v>
      </c>
      <c r="D2069" s="295">
        <v>2201.9699999999998</v>
      </c>
      <c r="E2069" s="317" t="s">
        <v>74</v>
      </c>
      <c r="F2069" s="317">
        <v>5</v>
      </c>
      <c r="G2069" s="277" t="s">
        <v>71</v>
      </c>
      <c r="H2069" s="136" t="s">
        <v>72</v>
      </c>
      <c r="I2069" s="181">
        <f>I2070+I2071</f>
        <v>6450911.46</v>
      </c>
      <c r="J2069" s="181">
        <f>J2070+J2071</f>
        <v>2929.61</v>
      </c>
      <c r="K2069" s="181">
        <f>K2070+K2071</f>
        <v>3242</v>
      </c>
    </row>
    <row r="2070" spans="1:11" x14ac:dyDescent="0.35">
      <c r="A2070" s="277">
        <v>77</v>
      </c>
      <c r="B2070" s="277"/>
      <c r="C2070" s="286"/>
      <c r="D2070" s="295"/>
      <c r="E2070" s="317"/>
      <c r="F2070" s="317"/>
      <c r="G2070" s="277"/>
      <c r="H2070" s="136" t="s">
        <v>73</v>
      </c>
      <c r="I2070" s="181">
        <v>6315754.3200000003</v>
      </c>
      <c r="J2070" s="181">
        <f>I2070/D2069</f>
        <v>2868.23</v>
      </c>
      <c r="K2070" s="181">
        <v>3174</v>
      </c>
    </row>
    <row r="2071" spans="1:11" x14ac:dyDescent="0.35">
      <c r="A2071" s="277">
        <v>78</v>
      </c>
      <c r="B2071" s="277"/>
      <c r="C2071" s="286"/>
      <c r="D2071" s="295"/>
      <c r="E2071" s="317"/>
      <c r="F2071" s="317"/>
      <c r="G2071" s="277"/>
      <c r="H2071" s="136" t="s">
        <v>75</v>
      </c>
      <c r="I2071" s="181">
        <f>I2070*0.0214</f>
        <v>135157.14000000001</v>
      </c>
      <c r="J2071" s="181">
        <f>I2071/D2069</f>
        <v>61.38</v>
      </c>
      <c r="K2071" s="181">
        <v>68</v>
      </c>
    </row>
    <row r="2072" spans="1:11" x14ac:dyDescent="0.35">
      <c r="A2072" s="277">
        <f>A2069+1</f>
        <v>119</v>
      </c>
      <c r="B2072" s="277">
        <v>1582</v>
      </c>
      <c r="C2072" s="286" t="s">
        <v>556</v>
      </c>
      <c r="D2072" s="287">
        <v>4108.3999999999996</v>
      </c>
      <c r="E2072" s="276" t="s">
        <v>74</v>
      </c>
      <c r="F2072" s="276">
        <v>5</v>
      </c>
      <c r="G2072" s="277" t="s">
        <v>71</v>
      </c>
      <c r="H2072" s="136" t="s">
        <v>72</v>
      </c>
      <c r="I2072" s="181">
        <f>I2073</f>
        <v>147681.54</v>
      </c>
      <c r="J2072" s="181">
        <f>J2073</f>
        <v>35.950000000000003</v>
      </c>
      <c r="K2072" s="181">
        <f>K2073</f>
        <v>169</v>
      </c>
    </row>
    <row r="2073" spans="1:11" ht="46.5" x14ac:dyDescent="0.35">
      <c r="A2073" s="277"/>
      <c r="B2073" s="277"/>
      <c r="C2073" s="286"/>
      <c r="D2073" s="287"/>
      <c r="E2073" s="276"/>
      <c r="F2073" s="276"/>
      <c r="G2073" s="277"/>
      <c r="H2073" s="136" t="s">
        <v>673</v>
      </c>
      <c r="I2073" s="181">
        <f>73730.34+18*D2072</f>
        <v>147681.54</v>
      </c>
      <c r="J2073" s="181">
        <f>I2073/D2072</f>
        <v>35.950000000000003</v>
      </c>
      <c r="K2073" s="181">
        <f>151+18</f>
        <v>169</v>
      </c>
    </row>
    <row r="2074" spans="1:11" x14ac:dyDescent="0.35">
      <c r="A2074" s="270">
        <f>A2072+1</f>
        <v>120</v>
      </c>
      <c r="B2074" s="270">
        <v>1028</v>
      </c>
      <c r="C2074" s="278" t="s">
        <v>114</v>
      </c>
      <c r="D2074" s="273">
        <v>863.9</v>
      </c>
      <c r="E2074" s="267" t="s">
        <v>74</v>
      </c>
      <c r="F2074" s="267">
        <v>3</v>
      </c>
      <c r="G2074" s="167"/>
      <c r="H2074" s="136" t="s">
        <v>72</v>
      </c>
      <c r="I2074" s="181">
        <f>I2075+I2076</f>
        <v>35419.9</v>
      </c>
      <c r="J2074" s="181">
        <f>J2075+J2076</f>
        <v>41</v>
      </c>
      <c r="K2074" s="181">
        <f>K2075+K2076</f>
        <v>67</v>
      </c>
    </row>
    <row r="2075" spans="1:11" ht="66" customHeight="1" x14ac:dyDescent="0.35">
      <c r="A2075" s="271"/>
      <c r="B2075" s="271"/>
      <c r="C2075" s="279"/>
      <c r="D2075" s="274"/>
      <c r="E2075" s="268"/>
      <c r="F2075" s="268"/>
      <c r="G2075" s="141" t="s">
        <v>77</v>
      </c>
      <c r="H2075" s="136" t="s">
        <v>634</v>
      </c>
      <c r="I2075" s="181">
        <v>18141.900000000001</v>
      </c>
      <c r="J2075" s="181">
        <f>I2075/D2074</f>
        <v>21</v>
      </c>
      <c r="K2075" s="181">
        <f>19+21</f>
        <v>40</v>
      </c>
    </row>
    <row r="2076" spans="1:11" ht="61" customHeight="1" x14ac:dyDescent="0.35">
      <c r="A2076" s="271"/>
      <c r="B2076" s="271"/>
      <c r="C2076" s="279"/>
      <c r="D2076" s="274"/>
      <c r="E2076" s="268"/>
      <c r="F2076" s="268"/>
      <c r="G2076" s="141" t="s">
        <v>89</v>
      </c>
      <c r="H2076" s="136" t="s">
        <v>634</v>
      </c>
      <c r="I2076" s="181">
        <v>17278</v>
      </c>
      <c r="J2076" s="181">
        <f>I2076/D2074</f>
        <v>20</v>
      </c>
      <c r="K2076" s="181">
        <f>18+9</f>
        <v>27</v>
      </c>
    </row>
    <row r="2077" spans="1:11" x14ac:dyDescent="0.35">
      <c r="A2077" s="277">
        <f>A2074+1</f>
        <v>121</v>
      </c>
      <c r="B2077" s="277">
        <v>1473</v>
      </c>
      <c r="C2077" s="286" t="s">
        <v>722</v>
      </c>
      <c r="D2077" s="287">
        <v>16898</v>
      </c>
      <c r="E2077" s="276" t="s">
        <v>74</v>
      </c>
      <c r="F2077" s="276">
        <v>10</v>
      </c>
      <c r="G2077" s="277" t="s">
        <v>71</v>
      </c>
      <c r="H2077" s="136" t="s">
        <v>72</v>
      </c>
      <c r="I2077" s="181">
        <f>I2078</f>
        <v>1364756.73</v>
      </c>
      <c r="J2077" s="181">
        <f>J2078</f>
        <v>80.760000000000005</v>
      </c>
      <c r="K2077" s="181">
        <f>K2078</f>
        <v>164</v>
      </c>
    </row>
    <row r="2078" spans="1:11" ht="58.5" customHeight="1" x14ac:dyDescent="0.35">
      <c r="A2078" s="277"/>
      <c r="B2078" s="277"/>
      <c r="C2078" s="286"/>
      <c r="D2078" s="287"/>
      <c r="E2078" s="276"/>
      <c r="F2078" s="276"/>
      <c r="G2078" s="277"/>
      <c r="H2078" s="136" t="s">
        <v>673</v>
      </c>
      <c r="I2078" s="181">
        <f>1145082.73+D2077*13</f>
        <v>1364756.73</v>
      </c>
      <c r="J2078" s="181">
        <f>I2078/D2077</f>
        <v>80.760000000000005</v>
      </c>
      <c r="K2078" s="181">
        <f>151+13</f>
        <v>164</v>
      </c>
    </row>
    <row r="2079" spans="1:11" x14ac:dyDescent="0.35">
      <c r="A2079" s="277">
        <f>A2077+1</f>
        <v>122</v>
      </c>
      <c r="B2079" s="277">
        <v>1475</v>
      </c>
      <c r="C2079" s="286" t="s">
        <v>723</v>
      </c>
      <c r="D2079" s="287">
        <v>3125</v>
      </c>
      <c r="E2079" s="276" t="s">
        <v>74</v>
      </c>
      <c r="F2079" s="276">
        <v>5</v>
      </c>
      <c r="G2079" s="277" t="s">
        <v>71</v>
      </c>
      <c r="H2079" s="136" t="s">
        <v>72</v>
      </c>
      <c r="I2079" s="181">
        <f>I2080</f>
        <v>273873.14</v>
      </c>
      <c r="J2079" s="181">
        <f>J2080</f>
        <v>87.64</v>
      </c>
      <c r="K2079" s="181">
        <f>K2080</f>
        <v>169</v>
      </c>
    </row>
    <row r="2080" spans="1:11" ht="57" customHeight="1" x14ac:dyDescent="0.35">
      <c r="A2080" s="277"/>
      <c r="B2080" s="277"/>
      <c r="C2080" s="286"/>
      <c r="D2080" s="287"/>
      <c r="E2080" s="276"/>
      <c r="F2080" s="276"/>
      <c r="G2080" s="277"/>
      <c r="H2080" s="136" t="s">
        <v>673</v>
      </c>
      <c r="I2080" s="181">
        <f>217623.14+D2079*18</f>
        <v>273873.14</v>
      </c>
      <c r="J2080" s="181">
        <f>I2080/D2079</f>
        <v>87.64</v>
      </c>
      <c r="K2080" s="181">
        <f>151+18</f>
        <v>169</v>
      </c>
    </row>
    <row r="2081" spans="1:11" x14ac:dyDescent="0.35">
      <c r="A2081" s="277">
        <f>A2079+1</f>
        <v>123</v>
      </c>
      <c r="B2081" s="277">
        <v>1484</v>
      </c>
      <c r="C2081" s="286" t="s">
        <v>558</v>
      </c>
      <c r="D2081" s="287">
        <v>4340.5</v>
      </c>
      <c r="E2081" s="276" t="s">
        <v>70</v>
      </c>
      <c r="F2081" s="276">
        <v>5</v>
      </c>
      <c r="G2081" s="277" t="s">
        <v>71</v>
      </c>
      <c r="H2081" s="136" t="s">
        <v>72</v>
      </c>
      <c r="I2081" s="181">
        <f>I2082</f>
        <v>145698.6</v>
      </c>
      <c r="J2081" s="181">
        <f>J2082</f>
        <v>33.57</v>
      </c>
      <c r="K2081" s="181">
        <f>K2082</f>
        <v>169</v>
      </c>
    </row>
    <row r="2082" spans="1:11" ht="46.5" x14ac:dyDescent="0.35">
      <c r="A2082" s="277"/>
      <c r="B2082" s="277"/>
      <c r="C2082" s="286"/>
      <c r="D2082" s="287"/>
      <c r="E2082" s="276"/>
      <c r="F2082" s="276"/>
      <c r="G2082" s="277"/>
      <c r="H2082" s="136" t="s">
        <v>673</v>
      </c>
      <c r="I2082" s="181">
        <f>67569.6+D2081*18</f>
        <v>145698.6</v>
      </c>
      <c r="J2082" s="181">
        <f>I2082/D2081</f>
        <v>33.57</v>
      </c>
      <c r="K2082" s="181">
        <f>151+18</f>
        <v>169</v>
      </c>
    </row>
    <row r="2083" spans="1:11" x14ac:dyDescent="0.35">
      <c r="A2083" s="277">
        <f>A2081+1</f>
        <v>124</v>
      </c>
      <c r="B2083" s="277">
        <v>1079</v>
      </c>
      <c r="C2083" s="286" t="s">
        <v>115</v>
      </c>
      <c r="D2083" s="287">
        <v>278.60000000000002</v>
      </c>
      <c r="E2083" s="276" t="s">
        <v>74</v>
      </c>
      <c r="F2083" s="276">
        <v>2</v>
      </c>
      <c r="G2083" s="277" t="s">
        <v>71</v>
      </c>
      <c r="H2083" s="136" t="s">
        <v>72</v>
      </c>
      <c r="I2083" s="181">
        <f>I2084</f>
        <v>68603.86</v>
      </c>
      <c r="J2083" s="181">
        <f>J2084</f>
        <v>246.25</v>
      </c>
      <c r="K2083" s="181">
        <f>K2084</f>
        <v>247</v>
      </c>
    </row>
    <row r="2084" spans="1:11" ht="46.5" x14ac:dyDescent="0.35">
      <c r="A2084" s="277"/>
      <c r="B2084" s="277"/>
      <c r="C2084" s="286"/>
      <c r="D2084" s="287"/>
      <c r="E2084" s="276"/>
      <c r="F2084" s="276"/>
      <c r="G2084" s="277"/>
      <c r="H2084" s="136" t="s">
        <v>673</v>
      </c>
      <c r="I2084" s="181">
        <f>41858.26+D2083*96</f>
        <v>68603.86</v>
      </c>
      <c r="J2084" s="181">
        <f>I2084/D2083</f>
        <v>246.25</v>
      </c>
      <c r="K2084" s="181">
        <f>151+96</f>
        <v>247</v>
      </c>
    </row>
    <row r="2085" spans="1:11" x14ac:dyDescent="0.35">
      <c r="A2085" s="277">
        <f>A2083+1</f>
        <v>125</v>
      </c>
      <c r="B2085" s="277">
        <v>4241</v>
      </c>
      <c r="C2085" s="286" t="s">
        <v>783</v>
      </c>
      <c r="D2085" s="287">
        <v>4547.7</v>
      </c>
      <c r="E2085" s="276" t="s">
        <v>70</v>
      </c>
      <c r="F2085" s="267">
        <v>10</v>
      </c>
      <c r="G2085" s="146"/>
      <c r="H2085" s="136" t="s">
        <v>72</v>
      </c>
      <c r="I2085" s="181">
        <f>SUM(I2086:I2091)</f>
        <v>2632839.81</v>
      </c>
      <c r="J2085" s="181">
        <f>SUM(J2086:J2091)</f>
        <v>578.94000000000005</v>
      </c>
      <c r="K2085" s="181">
        <f>SUM(K2086:K2091)</f>
        <v>781.8</v>
      </c>
    </row>
    <row r="2086" spans="1:11" ht="46.5" x14ac:dyDescent="0.35">
      <c r="A2086" s="277"/>
      <c r="B2086" s="277"/>
      <c r="C2086" s="286"/>
      <c r="D2086" s="287"/>
      <c r="E2086" s="276"/>
      <c r="F2086" s="268"/>
      <c r="G2086" s="270" t="s">
        <v>641</v>
      </c>
      <c r="H2086" s="136" t="s">
        <v>634</v>
      </c>
      <c r="I2086" s="181">
        <v>0</v>
      </c>
      <c r="J2086" s="181">
        <f>I2086/D2085</f>
        <v>0</v>
      </c>
      <c r="K2086" s="181">
        <f>32281/D2085</f>
        <v>7.1</v>
      </c>
    </row>
    <row r="2087" spans="1:11" x14ac:dyDescent="0.35">
      <c r="A2087" s="277">
        <v>756</v>
      </c>
      <c r="B2087" s="277"/>
      <c r="C2087" s="286"/>
      <c r="D2087" s="287"/>
      <c r="E2087" s="276"/>
      <c r="F2087" s="268"/>
      <c r="G2087" s="271"/>
      <c r="H2087" s="136" t="s">
        <v>642</v>
      </c>
      <c r="I2087" s="181">
        <v>1279850.8999999999</v>
      </c>
      <c r="J2087" s="181">
        <f>I2087/D2085</f>
        <v>281.43</v>
      </c>
      <c r="K2087" s="181">
        <f>1708823/D2085</f>
        <v>375.76</v>
      </c>
    </row>
    <row r="2088" spans="1:11" x14ac:dyDescent="0.35">
      <c r="A2088" s="277">
        <v>757</v>
      </c>
      <c r="B2088" s="277"/>
      <c r="C2088" s="286"/>
      <c r="D2088" s="287"/>
      <c r="E2088" s="276"/>
      <c r="F2088" s="268"/>
      <c r="G2088" s="272"/>
      <c r="H2088" s="136" t="s">
        <v>75</v>
      </c>
      <c r="I2088" s="181">
        <v>36569</v>
      </c>
      <c r="J2088" s="181">
        <f>I2088/D2085</f>
        <v>8.0399999999999991</v>
      </c>
      <c r="K2088" s="181">
        <f>36569/D2085</f>
        <v>8.0399999999999991</v>
      </c>
    </row>
    <row r="2089" spans="1:11" ht="46.5" x14ac:dyDescent="0.35">
      <c r="A2089" s="277"/>
      <c r="B2089" s="277"/>
      <c r="C2089" s="286"/>
      <c r="D2089" s="287"/>
      <c r="E2089" s="276"/>
      <c r="F2089" s="268"/>
      <c r="G2089" s="270" t="s">
        <v>647</v>
      </c>
      <c r="H2089" s="136" t="s">
        <v>634</v>
      </c>
      <c r="I2089" s="181">
        <v>0</v>
      </c>
      <c r="J2089" s="181">
        <f>I2089/D2085</f>
        <v>0</v>
      </c>
      <c r="K2089" s="181">
        <f>32281/D2085</f>
        <v>7.1</v>
      </c>
    </row>
    <row r="2090" spans="1:11" x14ac:dyDescent="0.35">
      <c r="A2090" s="277"/>
      <c r="B2090" s="277"/>
      <c r="C2090" s="286"/>
      <c r="D2090" s="287"/>
      <c r="E2090" s="276"/>
      <c r="F2090" s="268"/>
      <c r="G2090" s="271"/>
      <c r="H2090" s="136" t="s">
        <v>642</v>
      </c>
      <c r="I2090" s="181">
        <v>1279850.9099999999</v>
      </c>
      <c r="J2090" s="181">
        <f>I2090/D2085</f>
        <v>281.43</v>
      </c>
      <c r="K2090" s="181">
        <f>1708823/D2085</f>
        <v>375.76</v>
      </c>
    </row>
    <row r="2091" spans="1:11" x14ac:dyDescent="0.35">
      <c r="A2091" s="277"/>
      <c r="B2091" s="277"/>
      <c r="C2091" s="286"/>
      <c r="D2091" s="287"/>
      <c r="E2091" s="276"/>
      <c r="F2091" s="269"/>
      <c r="G2091" s="272"/>
      <c r="H2091" s="136" t="s">
        <v>75</v>
      </c>
      <c r="I2091" s="181">
        <v>36569</v>
      </c>
      <c r="J2091" s="181">
        <f>I2091/D2085</f>
        <v>8.0399999999999991</v>
      </c>
      <c r="K2091" s="181">
        <f>36569/D2085</f>
        <v>8.0399999999999991</v>
      </c>
    </row>
    <row r="2092" spans="1:11" x14ac:dyDescent="0.35">
      <c r="A2092" s="277">
        <f>A2085+1</f>
        <v>126</v>
      </c>
      <c r="B2092" s="277">
        <v>4281</v>
      </c>
      <c r="C2092" s="286" t="s">
        <v>784</v>
      </c>
      <c r="D2092" s="287">
        <v>9305.52</v>
      </c>
      <c r="E2092" s="287" t="s">
        <v>70</v>
      </c>
      <c r="F2092" s="304">
        <v>10</v>
      </c>
      <c r="G2092" s="146"/>
      <c r="H2092" s="136" t="s">
        <v>72</v>
      </c>
      <c r="I2092" s="181">
        <f>SUM(I2093:I2098)</f>
        <v>2632839.85</v>
      </c>
      <c r="J2092" s="181">
        <f>SUM(J2093:J2098)</f>
        <v>282.93</v>
      </c>
      <c r="K2092" s="181">
        <f>SUM(K2093:K2098)</f>
        <v>382.07</v>
      </c>
    </row>
    <row r="2093" spans="1:11" ht="46.5" x14ac:dyDescent="0.35">
      <c r="A2093" s="277"/>
      <c r="B2093" s="277"/>
      <c r="C2093" s="286"/>
      <c r="D2093" s="287"/>
      <c r="E2093" s="287"/>
      <c r="F2093" s="304"/>
      <c r="G2093" s="270" t="s">
        <v>641</v>
      </c>
      <c r="H2093" s="136" t="s">
        <v>634</v>
      </c>
      <c r="I2093" s="181">
        <v>0</v>
      </c>
      <c r="J2093" s="181">
        <f>I2093/D2092</f>
        <v>0</v>
      </c>
      <c r="K2093" s="181">
        <f>32281/D2092-0.01</f>
        <v>3.46</v>
      </c>
    </row>
    <row r="2094" spans="1:11" x14ac:dyDescent="0.35">
      <c r="A2094" s="277">
        <v>756</v>
      </c>
      <c r="B2094" s="277"/>
      <c r="C2094" s="286"/>
      <c r="D2094" s="287"/>
      <c r="E2094" s="287"/>
      <c r="F2094" s="304"/>
      <c r="G2094" s="271"/>
      <c r="H2094" s="136" t="s">
        <v>642</v>
      </c>
      <c r="I2094" s="181">
        <v>1279850.92</v>
      </c>
      <c r="J2094" s="181">
        <f>I2094/D2092-0.01</f>
        <v>137.53</v>
      </c>
      <c r="K2094" s="181">
        <f>1708823/D2092</f>
        <v>183.64</v>
      </c>
    </row>
    <row r="2095" spans="1:11" x14ac:dyDescent="0.35">
      <c r="A2095" s="277">
        <v>757</v>
      </c>
      <c r="B2095" s="277"/>
      <c r="C2095" s="286"/>
      <c r="D2095" s="287"/>
      <c r="E2095" s="287"/>
      <c r="F2095" s="304"/>
      <c r="G2095" s="272"/>
      <c r="H2095" s="136" t="s">
        <v>75</v>
      </c>
      <c r="I2095" s="181">
        <v>36569</v>
      </c>
      <c r="J2095" s="181">
        <f>I2095/D2092</f>
        <v>3.93</v>
      </c>
      <c r="K2095" s="181">
        <f>36569/D2092</f>
        <v>3.93</v>
      </c>
    </row>
    <row r="2096" spans="1:11" ht="46.5" x14ac:dyDescent="0.35">
      <c r="A2096" s="277"/>
      <c r="B2096" s="277"/>
      <c r="C2096" s="286"/>
      <c r="D2096" s="287"/>
      <c r="E2096" s="287"/>
      <c r="F2096" s="304"/>
      <c r="G2096" s="270" t="s">
        <v>647</v>
      </c>
      <c r="H2096" s="136" t="s">
        <v>634</v>
      </c>
      <c r="I2096" s="181">
        <v>0</v>
      </c>
      <c r="J2096" s="181">
        <f>I2096/D2092</f>
        <v>0</v>
      </c>
      <c r="K2096" s="181">
        <f>32281/D2092</f>
        <v>3.47</v>
      </c>
    </row>
    <row r="2097" spans="1:11" x14ac:dyDescent="0.35">
      <c r="A2097" s="277"/>
      <c r="B2097" s="277"/>
      <c r="C2097" s="286"/>
      <c r="D2097" s="287"/>
      <c r="E2097" s="287"/>
      <c r="F2097" s="304"/>
      <c r="G2097" s="271"/>
      <c r="H2097" s="136" t="s">
        <v>642</v>
      </c>
      <c r="I2097" s="181">
        <v>1279850.93</v>
      </c>
      <c r="J2097" s="181">
        <f>I2097/D2092</f>
        <v>137.54</v>
      </c>
      <c r="K2097" s="181">
        <f>1708823/D2092</f>
        <v>183.64</v>
      </c>
    </row>
    <row r="2098" spans="1:11" x14ac:dyDescent="0.35">
      <c r="A2098" s="277"/>
      <c r="B2098" s="277"/>
      <c r="C2098" s="286"/>
      <c r="D2098" s="287"/>
      <c r="E2098" s="287"/>
      <c r="F2098" s="304"/>
      <c r="G2098" s="272"/>
      <c r="H2098" s="136" t="s">
        <v>75</v>
      </c>
      <c r="I2098" s="181">
        <v>36569</v>
      </c>
      <c r="J2098" s="181">
        <f>I2098/D2092</f>
        <v>3.93</v>
      </c>
      <c r="K2098" s="181">
        <f>36569/D2092</f>
        <v>3.93</v>
      </c>
    </row>
    <row r="2099" spans="1:11" x14ac:dyDescent="0.35">
      <c r="A2099" s="270">
        <f>A2092+1</f>
        <v>127</v>
      </c>
      <c r="B2099" s="270">
        <v>4073</v>
      </c>
      <c r="C2099" s="270" t="s">
        <v>724</v>
      </c>
      <c r="D2099" s="273">
        <v>8604.9</v>
      </c>
      <c r="E2099" s="267" t="s">
        <v>70</v>
      </c>
      <c r="F2099" s="267">
        <v>10</v>
      </c>
      <c r="G2099" s="146"/>
      <c r="H2099" s="182" t="s">
        <v>72</v>
      </c>
      <c r="I2099" s="181">
        <f>I2100+I2101+I2102+I2103+I2104+I2105+I2106+I2107+I2108+I2109+I2110+I2111</f>
        <v>7110692</v>
      </c>
      <c r="J2099" s="181">
        <f t="shared" ref="J2099:K2099" si="2">J2100+J2101+J2102+J2103+J2104+J2105+J2106+J2107+J2108+J2109+J2110+J2111</f>
        <v>826.35</v>
      </c>
      <c r="K2099" s="181">
        <f t="shared" si="2"/>
        <v>826.35</v>
      </c>
    </row>
    <row r="2100" spans="1:11" ht="46.5" x14ac:dyDescent="0.35">
      <c r="A2100" s="271"/>
      <c r="B2100" s="271"/>
      <c r="C2100" s="271"/>
      <c r="D2100" s="274"/>
      <c r="E2100" s="268"/>
      <c r="F2100" s="268"/>
      <c r="G2100" s="270" t="s">
        <v>641</v>
      </c>
      <c r="H2100" s="182" t="s">
        <v>634</v>
      </c>
      <c r="I2100" s="181">
        <v>32281</v>
      </c>
      <c r="J2100" s="181">
        <f>I2100/D2099</f>
        <v>3.75</v>
      </c>
      <c r="K2100" s="181">
        <f>32281/D2099</f>
        <v>3.75</v>
      </c>
    </row>
    <row r="2101" spans="1:11" x14ac:dyDescent="0.35">
      <c r="A2101" s="271"/>
      <c r="B2101" s="271"/>
      <c r="C2101" s="271"/>
      <c r="D2101" s="274"/>
      <c r="E2101" s="268"/>
      <c r="F2101" s="268"/>
      <c r="G2101" s="271"/>
      <c r="H2101" s="182" t="s">
        <v>642</v>
      </c>
      <c r="I2101" s="181">
        <v>1708823</v>
      </c>
      <c r="J2101" s="181">
        <f>I2101/D2099</f>
        <v>198.59</v>
      </c>
      <c r="K2101" s="181">
        <f>1708823/D2099</f>
        <v>198.59</v>
      </c>
    </row>
    <row r="2102" spans="1:11" x14ac:dyDescent="0.35">
      <c r="A2102" s="271"/>
      <c r="B2102" s="271"/>
      <c r="C2102" s="271"/>
      <c r="D2102" s="274"/>
      <c r="E2102" s="268"/>
      <c r="F2102" s="268"/>
      <c r="G2102" s="272"/>
      <c r="H2102" s="182" t="s">
        <v>75</v>
      </c>
      <c r="I2102" s="181">
        <v>36569</v>
      </c>
      <c r="J2102" s="181">
        <f>I2102/D2099</f>
        <v>4.25</v>
      </c>
      <c r="K2102" s="181">
        <f>36569/D2099</f>
        <v>4.25</v>
      </c>
    </row>
    <row r="2103" spans="1:11" ht="46.5" x14ac:dyDescent="0.35">
      <c r="A2103" s="271"/>
      <c r="B2103" s="271"/>
      <c r="C2103" s="271"/>
      <c r="D2103" s="274"/>
      <c r="E2103" s="268"/>
      <c r="F2103" s="268"/>
      <c r="G2103" s="270" t="s">
        <v>647</v>
      </c>
      <c r="H2103" s="182" t="s">
        <v>634</v>
      </c>
      <c r="I2103" s="181">
        <v>32281</v>
      </c>
      <c r="J2103" s="181">
        <f>I2103/D2099</f>
        <v>3.75</v>
      </c>
      <c r="K2103" s="181">
        <f>32281/D2099</f>
        <v>3.75</v>
      </c>
    </row>
    <row r="2104" spans="1:11" x14ac:dyDescent="0.35">
      <c r="A2104" s="271"/>
      <c r="B2104" s="271"/>
      <c r="C2104" s="271"/>
      <c r="D2104" s="274"/>
      <c r="E2104" s="268"/>
      <c r="F2104" s="268"/>
      <c r="G2104" s="271"/>
      <c r="H2104" s="182" t="s">
        <v>642</v>
      </c>
      <c r="I2104" s="181">
        <v>1708823</v>
      </c>
      <c r="J2104" s="181">
        <f>I2104/D2099</f>
        <v>198.59</v>
      </c>
      <c r="K2104" s="181">
        <f>1708823/D2099</f>
        <v>198.59</v>
      </c>
    </row>
    <row r="2105" spans="1:11" x14ac:dyDescent="0.35">
      <c r="A2105" s="271"/>
      <c r="B2105" s="271"/>
      <c r="C2105" s="271"/>
      <c r="D2105" s="274"/>
      <c r="E2105" s="268"/>
      <c r="F2105" s="268"/>
      <c r="G2105" s="272"/>
      <c r="H2105" s="182" t="s">
        <v>75</v>
      </c>
      <c r="I2105" s="181">
        <v>36569</v>
      </c>
      <c r="J2105" s="181">
        <f>I2105/D2099</f>
        <v>4.25</v>
      </c>
      <c r="K2105" s="181">
        <f>36569/D2099</f>
        <v>4.25</v>
      </c>
    </row>
    <row r="2106" spans="1:11" ht="59.5" customHeight="1" x14ac:dyDescent="0.35">
      <c r="A2106" s="271"/>
      <c r="B2106" s="271"/>
      <c r="C2106" s="271"/>
      <c r="D2106" s="274"/>
      <c r="E2106" s="268"/>
      <c r="F2106" s="268"/>
      <c r="G2106" s="270" t="s">
        <v>648</v>
      </c>
      <c r="H2106" s="182" t="s">
        <v>634</v>
      </c>
      <c r="I2106" s="181">
        <v>32281</v>
      </c>
      <c r="J2106" s="181">
        <f>I2106/D2099</f>
        <v>3.75</v>
      </c>
      <c r="K2106" s="181">
        <f>32281/D2099</f>
        <v>3.75</v>
      </c>
    </row>
    <row r="2107" spans="1:11" ht="15.5" customHeight="1" x14ac:dyDescent="0.35">
      <c r="A2107" s="271"/>
      <c r="B2107" s="271"/>
      <c r="C2107" s="271"/>
      <c r="D2107" s="274"/>
      <c r="E2107" s="268"/>
      <c r="F2107" s="268"/>
      <c r="G2107" s="271"/>
      <c r="H2107" s="182" t="s">
        <v>642</v>
      </c>
      <c r="I2107" s="181">
        <v>1708823</v>
      </c>
      <c r="J2107" s="181">
        <f>I2107/D2099</f>
        <v>198.59</v>
      </c>
      <c r="K2107" s="181">
        <f>1708823/D2099</f>
        <v>198.59</v>
      </c>
    </row>
    <row r="2108" spans="1:11" x14ac:dyDescent="0.35">
      <c r="A2108" s="271"/>
      <c r="B2108" s="271"/>
      <c r="C2108" s="271"/>
      <c r="D2108" s="274"/>
      <c r="E2108" s="268"/>
      <c r="F2108" s="268"/>
      <c r="G2108" s="272"/>
      <c r="H2108" s="182" t="s">
        <v>75</v>
      </c>
      <c r="I2108" s="181">
        <v>36569</v>
      </c>
      <c r="J2108" s="181">
        <f>I2108/D2099</f>
        <v>4.25</v>
      </c>
      <c r="K2108" s="181">
        <f>36569/D2099</f>
        <v>4.25</v>
      </c>
    </row>
    <row r="2109" spans="1:11" ht="65" customHeight="1" x14ac:dyDescent="0.35">
      <c r="A2109" s="271"/>
      <c r="B2109" s="271"/>
      <c r="C2109" s="271"/>
      <c r="D2109" s="274"/>
      <c r="E2109" s="268"/>
      <c r="F2109" s="268"/>
      <c r="G2109" s="270" t="s">
        <v>649</v>
      </c>
      <c r="H2109" s="182" t="s">
        <v>634</v>
      </c>
      <c r="I2109" s="181">
        <v>32281</v>
      </c>
      <c r="J2109" s="181">
        <f>I2109/D2099</f>
        <v>3.75</v>
      </c>
      <c r="K2109" s="181">
        <f>32281/D2099</f>
        <v>3.75</v>
      </c>
    </row>
    <row r="2110" spans="1:11" x14ac:dyDescent="0.35">
      <c r="A2110" s="271"/>
      <c r="B2110" s="271"/>
      <c r="C2110" s="271"/>
      <c r="D2110" s="274"/>
      <c r="E2110" s="268"/>
      <c r="F2110" s="268"/>
      <c r="G2110" s="271"/>
      <c r="H2110" s="182" t="s">
        <v>642</v>
      </c>
      <c r="I2110" s="181">
        <v>1708823</v>
      </c>
      <c r="J2110" s="181">
        <f>I2110/D2099-0.01</f>
        <v>198.58</v>
      </c>
      <c r="K2110" s="181">
        <f>1708823/D2099-0.01</f>
        <v>198.58</v>
      </c>
    </row>
    <row r="2111" spans="1:11" x14ac:dyDescent="0.35">
      <c r="A2111" s="272"/>
      <c r="B2111" s="272"/>
      <c r="C2111" s="272"/>
      <c r="D2111" s="275"/>
      <c r="E2111" s="269"/>
      <c r="F2111" s="269"/>
      <c r="G2111" s="272"/>
      <c r="H2111" s="182" t="s">
        <v>75</v>
      </c>
      <c r="I2111" s="181">
        <v>36569</v>
      </c>
      <c r="J2111" s="181">
        <f>I2111/D2099</f>
        <v>4.25</v>
      </c>
      <c r="K2111" s="181">
        <f>36569/D2099</f>
        <v>4.25</v>
      </c>
    </row>
    <row r="2112" spans="1:11" x14ac:dyDescent="0.35">
      <c r="A2112" s="270">
        <f>A2099+1</f>
        <v>128</v>
      </c>
      <c r="B2112" s="270">
        <v>3120</v>
      </c>
      <c r="C2112" s="278" t="s">
        <v>785</v>
      </c>
      <c r="D2112" s="273">
        <v>2323</v>
      </c>
      <c r="E2112" s="267" t="s">
        <v>74</v>
      </c>
      <c r="F2112" s="267">
        <v>5</v>
      </c>
      <c r="G2112" s="270" t="s">
        <v>71</v>
      </c>
      <c r="H2112" s="136" t="s">
        <v>72</v>
      </c>
      <c r="I2112" s="181">
        <f>I2113</f>
        <v>224806.55</v>
      </c>
      <c r="J2112" s="181">
        <f>J2113</f>
        <v>96.77</v>
      </c>
      <c r="K2112" s="181">
        <f>K2113</f>
        <v>169</v>
      </c>
    </row>
    <row r="2113" spans="1:11" ht="46.5" x14ac:dyDescent="0.35">
      <c r="A2113" s="271"/>
      <c r="B2113" s="271"/>
      <c r="C2113" s="279"/>
      <c r="D2113" s="274"/>
      <c r="E2113" s="268"/>
      <c r="F2113" s="269"/>
      <c r="G2113" s="271"/>
      <c r="H2113" s="136" t="s">
        <v>673</v>
      </c>
      <c r="I2113" s="181">
        <f>209526.55+15280</f>
        <v>224806.55</v>
      </c>
      <c r="J2113" s="181">
        <f>I2113/D2112</f>
        <v>96.77</v>
      </c>
      <c r="K2113" s="181">
        <f>151+18</f>
        <v>169</v>
      </c>
    </row>
    <row r="2114" spans="1:11" x14ac:dyDescent="0.35">
      <c r="A2114" s="277">
        <f>A2112+1</f>
        <v>129</v>
      </c>
      <c r="B2114" s="277">
        <v>4286</v>
      </c>
      <c r="C2114" s="286" t="s">
        <v>786</v>
      </c>
      <c r="D2114" s="287">
        <v>5614.3</v>
      </c>
      <c r="E2114" s="287" t="s">
        <v>74</v>
      </c>
      <c r="F2114" s="304">
        <v>10</v>
      </c>
      <c r="G2114" s="146"/>
      <c r="H2114" s="136" t="s">
        <v>72</v>
      </c>
      <c r="I2114" s="181">
        <f>SUM(I2115:I2123)</f>
        <v>3944074.73</v>
      </c>
      <c r="J2114" s="181">
        <f>SUM(J2115:J2123)</f>
        <v>702.51</v>
      </c>
      <c r="K2114" s="181">
        <f>SUM(K2115:K2123)</f>
        <v>949.89</v>
      </c>
    </row>
    <row r="2115" spans="1:11" ht="46.5" x14ac:dyDescent="0.35">
      <c r="A2115" s="277"/>
      <c r="B2115" s="277"/>
      <c r="C2115" s="286"/>
      <c r="D2115" s="287"/>
      <c r="E2115" s="287"/>
      <c r="F2115" s="304"/>
      <c r="G2115" s="270" t="s">
        <v>641</v>
      </c>
      <c r="H2115" s="136" t="s">
        <v>634</v>
      </c>
      <c r="I2115" s="181">
        <v>0</v>
      </c>
      <c r="J2115" s="181">
        <f>I2115/D2114</f>
        <v>0</v>
      </c>
      <c r="K2115" s="181">
        <f>32281/D2114</f>
        <v>5.75</v>
      </c>
    </row>
    <row r="2116" spans="1:11" x14ac:dyDescent="0.35">
      <c r="A2116" s="277">
        <v>756</v>
      </c>
      <c r="B2116" s="277"/>
      <c r="C2116" s="286"/>
      <c r="D2116" s="287"/>
      <c r="E2116" s="287"/>
      <c r="F2116" s="304"/>
      <c r="G2116" s="271"/>
      <c r="H2116" s="136" t="s">
        <v>642</v>
      </c>
      <c r="I2116" s="181">
        <v>1278122.57</v>
      </c>
      <c r="J2116" s="181">
        <f>I2116/D2114+0.01</f>
        <v>227.66</v>
      </c>
      <c r="K2116" s="181">
        <f>1708823/D2114</f>
        <v>304.37</v>
      </c>
    </row>
    <row r="2117" spans="1:11" x14ac:dyDescent="0.35">
      <c r="A2117" s="277">
        <v>757</v>
      </c>
      <c r="B2117" s="277"/>
      <c r="C2117" s="286"/>
      <c r="D2117" s="287"/>
      <c r="E2117" s="287"/>
      <c r="F2117" s="304"/>
      <c r="G2117" s="272"/>
      <c r="H2117" s="136" t="s">
        <v>75</v>
      </c>
      <c r="I2117" s="181">
        <v>36569</v>
      </c>
      <c r="J2117" s="181">
        <f>I2117/D2114</f>
        <v>6.51</v>
      </c>
      <c r="K2117" s="181">
        <f>36569/D2114</f>
        <v>6.51</v>
      </c>
    </row>
    <row r="2118" spans="1:11" ht="46.5" x14ac:dyDescent="0.35">
      <c r="A2118" s="277"/>
      <c r="B2118" s="277"/>
      <c r="C2118" s="286"/>
      <c r="D2118" s="287"/>
      <c r="E2118" s="287"/>
      <c r="F2118" s="304"/>
      <c r="G2118" s="270" t="s">
        <v>647</v>
      </c>
      <c r="H2118" s="136" t="s">
        <v>634</v>
      </c>
      <c r="I2118" s="181">
        <v>0</v>
      </c>
      <c r="J2118" s="181">
        <f>I2118/D2114</f>
        <v>0</v>
      </c>
      <c r="K2118" s="181">
        <f>32281/D2114</f>
        <v>5.75</v>
      </c>
    </row>
    <row r="2119" spans="1:11" x14ac:dyDescent="0.35">
      <c r="A2119" s="277"/>
      <c r="B2119" s="277"/>
      <c r="C2119" s="286"/>
      <c r="D2119" s="287"/>
      <c r="E2119" s="287"/>
      <c r="F2119" s="304"/>
      <c r="G2119" s="271"/>
      <c r="H2119" s="136" t="s">
        <v>642</v>
      </c>
      <c r="I2119" s="181">
        <v>1278122.58</v>
      </c>
      <c r="J2119" s="181">
        <f>I2119/D2114+0.01</f>
        <v>227.66</v>
      </c>
      <c r="K2119" s="181">
        <f>1708823/D2114</f>
        <v>304.37</v>
      </c>
    </row>
    <row r="2120" spans="1:11" x14ac:dyDescent="0.35">
      <c r="A2120" s="277"/>
      <c r="B2120" s="277"/>
      <c r="C2120" s="286"/>
      <c r="D2120" s="287"/>
      <c r="E2120" s="287"/>
      <c r="F2120" s="304"/>
      <c r="G2120" s="272"/>
      <c r="H2120" s="136" t="s">
        <v>75</v>
      </c>
      <c r="I2120" s="181">
        <v>36569</v>
      </c>
      <c r="J2120" s="181">
        <f>I2120/D2114</f>
        <v>6.51</v>
      </c>
      <c r="K2120" s="181">
        <f>36569/D2114</f>
        <v>6.51</v>
      </c>
    </row>
    <row r="2121" spans="1:11" ht="46.5" x14ac:dyDescent="0.35">
      <c r="A2121" s="277"/>
      <c r="B2121" s="277"/>
      <c r="C2121" s="286"/>
      <c r="D2121" s="287"/>
      <c r="E2121" s="287"/>
      <c r="F2121" s="304"/>
      <c r="G2121" s="270" t="s">
        <v>648</v>
      </c>
      <c r="H2121" s="136" t="s">
        <v>634</v>
      </c>
      <c r="I2121" s="181">
        <v>0</v>
      </c>
      <c r="J2121" s="181">
        <f>I2121/D2114</f>
        <v>0</v>
      </c>
      <c r="K2121" s="181">
        <f>32281/D2114</f>
        <v>5.75</v>
      </c>
    </row>
    <row r="2122" spans="1:11" x14ac:dyDescent="0.35">
      <c r="A2122" s="277"/>
      <c r="B2122" s="277"/>
      <c r="C2122" s="286"/>
      <c r="D2122" s="287"/>
      <c r="E2122" s="287"/>
      <c r="F2122" s="304"/>
      <c r="G2122" s="271"/>
      <c r="H2122" s="136" t="s">
        <v>642</v>
      </c>
      <c r="I2122" s="181">
        <v>1278122.58</v>
      </c>
      <c r="J2122" s="181">
        <f>I2122/D2114+0.01</f>
        <v>227.66</v>
      </c>
      <c r="K2122" s="181">
        <f>1708823/D2114</f>
        <v>304.37</v>
      </c>
    </row>
    <row r="2123" spans="1:11" x14ac:dyDescent="0.35">
      <c r="A2123" s="277"/>
      <c r="B2123" s="277"/>
      <c r="C2123" s="286"/>
      <c r="D2123" s="287"/>
      <c r="E2123" s="287"/>
      <c r="F2123" s="304"/>
      <c r="G2123" s="272"/>
      <c r="H2123" s="136" t="s">
        <v>75</v>
      </c>
      <c r="I2123" s="181">
        <v>36569</v>
      </c>
      <c r="J2123" s="181">
        <f>I2123/D2114</f>
        <v>6.51</v>
      </c>
      <c r="K2123" s="181">
        <f>36569/D2114</f>
        <v>6.51</v>
      </c>
    </row>
    <row r="2124" spans="1:11" x14ac:dyDescent="0.35">
      <c r="A2124" s="270">
        <f>A2114+1</f>
        <v>130</v>
      </c>
      <c r="B2124" s="270">
        <v>3445</v>
      </c>
      <c r="C2124" s="278" t="s">
        <v>787</v>
      </c>
      <c r="D2124" s="273">
        <v>5942.4</v>
      </c>
      <c r="E2124" s="273" t="s">
        <v>74</v>
      </c>
      <c r="F2124" s="282">
        <v>5</v>
      </c>
      <c r="G2124" s="270" t="s">
        <v>71</v>
      </c>
      <c r="H2124" s="136" t="s">
        <v>72</v>
      </c>
      <c r="I2124" s="181">
        <f>I2125</f>
        <v>868844.3</v>
      </c>
      <c r="J2124" s="181">
        <f>J2125</f>
        <v>146.21</v>
      </c>
      <c r="K2124" s="181">
        <f>K2125</f>
        <v>169</v>
      </c>
    </row>
    <row r="2125" spans="1:11" ht="46.5" x14ac:dyDescent="0.35">
      <c r="A2125" s="271"/>
      <c r="B2125" s="271"/>
      <c r="C2125" s="279"/>
      <c r="D2125" s="274"/>
      <c r="E2125" s="274"/>
      <c r="F2125" s="283"/>
      <c r="G2125" s="271"/>
      <c r="H2125" s="136" t="s">
        <v>673</v>
      </c>
      <c r="I2125" s="181">
        <v>868844.3</v>
      </c>
      <c r="J2125" s="181">
        <f>I2125/D2124</f>
        <v>146.21</v>
      </c>
      <c r="K2125" s="181">
        <f>151+18</f>
        <v>169</v>
      </c>
    </row>
    <row r="2126" spans="1:11" x14ac:dyDescent="0.35">
      <c r="A2126" s="277">
        <f>A2124+1</f>
        <v>131</v>
      </c>
      <c r="B2126" s="277">
        <v>4290</v>
      </c>
      <c r="C2126" s="286" t="s">
        <v>725</v>
      </c>
      <c r="D2126" s="287">
        <v>3219.4</v>
      </c>
      <c r="E2126" s="276" t="s">
        <v>74</v>
      </c>
      <c r="F2126" s="276">
        <v>9</v>
      </c>
      <c r="G2126" s="277" t="s">
        <v>71</v>
      </c>
      <c r="H2126" s="136" t="s">
        <v>72</v>
      </c>
      <c r="I2126" s="181">
        <f>I2127</f>
        <v>486624.1</v>
      </c>
      <c r="J2126" s="181">
        <f>J2127</f>
        <v>151.15</v>
      </c>
      <c r="K2126" s="181">
        <f>K2127</f>
        <v>164</v>
      </c>
    </row>
    <row r="2127" spans="1:11" ht="46.5" x14ac:dyDescent="0.35">
      <c r="A2127" s="277"/>
      <c r="B2127" s="277"/>
      <c r="C2127" s="286"/>
      <c r="D2127" s="287"/>
      <c r="E2127" s="276"/>
      <c r="F2127" s="276"/>
      <c r="G2127" s="277"/>
      <c r="H2127" s="136" t="s">
        <v>673</v>
      </c>
      <c r="I2127" s="181">
        <f>444771.9+D2126*13</f>
        <v>486624.1</v>
      </c>
      <c r="J2127" s="181">
        <f>I2127/D2126</f>
        <v>151.15</v>
      </c>
      <c r="K2127" s="181">
        <f>151+13</f>
        <v>164</v>
      </c>
    </row>
    <row r="2128" spans="1:11" x14ac:dyDescent="0.35">
      <c r="A2128" s="277">
        <f>A2126+1</f>
        <v>132</v>
      </c>
      <c r="B2128" s="277">
        <v>3304</v>
      </c>
      <c r="C2128" s="286" t="s">
        <v>788</v>
      </c>
      <c r="D2128" s="287">
        <v>4426.3999999999996</v>
      </c>
      <c r="E2128" s="276" t="s">
        <v>74</v>
      </c>
      <c r="F2128" s="276">
        <v>10</v>
      </c>
      <c r="G2128" s="277" t="s">
        <v>84</v>
      </c>
      <c r="H2128" s="136" t="s">
        <v>72</v>
      </c>
      <c r="I2128" s="181">
        <f>I2129+I2130</f>
        <v>1146437.6000000001</v>
      </c>
      <c r="J2128" s="181">
        <f>J2129+J2130</f>
        <v>259</v>
      </c>
      <c r="K2128" s="181">
        <f>K2129+K2130</f>
        <v>259</v>
      </c>
    </row>
    <row r="2129" spans="1:11" ht="46.5" x14ac:dyDescent="0.35">
      <c r="A2129" s="277"/>
      <c r="B2129" s="277"/>
      <c r="C2129" s="286"/>
      <c r="D2129" s="287"/>
      <c r="E2129" s="276"/>
      <c r="F2129" s="276"/>
      <c r="G2129" s="277"/>
      <c r="H2129" s="136" t="s">
        <v>673</v>
      </c>
      <c r="I2129" s="181">
        <f>D2128*K2129</f>
        <v>331980</v>
      </c>
      <c r="J2129" s="181">
        <f>I2129/D2128</f>
        <v>75</v>
      </c>
      <c r="K2129" s="181">
        <f>63+12</f>
        <v>75</v>
      </c>
    </row>
    <row r="2130" spans="1:11" ht="46.5" x14ac:dyDescent="0.35">
      <c r="A2130" s="277"/>
      <c r="B2130" s="277"/>
      <c r="C2130" s="286"/>
      <c r="D2130" s="287"/>
      <c r="E2130" s="276"/>
      <c r="F2130" s="276"/>
      <c r="G2130" s="277"/>
      <c r="H2130" s="136" t="s">
        <v>674</v>
      </c>
      <c r="I2130" s="181">
        <f>D2128*K2130</f>
        <v>814457.6</v>
      </c>
      <c r="J2130" s="181">
        <f>I2130/D2128</f>
        <v>184</v>
      </c>
      <c r="K2130" s="181">
        <f>156+28</f>
        <v>184</v>
      </c>
    </row>
    <row r="2131" spans="1:11" x14ac:dyDescent="0.35">
      <c r="A2131" s="270">
        <f>A2128+1</f>
        <v>133</v>
      </c>
      <c r="B2131" s="270">
        <v>4054</v>
      </c>
      <c r="C2131" s="278" t="s">
        <v>789</v>
      </c>
      <c r="D2131" s="273">
        <v>2654.1</v>
      </c>
      <c r="E2131" s="267" t="s">
        <v>70</v>
      </c>
      <c r="F2131" s="267">
        <v>5</v>
      </c>
      <c r="G2131" s="270" t="s">
        <v>71</v>
      </c>
      <c r="H2131" s="136" t="s">
        <v>72</v>
      </c>
      <c r="I2131" s="181">
        <f>I2132</f>
        <v>263727.64</v>
      </c>
      <c r="J2131" s="181">
        <f>J2132</f>
        <v>99.37</v>
      </c>
      <c r="K2131" s="181">
        <f>K2132</f>
        <v>169</v>
      </c>
    </row>
    <row r="2132" spans="1:11" ht="56" customHeight="1" x14ac:dyDescent="0.35">
      <c r="A2132" s="271"/>
      <c r="B2132" s="271"/>
      <c r="C2132" s="279"/>
      <c r="D2132" s="274"/>
      <c r="E2132" s="268"/>
      <c r="F2132" s="269"/>
      <c r="G2132" s="271"/>
      <c r="H2132" s="136" t="s">
        <v>673</v>
      </c>
      <c r="I2132" s="181">
        <f>215953.84+D2131*18</f>
        <v>263727.64</v>
      </c>
      <c r="J2132" s="181">
        <f>I2132/D2131</f>
        <v>99.37</v>
      </c>
      <c r="K2132" s="181">
        <f>151+18</f>
        <v>169</v>
      </c>
    </row>
    <row r="2133" spans="1:11" x14ac:dyDescent="0.35">
      <c r="A2133" s="270">
        <f>A2131+1</f>
        <v>134</v>
      </c>
      <c r="B2133" s="270">
        <v>3305</v>
      </c>
      <c r="C2133" s="278" t="s">
        <v>790</v>
      </c>
      <c r="D2133" s="273">
        <v>2891.1</v>
      </c>
      <c r="E2133" s="267" t="s">
        <v>70</v>
      </c>
      <c r="F2133" s="267">
        <v>5</v>
      </c>
      <c r="G2133" s="270" t="s">
        <v>71</v>
      </c>
      <c r="H2133" s="136" t="s">
        <v>72</v>
      </c>
      <c r="I2133" s="181">
        <f>I2134</f>
        <v>488224.1</v>
      </c>
      <c r="J2133" s="181">
        <f>J2134</f>
        <v>168.87</v>
      </c>
      <c r="K2133" s="181">
        <f>K2134</f>
        <v>169</v>
      </c>
    </row>
    <row r="2134" spans="1:11" ht="58.5" customHeight="1" x14ac:dyDescent="0.35">
      <c r="A2134" s="271"/>
      <c r="B2134" s="271"/>
      <c r="C2134" s="279"/>
      <c r="D2134" s="274"/>
      <c r="E2134" s="268"/>
      <c r="F2134" s="269"/>
      <c r="G2134" s="271"/>
      <c r="H2134" s="136" t="s">
        <v>673</v>
      </c>
      <c r="I2134" s="181">
        <f>436223.9+52000.2</f>
        <v>488224.1</v>
      </c>
      <c r="J2134" s="181">
        <f>I2134/D2133</f>
        <v>168.87</v>
      </c>
      <c r="K2134" s="181">
        <f>151+18</f>
        <v>169</v>
      </c>
    </row>
    <row r="2135" spans="1:11" x14ac:dyDescent="0.35">
      <c r="A2135" s="270">
        <f>A2133+1</f>
        <v>135</v>
      </c>
      <c r="B2135" s="270">
        <v>3306</v>
      </c>
      <c r="C2135" s="278" t="s">
        <v>791</v>
      </c>
      <c r="D2135" s="273">
        <v>2855.9</v>
      </c>
      <c r="E2135" s="267" t="s">
        <v>70</v>
      </c>
      <c r="F2135" s="267">
        <v>5</v>
      </c>
      <c r="G2135" s="270" t="s">
        <v>71</v>
      </c>
      <c r="H2135" s="136" t="s">
        <v>72</v>
      </c>
      <c r="I2135" s="181">
        <f>I2136</f>
        <v>482647.09</v>
      </c>
      <c r="J2135" s="181">
        <f>J2136</f>
        <v>169</v>
      </c>
      <c r="K2135" s="181">
        <f>K2136</f>
        <v>169</v>
      </c>
    </row>
    <row r="2136" spans="1:11" ht="54.5" customHeight="1" x14ac:dyDescent="0.35">
      <c r="A2136" s="271"/>
      <c r="B2136" s="271"/>
      <c r="C2136" s="279"/>
      <c r="D2136" s="274"/>
      <c r="E2136" s="268"/>
      <c r="F2136" s="269"/>
      <c r="G2136" s="271"/>
      <c r="H2136" s="136" t="s">
        <v>673</v>
      </c>
      <c r="I2136" s="181">
        <f>431240.89+D2135*18</f>
        <v>482647.09</v>
      </c>
      <c r="J2136" s="181">
        <f>I2136/D2135</f>
        <v>169</v>
      </c>
      <c r="K2136" s="181">
        <f>151+18</f>
        <v>169</v>
      </c>
    </row>
    <row r="2137" spans="1:11" x14ac:dyDescent="0.35">
      <c r="A2137" s="270">
        <f>A2135+1</f>
        <v>136</v>
      </c>
      <c r="B2137" s="270">
        <v>3307</v>
      </c>
      <c r="C2137" s="278" t="s">
        <v>792</v>
      </c>
      <c r="D2137" s="273">
        <v>2885.4</v>
      </c>
      <c r="E2137" s="267" t="s">
        <v>70</v>
      </c>
      <c r="F2137" s="267">
        <v>5</v>
      </c>
      <c r="G2137" s="270" t="s">
        <v>71</v>
      </c>
      <c r="H2137" s="136" t="s">
        <v>72</v>
      </c>
      <c r="I2137" s="181">
        <f>I2138</f>
        <v>487632.6</v>
      </c>
      <c r="J2137" s="181">
        <f>J2138</f>
        <v>169</v>
      </c>
      <c r="K2137" s="181">
        <f>K2138</f>
        <v>169</v>
      </c>
    </row>
    <row r="2138" spans="1:11" ht="54.5" customHeight="1" x14ac:dyDescent="0.35">
      <c r="A2138" s="271"/>
      <c r="B2138" s="271"/>
      <c r="C2138" s="279"/>
      <c r="D2138" s="274"/>
      <c r="E2138" s="268"/>
      <c r="F2138" s="269"/>
      <c r="G2138" s="271"/>
      <c r="H2138" s="136" t="s">
        <v>673</v>
      </c>
      <c r="I2138" s="181">
        <f>435695.4+D2137*18</f>
        <v>487632.6</v>
      </c>
      <c r="J2138" s="181">
        <f>I2138/D2137</f>
        <v>169</v>
      </c>
      <c r="K2138" s="181">
        <f>151+18</f>
        <v>169</v>
      </c>
    </row>
    <row r="2139" spans="1:11" x14ac:dyDescent="0.35">
      <c r="A2139" s="270">
        <f>A2137+1</f>
        <v>137</v>
      </c>
      <c r="B2139" s="270">
        <v>3309</v>
      </c>
      <c r="C2139" s="278" t="s">
        <v>793</v>
      </c>
      <c r="D2139" s="273">
        <v>7883.8</v>
      </c>
      <c r="E2139" s="267" t="s">
        <v>74</v>
      </c>
      <c r="F2139" s="267">
        <v>9</v>
      </c>
      <c r="G2139" s="270" t="s">
        <v>76</v>
      </c>
      <c r="H2139" s="136" t="s">
        <v>72</v>
      </c>
      <c r="I2139" s="181">
        <f>I2140</f>
        <v>460368.12</v>
      </c>
      <c r="J2139" s="181">
        <f>J2140</f>
        <v>58.39</v>
      </c>
      <c r="K2139" s="181">
        <f>K2140</f>
        <v>91</v>
      </c>
    </row>
    <row r="2140" spans="1:11" ht="46.5" x14ac:dyDescent="0.35">
      <c r="A2140" s="271"/>
      <c r="B2140" s="271"/>
      <c r="C2140" s="279"/>
      <c r="D2140" s="274"/>
      <c r="E2140" s="268"/>
      <c r="F2140" s="269"/>
      <c r="G2140" s="271"/>
      <c r="H2140" s="136" t="s">
        <v>634</v>
      </c>
      <c r="I2140" s="181">
        <f>413065.32+D2139*6</f>
        <v>460368.12</v>
      </c>
      <c r="J2140" s="181">
        <f>I2140/D2139</f>
        <v>58.39</v>
      </c>
      <c r="K2140" s="181">
        <f>85+6</f>
        <v>91</v>
      </c>
    </row>
    <row r="2141" spans="1:11" x14ac:dyDescent="0.35">
      <c r="A2141" s="277">
        <f>A2139+1</f>
        <v>138</v>
      </c>
      <c r="B2141" s="277">
        <v>4242</v>
      </c>
      <c r="C2141" s="286" t="s">
        <v>726</v>
      </c>
      <c r="D2141" s="287">
        <v>8994.61</v>
      </c>
      <c r="E2141" s="276" t="s">
        <v>70</v>
      </c>
      <c r="F2141" s="267">
        <v>10</v>
      </c>
      <c r="G2141" s="146"/>
      <c r="H2141" s="136" t="s">
        <v>72</v>
      </c>
      <c r="I2141" s="181">
        <f>I2142+I2143+I2144+I2145</f>
        <v>129124</v>
      </c>
      <c r="J2141" s="181">
        <f>J2142+J2143+J2144+J2145</f>
        <v>14.36</v>
      </c>
      <c r="K2141" s="181">
        <f>K2142+K2143+K2144+K2145</f>
        <v>14.36</v>
      </c>
    </row>
    <row r="2142" spans="1:11" ht="46.5" x14ac:dyDescent="0.35">
      <c r="A2142" s="277"/>
      <c r="B2142" s="277"/>
      <c r="C2142" s="286"/>
      <c r="D2142" s="287"/>
      <c r="E2142" s="276"/>
      <c r="F2142" s="268"/>
      <c r="G2142" s="141" t="s">
        <v>641</v>
      </c>
      <c r="H2142" s="136" t="s">
        <v>634</v>
      </c>
      <c r="I2142" s="181">
        <v>32281</v>
      </c>
      <c r="J2142" s="181">
        <f>I2142/D2141</f>
        <v>3.59</v>
      </c>
      <c r="K2142" s="181">
        <f>32281/D2141</f>
        <v>3.59</v>
      </c>
    </row>
    <row r="2143" spans="1:11" ht="46.5" x14ac:dyDescent="0.35">
      <c r="A2143" s="277"/>
      <c r="B2143" s="277"/>
      <c r="C2143" s="286"/>
      <c r="D2143" s="287"/>
      <c r="E2143" s="276"/>
      <c r="F2143" s="268"/>
      <c r="G2143" s="141" t="s">
        <v>647</v>
      </c>
      <c r="H2143" s="136" t="s">
        <v>634</v>
      </c>
      <c r="I2143" s="181">
        <v>32281</v>
      </c>
      <c r="J2143" s="181">
        <f>I2143/D2141</f>
        <v>3.59</v>
      </c>
      <c r="K2143" s="181">
        <f>32281/D2141</f>
        <v>3.59</v>
      </c>
    </row>
    <row r="2144" spans="1:11" ht="46.5" x14ac:dyDescent="0.35">
      <c r="A2144" s="277"/>
      <c r="B2144" s="277"/>
      <c r="C2144" s="286"/>
      <c r="D2144" s="287"/>
      <c r="E2144" s="276"/>
      <c r="F2144" s="268"/>
      <c r="G2144" s="141" t="s">
        <v>648</v>
      </c>
      <c r="H2144" s="136" t="s">
        <v>634</v>
      </c>
      <c r="I2144" s="181">
        <v>32281</v>
      </c>
      <c r="J2144" s="181">
        <f>I2144/D2141</f>
        <v>3.59</v>
      </c>
      <c r="K2144" s="181">
        <f>32281/D2141</f>
        <v>3.59</v>
      </c>
    </row>
    <row r="2145" spans="1:11" ht="46.5" x14ac:dyDescent="0.35">
      <c r="A2145" s="277"/>
      <c r="B2145" s="277"/>
      <c r="C2145" s="286"/>
      <c r="D2145" s="287"/>
      <c r="E2145" s="276"/>
      <c r="F2145" s="268"/>
      <c r="G2145" s="141" t="s">
        <v>649</v>
      </c>
      <c r="H2145" s="136" t="s">
        <v>634</v>
      </c>
      <c r="I2145" s="181">
        <v>32281</v>
      </c>
      <c r="J2145" s="181">
        <f>I2145/D2141</f>
        <v>3.59</v>
      </c>
      <c r="K2145" s="181">
        <f>32281/D2141</f>
        <v>3.59</v>
      </c>
    </row>
    <row r="2146" spans="1:11" x14ac:dyDescent="0.35">
      <c r="A2146" s="277">
        <f>A2141+1</f>
        <v>139</v>
      </c>
      <c r="B2146" s="277">
        <v>4292</v>
      </c>
      <c r="C2146" s="286" t="s">
        <v>116</v>
      </c>
      <c r="D2146" s="287">
        <v>3198.2</v>
      </c>
      <c r="E2146" s="276" t="s">
        <v>74</v>
      </c>
      <c r="F2146" s="267">
        <v>5</v>
      </c>
      <c r="G2146" s="277" t="s">
        <v>71</v>
      </c>
      <c r="H2146" s="136" t="s">
        <v>72</v>
      </c>
      <c r="I2146" s="181">
        <f>I2147</f>
        <v>250269.93</v>
      </c>
      <c r="J2146" s="181">
        <f>J2147</f>
        <v>78.25</v>
      </c>
      <c r="K2146" s="181">
        <f>K2147</f>
        <v>169</v>
      </c>
    </row>
    <row r="2147" spans="1:11" ht="46.5" x14ac:dyDescent="0.35">
      <c r="A2147" s="277"/>
      <c r="B2147" s="277"/>
      <c r="C2147" s="286"/>
      <c r="D2147" s="287"/>
      <c r="E2147" s="276"/>
      <c r="F2147" s="269"/>
      <c r="G2147" s="277"/>
      <c r="H2147" s="136" t="s">
        <v>673</v>
      </c>
      <c r="I2147" s="181">
        <f>234509.93+15760</f>
        <v>250269.93</v>
      </c>
      <c r="J2147" s="181">
        <f>I2147/D2146</f>
        <v>78.25</v>
      </c>
      <c r="K2147" s="181">
        <f>151+18</f>
        <v>169</v>
      </c>
    </row>
    <row r="2148" spans="1:11" x14ac:dyDescent="0.35">
      <c r="A2148" s="277">
        <f>A2146+1</f>
        <v>140</v>
      </c>
      <c r="B2148" s="277">
        <v>4347</v>
      </c>
      <c r="C2148" s="286" t="s">
        <v>117</v>
      </c>
      <c r="D2148" s="287">
        <v>4495.8999999999996</v>
      </c>
      <c r="E2148" s="276" t="s">
        <v>74</v>
      </c>
      <c r="F2148" s="267">
        <v>5</v>
      </c>
      <c r="G2148" s="277" t="s">
        <v>71</v>
      </c>
      <c r="H2148" s="136" t="s">
        <v>72</v>
      </c>
      <c r="I2148" s="181">
        <f>I2149</f>
        <v>281395.64</v>
      </c>
      <c r="J2148" s="181">
        <f>J2149</f>
        <v>62.59</v>
      </c>
      <c r="K2148" s="181">
        <f>K2149</f>
        <v>169</v>
      </c>
    </row>
    <row r="2149" spans="1:11" ht="46.5" x14ac:dyDescent="0.35">
      <c r="A2149" s="277"/>
      <c r="B2149" s="277"/>
      <c r="C2149" s="286"/>
      <c r="D2149" s="287"/>
      <c r="E2149" s="276"/>
      <c r="F2149" s="269"/>
      <c r="G2149" s="277"/>
      <c r="H2149" s="136" t="s">
        <v>673</v>
      </c>
      <c r="I2149" s="181">
        <f>200469.44+D2148*18</f>
        <v>281395.64</v>
      </c>
      <c r="J2149" s="181">
        <f>I2149/D2148</f>
        <v>62.59</v>
      </c>
      <c r="K2149" s="181">
        <f>151+18</f>
        <v>169</v>
      </c>
    </row>
    <row r="2150" spans="1:11" x14ac:dyDescent="0.35">
      <c r="A2150" s="270">
        <f>A2148+1</f>
        <v>141</v>
      </c>
      <c r="B2150" s="270">
        <v>3198</v>
      </c>
      <c r="C2150" s="278" t="s">
        <v>559</v>
      </c>
      <c r="D2150" s="273">
        <v>2619.1</v>
      </c>
      <c r="E2150" s="273" t="s">
        <v>70</v>
      </c>
      <c r="F2150" s="282">
        <v>5</v>
      </c>
      <c r="G2150" s="270" t="s">
        <v>71</v>
      </c>
      <c r="H2150" s="136" t="s">
        <v>72</v>
      </c>
      <c r="I2150" s="181">
        <f>I2151</f>
        <v>410604.1</v>
      </c>
      <c r="J2150" s="181">
        <f>J2151</f>
        <v>156.77000000000001</v>
      </c>
      <c r="K2150" s="181">
        <f>K2151</f>
        <v>169</v>
      </c>
    </row>
    <row r="2151" spans="1:11" ht="46.5" x14ac:dyDescent="0.35">
      <c r="A2151" s="271"/>
      <c r="B2151" s="271"/>
      <c r="C2151" s="279"/>
      <c r="D2151" s="274"/>
      <c r="E2151" s="274"/>
      <c r="F2151" s="283"/>
      <c r="G2151" s="271"/>
      <c r="H2151" s="136" t="s">
        <v>673</v>
      </c>
      <c r="I2151" s="181">
        <f>395484.1+15120</f>
        <v>410604.1</v>
      </c>
      <c r="J2151" s="181">
        <f>I2151/D2150</f>
        <v>156.77000000000001</v>
      </c>
      <c r="K2151" s="181">
        <f>151+18</f>
        <v>169</v>
      </c>
    </row>
    <row r="2152" spans="1:11" x14ac:dyDescent="0.35">
      <c r="A2152" s="277">
        <f>A2150+1</f>
        <v>142</v>
      </c>
      <c r="B2152" s="277">
        <v>3200</v>
      </c>
      <c r="C2152" s="286" t="s">
        <v>118</v>
      </c>
      <c r="D2152" s="287">
        <v>1603.2</v>
      </c>
      <c r="E2152" s="276" t="s">
        <v>74</v>
      </c>
      <c r="F2152" s="267">
        <v>5</v>
      </c>
      <c r="G2152" s="277" t="s">
        <v>71</v>
      </c>
      <c r="H2152" s="136" t="s">
        <v>72</v>
      </c>
      <c r="I2152" s="181">
        <f>I2153</f>
        <v>196024.76</v>
      </c>
      <c r="J2152" s="181">
        <f>J2153</f>
        <v>122.27</v>
      </c>
      <c r="K2152" s="181">
        <f>K2153</f>
        <v>169</v>
      </c>
    </row>
    <row r="2153" spans="1:11" ht="46.5" x14ac:dyDescent="0.35">
      <c r="A2153" s="277"/>
      <c r="B2153" s="277"/>
      <c r="C2153" s="286"/>
      <c r="D2153" s="287"/>
      <c r="E2153" s="276"/>
      <c r="F2153" s="269"/>
      <c r="G2153" s="277"/>
      <c r="H2153" s="136" t="s">
        <v>673</v>
      </c>
      <c r="I2153" s="181">
        <f>181144.76+14880</f>
        <v>196024.76</v>
      </c>
      <c r="J2153" s="181">
        <f>I2153/D2152</f>
        <v>122.27</v>
      </c>
      <c r="K2153" s="181">
        <f>151+18</f>
        <v>169</v>
      </c>
    </row>
    <row r="2154" spans="1:11" x14ac:dyDescent="0.35">
      <c r="A2154" s="270">
        <f>A2152+1</f>
        <v>143</v>
      </c>
      <c r="B2154" s="270">
        <v>3204</v>
      </c>
      <c r="C2154" s="278" t="s">
        <v>560</v>
      </c>
      <c r="D2154" s="273">
        <v>2626.3</v>
      </c>
      <c r="E2154" s="267" t="s">
        <v>70</v>
      </c>
      <c r="F2154" s="267">
        <v>5</v>
      </c>
      <c r="G2154" s="270" t="s">
        <v>71</v>
      </c>
      <c r="H2154" s="136" t="s">
        <v>72</v>
      </c>
      <c r="I2154" s="181">
        <f>I2155</f>
        <v>443844.7</v>
      </c>
      <c r="J2154" s="181">
        <f>J2155</f>
        <v>169</v>
      </c>
      <c r="K2154" s="181">
        <f>K2155</f>
        <v>169</v>
      </c>
    </row>
    <row r="2155" spans="1:11" ht="46.5" x14ac:dyDescent="0.35">
      <c r="A2155" s="271"/>
      <c r="B2155" s="271"/>
      <c r="C2155" s="279"/>
      <c r="D2155" s="274"/>
      <c r="E2155" s="268"/>
      <c r="F2155" s="269"/>
      <c r="G2155" s="271"/>
      <c r="H2155" s="136" t="s">
        <v>673</v>
      </c>
      <c r="I2155" s="181">
        <f>396571.3+D2154*18</f>
        <v>443844.7</v>
      </c>
      <c r="J2155" s="181">
        <f>I2155/D2154</f>
        <v>169</v>
      </c>
      <c r="K2155" s="181">
        <f>151+18</f>
        <v>169</v>
      </c>
    </row>
    <row r="2156" spans="1:11" x14ac:dyDescent="0.35">
      <c r="A2156" s="270">
        <f>A2154+1</f>
        <v>144</v>
      </c>
      <c r="B2156" s="270">
        <v>3340</v>
      </c>
      <c r="C2156" s="278" t="s">
        <v>727</v>
      </c>
      <c r="D2156" s="273">
        <v>6156.86</v>
      </c>
      <c r="E2156" s="267" t="s">
        <v>70</v>
      </c>
      <c r="F2156" s="267">
        <v>9</v>
      </c>
      <c r="G2156" s="167"/>
      <c r="H2156" s="136" t="s">
        <v>72</v>
      </c>
      <c r="I2156" s="181">
        <f>I2157+I2158+I2159</f>
        <v>474078.22</v>
      </c>
      <c r="J2156" s="181">
        <f>J2157+J2158+J2159</f>
        <v>77</v>
      </c>
      <c r="K2156" s="181">
        <f>K2157+K2158+K2159</f>
        <v>77</v>
      </c>
    </row>
    <row r="2157" spans="1:11" ht="46.5" x14ac:dyDescent="0.35">
      <c r="A2157" s="271"/>
      <c r="B2157" s="271"/>
      <c r="C2157" s="279"/>
      <c r="D2157" s="274"/>
      <c r="E2157" s="268"/>
      <c r="F2157" s="268"/>
      <c r="G2157" s="141" t="s">
        <v>89</v>
      </c>
      <c r="H2157" s="136" t="s">
        <v>634</v>
      </c>
      <c r="I2157" s="181">
        <f>D2156*K2157</f>
        <v>166235.22</v>
      </c>
      <c r="J2157" s="181">
        <f>I2157/D2156</f>
        <v>27</v>
      </c>
      <c r="K2157" s="181">
        <f>18+9</f>
        <v>27</v>
      </c>
    </row>
    <row r="2158" spans="1:11" ht="55" customHeight="1" x14ac:dyDescent="0.35">
      <c r="A2158" s="271"/>
      <c r="B2158" s="271"/>
      <c r="C2158" s="279"/>
      <c r="D2158" s="274"/>
      <c r="E2158" s="268"/>
      <c r="F2158" s="268"/>
      <c r="G2158" s="141" t="s">
        <v>77</v>
      </c>
      <c r="H2158" s="136" t="s">
        <v>634</v>
      </c>
      <c r="I2158" s="181">
        <f>D2156*K2158</f>
        <v>166235.22</v>
      </c>
      <c r="J2158" s="181">
        <f>I2158/D2156</f>
        <v>27</v>
      </c>
      <c r="K2158" s="181">
        <f>19+8</f>
        <v>27</v>
      </c>
    </row>
    <row r="2159" spans="1:11" ht="57" customHeight="1" x14ac:dyDescent="0.35">
      <c r="A2159" s="271"/>
      <c r="B2159" s="271"/>
      <c r="C2159" s="279"/>
      <c r="D2159" s="274"/>
      <c r="E2159" s="268"/>
      <c r="F2159" s="268"/>
      <c r="G2159" s="141" t="s">
        <v>78</v>
      </c>
      <c r="H2159" s="136" t="s">
        <v>634</v>
      </c>
      <c r="I2159" s="181">
        <f>D2156*K2159</f>
        <v>141607.78</v>
      </c>
      <c r="J2159" s="181">
        <f>I2159/D2156</f>
        <v>23</v>
      </c>
      <c r="K2159" s="181">
        <f>16+7</f>
        <v>23</v>
      </c>
    </row>
    <row r="2160" spans="1:11" x14ac:dyDescent="0.35">
      <c r="A2160" s="270">
        <f>A2156+1</f>
        <v>145</v>
      </c>
      <c r="B2160" s="270">
        <v>3359</v>
      </c>
      <c r="C2160" s="278" t="s">
        <v>561</v>
      </c>
      <c r="D2160" s="273">
        <v>3598</v>
      </c>
      <c r="E2160" s="267" t="s">
        <v>74</v>
      </c>
      <c r="F2160" s="267">
        <v>5</v>
      </c>
      <c r="G2160" s="270" t="s">
        <v>71</v>
      </c>
      <c r="H2160" s="136" t="s">
        <v>72</v>
      </c>
      <c r="I2160" s="181">
        <f>I2161</f>
        <v>233749.59</v>
      </c>
      <c r="J2160" s="181">
        <f>J2161</f>
        <v>64.97</v>
      </c>
      <c r="K2160" s="181">
        <f>K2161</f>
        <v>169</v>
      </c>
    </row>
    <row r="2161" spans="1:11" ht="59.5" customHeight="1" x14ac:dyDescent="0.35">
      <c r="A2161" s="271"/>
      <c r="B2161" s="271"/>
      <c r="C2161" s="279"/>
      <c r="D2161" s="274"/>
      <c r="E2161" s="268"/>
      <c r="F2161" s="268"/>
      <c r="G2161" s="271"/>
      <c r="H2161" s="136" t="s">
        <v>673</v>
      </c>
      <c r="I2161" s="181">
        <f>168985.59+D2160*18</f>
        <v>233749.59</v>
      </c>
      <c r="J2161" s="181">
        <f>I2161/D2160</f>
        <v>64.97</v>
      </c>
      <c r="K2161" s="181">
        <f>151+18</f>
        <v>169</v>
      </c>
    </row>
    <row r="2162" spans="1:11" x14ac:dyDescent="0.35">
      <c r="A2162" s="277">
        <f>A2160+1</f>
        <v>146</v>
      </c>
      <c r="B2162" s="277">
        <v>3091</v>
      </c>
      <c r="C2162" s="286" t="s">
        <v>119</v>
      </c>
      <c r="D2162" s="287">
        <v>3532.6</v>
      </c>
      <c r="E2162" s="276" t="s">
        <v>70</v>
      </c>
      <c r="F2162" s="267">
        <v>5</v>
      </c>
      <c r="G2162" s="277" t="s">
        <v>71</v>
      </c>
      <c r="H2162" s="136" t="s">
        <v>72</v>
      </c>
      <c r="I2162" s="181">
        <f>I2163</f>
        <v>472781.7</v>
      </c>
      <c r="J2162" s="181">
        <f>J2163</f>
        <v>133.83000000000001</v>
      </c>
      <c r="K2162" s="181">
        <f>K2163</f>
        <v>169</v>
      </c>
    </row>
    <row r="2163" spans="1:11" ht="46.5" x14ac:dyDescent="0.35">
      <c r="A2163" s="277"/>
      <c r="B2163" s="277"/>
      <c r="C2163" s="286"/>
      <c r="D2163" s="287"/>
      <c r="E2163" s="276"/>
      <c r="F2163" s="269"/>
      <c r="G2163" s="277"/>
      <c r="H2163" s="136" t="s">
        <v>673</v>
      </c>
      <c r="I2163" s="181">
        <f>409194.9+D2162*18</f>
        <v>472781.7</v>
      </c>
      <c r="J2163" s="181">
        <f>I2163/D2162</f>
        <v>133.83000000000001</v>
      </c>
      <c r="K2163" s="181">
        <f>151+18</f>
        <v>169</v>
      </c>
    </row>
    <row r="2164" spans="1:11" x14ac:dyDescent="0.35">
      <c r="A2164" s="270">
        <f>A2162+1</f>
        <v>147</v>
      </c>
      <c r="B2164" s="270">
        <v>3278</v>
      </c>
      <c r="C2164" s="278" t="s">
        <v>365</v>
      </c>
      <c r="D2164" s="256">
        <v>4404.5</v>
      </c>
      <c r="E2164" s="351" t="s">
        <v>70</v>
      </c>
      <c r="F2164" s="351">
        <v>5</v>
      </c>
      <c r="G2164" s="146"/>
      <c r="H2164" s="136" t="s">
        <v>72</v>
      </c>
      <c r="I2164" s="181">
        <f>SUM(I2165:I2173)</f>
        <v>9957329.9800000004</v>
      </c>
      <c r="J2164" s="181">
        <f>SUM(J2165:J2173)</f>
        <v>2260.7199999999998</v>
      </c>
      <c r="K2164" s="181">
        <f>SUM(K2165:K2173)</f>
        <v>3682</v>
      </c>
    </row>
    <row r="2165" spans="1:11" x14ac:dyDescent="0.35">
      <c r="A2165" s="271"/>
      <c r="B2165" s="271"/>
      <c r="C2165" s="279"/>
      <c r="D2165" s="257"/>
      <c r="E2165" s="352"/>
      <c r="F2165" s="352"/>
      <c r="G2165" s="277" t="s">
        <v>76</v>
      </c>
      <c r="H2165" s="136" t="s">
        <v>73</v>
      </c>
      <c r="I2165" s="181">
        <f>9006597.78*0.7</f>
        <v>6304618.4500000002</v>
      </c>
      <c r="J2165" s="181">
        <f>I2165/D2164</f>
        <v>1431.4</v>
      </c>
      <c r="K2165" s="181">
        <v>2119</v>
      </c>
    </row>
    <row r="2166" spans="1:11" x14ac:dyDescent="0.35">
      <c r="A2166" s="271"/>
      <c r="B2166" s="271"/>
      <c r="C2166" s="279"/>
      <c r="D2166" s="257"/>
      <c r="E2166" s="352"/>
      <c r="F2166" s="352"/>
      <c r="G2166" s="277"/>
      <c r="H2166" s="136" t="s">
        <v>75</v>
      </c>
      <c r="I2166" s="181">
        <v>106971.36</v>
      </c>
      <c r="J2166" s="181">
        <f>I2166/D2164</f>
        <v>24.29</v>
      </c>
      <c r="K2166" s="181">
        <v>45</v>
      </c>
    </row>
    <row r="2167" spans="1:11" x14ac:dyDescent="0.35">
      <c r="A2167" s="271"/>
      <c r="B2167" s="271"/>
      <c r="C2167" s="279"/>
      <c r="D2167" s="257"/>
      <c r="E2167" s="352"/>
      <c r="F2167" s="352"/>
      <c r="G2167" s="277" t="s">
        <v>77</v>
      </c>
      <c r="H2167" s="136" t="s">
        <v>73</v>
      </c>
      <c r="I2167" s="181">
        <f>939332.77*0.7</f>
        <v>657532.93999999994</v>
      </c>
      <c r="J2167" s="181">
        <f>I2167/D2164</f>
        <v>149.29</v>
      </c>
      <c r="K2167" s="181">
        <v>463</v>
      </c>
    </row>
    <row r="2168" spans="1:11" x14ac:dyDescent="0.35">
      <c r="A2168" s="271"/>
      <c r="B2168" s="271"/>
      <c r="C2168" s="279"/>
      <c r="D2168" s="257"/>
      <c r="E2168" s="352"/>
      <c r="F2168" s="352"/>
      <c r="G2168" s="277"/>
      <c r="H2168" s="136" t="s">
        <v>75</v>
      </c>
      <c r="I2168" s="181">
        <v>11156.45</v>
      </c>
      <c r="J2168" s="181">
        <f>I2168/D2164</f>
        <v>2.5299999999999998</v>
      </c>
      <c r="K2168" s="181">
        <v>10</v>
      </c>
    </row>
    <row r="2169" spans="1:11" x14ac:dyDescent="0.35">
      <c r="A2169" s="271"/>
      <c r="B2169" s="271"/>
      <c r="C2169" s="279"/>
      <c r="D2169" s="257"/>
      <c r="E2169" s="352"/>
      <c r="F2169" s="352"/>
      <c r="G2169" s="277" t="s">
        <v>78</v>
      </c>
      <c r="H2169" s="136" t="s">
        <v>73</v>
      </c>
      <c r="I2169" s="181">
        <f>1801440.5*0.7</f>
        <v>1261008.3500000001</v>
      </c>
      <c r="J2169" s="181">
        <f>I2169/D2164</f>
        <v>286.3</v>
      </c>
      <c r="K2169" s="181">
        <v>409</v>
      </c>
    </row>
    <row r="2170" spans="1:11" x14ac:dyDescent="0.35">
      <c r="A2170" s="271"/>
      <c r="B2170" s="271"/>
      <c r="C2170" s="279"/>
      <c r="D2170" s="257"/>
      <c r="E2170" s="352"/>
      <c r="F2170" s="352"/>
      <c r="G2170" s="277"/>
      <c r="H2170" s="136" t="s">
        <v>75</v>
      </c>
      <c r="I2170" s="181">
        <v>21395.71</v>
      </c>
      <c r="J2170" s="181">
        <f>I2170/D2164</f>
        <v>4.8600000000000003</v>
      </c>
      <c r="K2170" s="181">
        <v>9</v>
      </c>
    </row>
    <row r="2171" spans="1:11" x14ac:dyDescent="0.35">
      <c r="A2171" s="271"/>
      <c r="B2171" s="271"/>
      <c r="C2171" s="279"/>
      <c r="D2171" s="257"/>
      <c r="E2171" s="352"/>
      <c r="F2171" s="352"/>
      <c r="G2171" s="277" t="s">
        <v>89</v>
      </c>
      <c r="H2171" s="136" t="s">
        <v>73</v>
      </c>
      <c r="I2171" s="181">
        <f>1194428.57*0.7</f>
        <v>836100</v>
      </c>
      <c r="J2171" s="181">
        <f>I2171/D2164</f>
        <v>189.83</v>
      </c>
      <c r="K2171" s="181">
        <v>448</v>
      </c>
    </row>
    <row r="2172" spans="1:11" x14ac:dyDescent="0.35">
      <c r="A2172" s="271"/>
      <c r="B2172" s="271"/>
      <c r="C2172" s="279"/>
      <c r="D2172" s="257"/>
      <c r="E2172" s="352"/>
      <c r="F2172" s="352"/>
      <c r="G2172" s="277"/>
      <c r="H2172" s="136" t="s">
        <v>75</v>
      </c>
      <c r="I2172" s="181">
        <v>14186.23</v>
      </c>
      <c r="J2172" s="181">
        <f>I2172/D2164</f>
        <v>3.22</v>
      </c>
      <c r="K2172" s="181">
        <v>10</v>
      </c>
    </row>
    <row r="2173" spans="1:11" ht="46.5" x14ac:dyDescent="0.35">
      <c r="A2173" s="272"/>
      <c r="B2173" s="272"/>
      <c r="C2173" s="285"/>
      <c r="D2173" s="258"/>
      <c r="E2173" s="353"/>
      <c r="F2173" s="353"/>
      <c r="G2173" s="146" t="s">
        <v>71</v>
      </c>
      <c r="H2173" s="136" t="s">
        <v>673</v>
      </c>
      <c r="I2173" s="181">
        <f>665079.49+D2164*18</f>
        <v>744360.49</v>
      </c>
      <c r="J2173" s="181">
        <f>I2173/D2164</f>
        <v>169</v>
      </c>
      <c r="K2173" s="181">
        <f>151+18</f>
        <v>169</v>
      </c>
    </row>
    <row r="2174" spans="1:11" x14ac:dyDescent="0.35">
      <c r="A2174" s="270">
        <f>A2164+1</f>
        <v>148</v>
      </c>
      <c r="B2174" s="270">
        <v>3280</v>
      </c>
      <c r="C2174" s="278" t="s">
        <v>367</v>
      </c>
      <c r="D2174" s="256">
        <v>4328.8</v>
      </c>
      <c r="E2174" s="351" t="s">
        <v>70</v>
      </c>
      <c r="F2174" s="351">
        <v>5</v>
      </c>
      <c r="G2174" s="146"/>
      <c r="H2174" s="136" t="s">
        <v>72</v>
      </c>
      <c r="I2174" s="181">
        <f>SUM(I2175:I2183)</f>
        <v>13704560.390000001</v>
      </c>
      <c r="J2174" s="181">
        <f>SUM(J2175:J2183)</f>
        <v>3165.9</v>
      </c>
      <c r="K2174" s="181">
        <f>SUM(K2175:K2183)</f>
        <v>3682</v>
      </c>
    </row>
    <row r="2175" spans="1:11" x14ac:dyDescent="0.35">
      <c r="A2175" s="271"/>
      <c r="B2175" s="271"/>
      <c r="C2175" s="279"/>
      <c r="D2175" s="257"/>
      <c r="E2175" s="352"/>
      <c r="F2175" s="352"/>
      <c r="G2175" s="277" t="s">
        <v>76</v>
      </c>
      <c r="H2175" s="136" t="s">
        <v>73</v>
      </c>
      <c r="I2175" s="181">
        <v>8954940.4700000007</v>
      </c>
      <c r="J2175" s="181">
        <f>I2175/D2174</f>
        <v>2068.69</v>
      </c>
      <c r="K2175" s="181">
        <v>2119</v>
      </c>
    </row>
    <row r="2176" spans="1:11" x14ac:dyDescent="0.35">
      <c r="A2176" s="271"/>
      <c r="B2176" s="271"/>
      <c r="C2176" s="279"/>
      <c r="D2176" s="257"/>
      <c r="E2176" s="352"/>
      <c r="F2176" s="352"/>
      <c r="G2176" s="277"/>
      <c r="H2176" s="136" t="s">
        <v>75</v>
      </c>
      <c r="I2176" s="181">
        <v>97398</v>
      </c>
      <c r="J2176" s="181">
        <f>I2176/D2174</f>
        <v>22.5</v>
      </c>
      <c r="K2176" s="181">
        <v>45</v>
      </c>
    </row>
    <row r="2177" spans="1:11" x14ac:dyDescent="0.35">
      <c r="A2177" s="271"/>
      <c r="B2177" s="271"/>
      <c r="C2177" s="279"/>
      <c r="D2177" s="257"/>
      <c r="E2177" s="352"/>
      <c r="F2177" s="352"/>
      <c r="G2177" s="277" t="s">
        <v>77</v>
      </c>
      <c r="H2177" s="136" t="s">
        <v>73</v>
      </c>
      <c r="I2177" s="181">
        <v>883340.09</v>
      </c>
      <c r="J2177" s="181">
        <f>I2177/D2174</f>
        <v>204.06</v>
      </c>
      <c r="K2177" s="181">
        <v>463</v>
      </c>
    </row>
    <row r="2178" spans="1:11" x14ac:dyDescent="0.35">
      <c r="A2178" s="271"/>
      <c r="B2178" s="271"/>
      <c r="C2178" s="279"/>
      <c r="D2178" s="257"/>
      <c r="E2178" s="352"/>
      <c r="F2178" s="352"/>
      <c r="G2178" s="277"/>
      <c r="H2178" s="136" t="s">
        <v>75</v>
      </c>
      <c r="I2178" s="181">
        <v>21445.31</v>
      </c>
      <c r="J2178" s="181">
        <f>I2178/D2174</f>
        <v>4.95</v>
      </c>
      <c r="K2178" s="181">
        <v>10</v>
      </c>
    </row>
    <row r="2179" spans="1:11" x14ac:dyDescent="0.35">
      <c r="A2179" s="271"/>
      <c r="B2179" s="271"/>
      <c r="C2179" s="279"/>
      <c r="D2179" s="257"/>
      <c r="E2179" s="352"/>
      <c r="F2179" s="352"/>
      <c r="G2179" s="277" t="s">
        <v>78</v>
      </c>
      <c r="H2179" s="136" t="s">
        <v>73</v>
      </c>
      <c r="I2179" s="181">
        <v>1770479.19</v>
      </c>
      <c r="J2179" s="181">
        <f>I2179/D2174</f>
        <v>409</v>
      </c>
      <c r="K2179" s="181">
        <v>409</v>
      </c>
    </row>
    <row r="2180" spans="1:11" x14ac:dyDescent="0.35">
      <c r="A2180" s="271"/>
      <c r="B2180" s="271"/>
      <c r="C2180" s="279"/>
      <c r="D2180" s="257"/>
      <c r="E2180" s="352"/>
      <c r="F2180" s="352"/>
      <c r="G2180" s="277"/>
      <c r="H2180" s="136" t="s">
        <v>75</v>
      </c>
      <c r="I2180" s="181">
        <v>18944.13</v>
      </c>
      <c r="J2180" s="181">
        <f>I2180/D2174</f>
        <v>4.38</v>
      </c>
      <c r="K2180" s="181">
        <v>9</v>
      </c>
    </row>
    <row r="2181" spans="1:11" x14ac:dyDescent="0.35">
      <c r="A2181" s="271"/>
      <c r="B2181" s="271"/>
      <c r="C2181" s="279"/>
      <c r="D2181" s="257"/>
      <c r="E2181" s="352"/>
      <c r="F2181" s="352"/>
      <c r="G2181" s="277" t="s">
        <v>89</v>
      </c>
      <c r="H2181" s="136" t="s">
        <v>73</v>
      </c>
      <c r="I2181" s="181">
        <v>1205695.47</v>
      </c>
      <c r="J2181" s="181">
        <f>I2181/D2174</f>
        <v>278.52999999999997</v>
      </c>
      <c r="K2181" s="181">
        <v>448</v>
      </c>
    </row>
    <row r="2182" spans="1:11" x14ac:dyDescent="0.35">
      <c r="A2182" s="271"/>
      <c r="B2182" s="271"/>
      <c r="C2182" s="279"/>
      <c r="D2182" s="257"/>
      <c r="E2182" s="352"/>
      <c r="F2182" s="352"/>
      <c r="G2182" s="277"/>
      <c r="H2182" s="136" t="s">
        <v>75</v>
      </c>
      <c r="I2182" s="181">
        <v>20750.53</v>
      </c>
      <c r="J2182" s="181">
        <f>I2182/D2174</f>
        <v>4.79</v>
      </c>
      <c r="K2182" s="181">
        <v>10</v>
      </c>
    </row>
    <row r="2183" spans="1:11" ht="46.5" x14ac:dyDescent="0.35">
      <c r="A2183" s="272"/>
      <c r="B2183" s="272"/>
      <c r="C2183" s="285"/>
      <c r="D2183" s="258"/>
      <c r="E2183" s="353"/>
      <c r="F2183" s="353"/>
      <c r="G2183" s="146" t="s">
        <v>71</v>
      </c>
      <c r="H2183" s="136" t="s">
        <v>673</v>
      </c>
      <c r="I2183" s="181">
        <f>653648.8+D2174*18</f>
        <v>731567.2</v>
      </c>
      <c r="J2183" s="181">
        <f>I2183/D2174</f>
        <v>169</v>
      </c>
      <c r="K2183" s="181">
        <f>151+18</f>
        <v>169</v>
      </c>
    </row>
    <row r="2184" spans="1:11" x14ac:dyDescent="0.35">
      <c r="A2184" s="277">
        <f>A2174+1</f>
        <v>149</v>
      </c>
      <c r="B2184" s="277">
        <v>3281</v>
      </c>
      <c r="C2184" s="286" t="s">
        <v>368</v>
      </c>
      <c r="D2184" s="295">
        <v>4302</v>
      </c>
      <c r="E2184" s="317" t="s">
        <v>70</v>
      </c>
      <c r="F2184" s="351">
        <v>5</v>
      </c>
      <c r="G2184" s="146"/>
      <c r="H2184" s="136" t="s">
        <v>72</v>
      </c>
      <c r="I2184" s="181">
        <f>SUM(I2185:I2192)</f>
        <v>13204261.109999999</v>
      </c>
      <c r="J2184" s="181">
        <f>SUM(J2185:J2192)</f>
        <v>3069.33</v>
      </c>
      <c r="K2184" s="181">
        <f>SUM(K2185:K2192)</f>
        <v>3513</v>
      </c>
    </row>
    <row r="2185" spans="1:11" x14ac:dyDescent="0.35">
      <c r="A2185" s="277">
        <v>882</v>
      </c>
      <c r="B2185" s="277"/>
      <c r="C2185" s="286"/>
      <c r="D2185" s="295"/>
      <c r="E2185" s="317"/>
      <c r="F2185" s="352"/>
      <c r="G2185" s="277" t="s">
        <v>76</v>
      </c>
      <c r="H2185" s="136" t="s">
        <v>73</v>
      </c>
      <c r="I2185" s="181">
        <v>9115937.9900000002</v>
      </c>
      <c r="J2185" s="181">
        <f>I2185/D2184</f>
        <v>2119</v>
      </c>
      <c r="K2185" s="181">
        <v>2119</v>
      </c>
    </row>
    <row r="2186" spans="1:11" x14ac:dyDescent="0.35">
      <c r="A2186" s="277">
        <v>883</v>
      </c>
      <c r="B2186" s="277"/>
      <c r="C2186" s="286"/>
      <c r="D2186" s="295"/>
      <c r="E2186" s="317"/>
      <c r="F2186" s="352"/>
      <c r="G2186" s="277"/>
      <c r="H2186" s="136" t="s">
        <v>75</v>
      </c>
      <c r="I2186" s="181">
        <v>96795</v>
      </c>
      <c r="J2186" s="181">
        <f>I2186/D2184</f>
        <v>22.5</v>
      </c>
      <c r="K2186" s="181">
        <v>45</v>
      </c>
    </row>
    <row r="2187" spans="1:11" x14ac:dyDescent="0.35">
      <c r="A2187" s="277">
        <v>884</v>
      </c>
      <c r="B2187" s="277"/>
      <c r="C2187" s="286"/>
      <c r="D2187" s="295"/>
      <c r="E2187" s="317"/>
      <c r="F2187" s="352"/>
      <c r="G2187" s="277" t="s">
        <v>77</v>
      </c>
      <c r="H2187" s="136" t="s">
        <v>73</v>
      </c>
      <c r="I2187" s="181">
        <v>964704.66</v>
      </c>
      <c r="J2187" s="181">
        <f>I2187/D2184</f>
        <v>224.25</v>
      </c>
      <c r="K2187" s="181">
        <v>463</v>
      </c>
    </row>
    <row r="2188" spans="1:11" x14ac:dyDescent="0.35">
      <c r="A2188" s="277">
        <v>885</v>
      </c>
      <c r="B2188" s="277"/>
      <c r="C2188" s="286"/>
      <c r="D2188" s="295"/>
      <c r="E2188" s="317"/>
      <c r="F2188" s="352"/>
      <c r="G2188" s="277"/>
      <c r="H2188" s="136" t="s">
        <v>75</v>
      </c>
      <c r="I2188" s="181">
        <v>21312.54</v>
      </c>
      <c r="J2188" s="181">
        <f>I2188/D2184</f>
        <v>4.95</v>
      </c>
      <c r="K2188" s="181">
        <v>10</v>
      </c>
    </row>
    <row r="2189" spans="1:11" x14ac:dyDescent="0.35">
      <c r="A2189" s="277"/>
      <c r="B2189" s="277"/>
      <c r="C2189" s="286"/>
      <c r="D2189" s="295"/>
      <c r="E2189" s="317"/>
      <c r="F2189" s="352"/>
      <c r="G2189" s="277" t="s">
        <v>78</v>
      </c>
      <c r="H2189" s="136" t="s">
        <v>73</v>
      </c>
      <c r="I2189" s="181">
        <v>1759518</v>
      </c>
      <c r="J2189" s="181">
        <f>I2189/D2184</f>
        <v>409</v>
      </c>
      <c r="K2189" s="181">
        <v>409</v>
      </c>
    </row>
    <row r="2190" spans="1:11" x14ac:dyDescent="0.35">
      <c r="A2190" s="277"/>
      <c r="B2190" s="277"/>
      <c r="C2190" s="286"/>
      <c r="D2190" s="295"/>
      <c r="E2190" s="317"/>
      <c r="F2190" s="352"/>
      <c r="G2190" s="277"/>
      <c r="H2190" s="136" t="s">
        <v>75</v>
      </c>
      <c r="I2190" s="181">
        <v>18826.849999999999</v>
      </c>
      <c r="J2190" s="181">
        <f>I2190/D2184</f>
        <v>4.38</v>
      </c>
      <c r="K2190" s="181">
        <v>9</v>
      </c>
    </row>
    <row r="2191" spans="1:11" x14ac:dyDescent="0.35">
      <c r="A2191" s="277">
        <v>886</v>
      </c>
      <c r="B2191" s="277"/>
      <c r="C2191" s="286"/>
      <c r="D2191" s="295"/>
      <c r="E2191" s="317"/>
      <c r="F2191" s="352"/>
      <c r="G2191" s="277" t="s">
        <v>89</v>
      </c>
      <c r="H2191" s="136" t="s">
        <v>73</v>
      </c>
      <c r="I2191" s="181">
        <v>1206544.01</v>
      </c>
      <c r="J2191" s="181">
        <f>I2191/D2184</f>
        <v>280.45999999999998</v>
      </c>
      <c r="K2191" s="181">
        <v>448</v>
      </c>
    </row>
    <row r="2192" spans="1:11" x14ac:dyDescent="0.35">
      <c r="A2192" s="277">
        <v>887</v>
      </c>
      <c r="B2192" s="277"/>
      <c r="C2192" s="286"/>
      <c r="D2192" s="295"/>
      <c r="E2192" s="317"/>
      <c r="F2192" s="353"/>
      <c r="G2192" s="277"/>
      <c r="H2192" s="136" t="s">
        <v>75</v>
      </c>
      <c r="I2192" s="181">
        <v>20622.060000000001</v>
      </c>
      <c r="J2192" s="181">
        <f>I2192/D2184</f>
        <v>4.79</v>
      </c>
      <c r="K2192" s="181">
        <v>10</v>
      </c>
    </row>
    <row r="2193" spans="1:11" x14ac:dyDescent="0.35">
      <c r="A2193" s="270">
        <f>A2184+1</f>
        <v>150</v>
      </c>
      <c r="B2193" s="270">
        <v>4050</v>
      </c>
      <c r="C2193" s="278" t="s">
        <v>120</v>
      </c>
      <c r="D2193" s="273">
        <v>3115</v>
      </c>
      <c r="E2193" s="267" t="s">
        <v>70</v>
      </c>
      <c r="F2193" s="267">
        <v>5</v>
      </c>
      <c r="G2193" s="270" t="s">
        <v>71</v>
      </c>
      <c r="H2193" s="136" t="s">
        <v>72</v>
      </c>
      <c r="I2193" s="181">
        <f>I2194</f>
        <v>291252.5</v>
      </c>
      <c r="J2193" s="181">
        <f>J2194</f>
        <v>93.5</v>
      </c>
      <c r="K2193" s="181">
        <f>K2194</f>
        <v>169</v>
      </c>
    </row>
    <row r="2194" spans="1:11" ht="46.5" x14ac:dyDescent="0.35">
      <c r="A2194" s="271"/>
      <c r="B2194" s="271"/>
      <c r="C2194" s="279"/>
      <c r="D2194" s="274"/>
      <c r="E2194" s="268"/>
      <c r="F2194" s="269"/>
      <c r="G2194" s="271"/>
      <c r="H2194" s="136" t="s">
        <v>673</v>
      </c>
      <c r="I2194" s="181">
        <f>235182.5+D2193*18</f>
        <v>291252.5</v>
      </c>
      <c r="J2194" s="181">
        <f>I2194/D2193</f>
        <v>93.5</v>
      </c>
      <c r="K2194" s="181">
        <f>151+18</f>
        <v>169</v>
      </c>
    </row>
    <row r="2195" spans="1:11" x14ac:dyDescent="0.35">
      <c r="A2195" s="270">
        <f>A2193+1</f>
        <v>151</v>
      </c>
      <c r="B2195" s="270">
        <v>4051</v>
      </c>
      <c r="C2195" s="278" t="s">
        <v>121</v>
      </c>
      <c r="D2195" s="273">
        <v>3115</v>
      </c>
      <c r="E2195" s="267" t="s">
        <v>70</v>
      </c>
      <c r="F2195" s="267">
        <v>5</v>
      </c>
      <c r="G2195" s="270" t="s">
        <v>71</v>
      </c>
      <c r="H2195" s="136" t="s">
        <v>72</v>
      </c>
      <c r="I2195" s="181">
        <f>I2196</f>
        <v>519379.52</v>
      </c>
      <c r="J2195" s="181">
        <f>J2196</f>
        <v>166.73</v>
      </c>
      <c r="K2195" s="181">
        <f>K2196</f>
        <v>169</v>
      </c>
    </row>
    <row r="2196" spans="1:11" ht="46.5" x14ac:dyDescent="0.35">
      <c r="A2196" s="271"/>
      <c r="B2196" s="271"/>
      <c r="C2196" s="279"/>
      <c r="D2196" s="274"/>
      <c r="E2196" s="268"/>
      <c r="F2196" s="269"/>
      <c r="G2196" s="271"/>
      <c r="H2196" s="136" t="s">
        <v>673</v>
      </c>
      <c r="I2196" s="181">
        <f>463309.52+D2195*18</f>
        <v>519379.52</v>
      </c>
      <c r="J2196" s="181">
        <f>I2196/D2195</f>
        <v>166.73</v>
      </c>
      <c r="K2196" s="181">
        <f>151+18</f>
        <v>169</v>
      </c>
    </row>
    <row r="2197" spans="1:11" x14ac:dyDescent="0.35">
      <c r="A2197" s="270">
        <f>A2195+1</f>
        <v>152</v>
      </c>
      <c r="B2197" s="270">
        <v>4052</v>
      </c>
      <c r="C2197" s="278" t="s">
        <v>122</v>
      </c>
      <c r="D2197" s="273">
        <v>3327.5</v>
      </c>
      <c r="E2197" s="267" t="s">
        <v>70</v>
      </c>
      <c r="F2197" s="267">
        <v>5</v>
      </c>
      <c r="G2197" s="270" t="s">
        <v>71</v>
      </c>
      <c r="H2197" s="136" t="s">
        <v>72</v>
      </c>
      <c r="I2197" s="181">
        <f>I2198</f>
        <v>554810.71</v>
      </c>
      <c r="J2197" s="181">
        <f>J2198</f>
        <v>166.73</v>
      </c>
      <c r="K2197" s="181">
        <f>K2198</f>
        <v>169</v>
      </c>
    </row>
    <row r="2198" spans="1:11" ht="46.5" x14ac:dyDescent="0.35">
      <c r="A2198" s="271"/>
      <c r="B2198" s="271"/>
      <c r="C2198" s="279"/>
      <c r="D2198" s="274"/>
      <c r="E2198" s="268"/>
      <c r="F2198" s="269"/>
      <c r="G2198" s="271"/>
      <c r="H2198" s="136" t="s">
        <v>673</v>
      </c>
      <c r="I2198" s="181">
        <f>494915.71+D2197*18</f>
        <v>554810.71</v>
      </c>
      <c r="J2198" s="181">
        <f>I2198/D2197</f>
        <v>166.73</v>
      </c>
      <c r="K2198" s="181">
        <f>151+18</f>
        <v>169</v>
      </c>
    </row>
    <row r="2199" spans="1:11" x14ac:dyDescent="0.35">
      <c r="A2199" s="277">
        <f>A2197+1</f>
        <v>153</v>
      </c>
      <c r="B2199" s="277">
        <v>4053</v>
      </c>
      <c r="C2199" s="286" t="s">
        <v>369</v>
      </c>
      <c r="D2199" s="295">
        <v>2642</v>
      </c>
      <c r="E2199" s="317" t="s">
        <v>70</v>
      </c>
      <c r="F2199" s="351">
        <v>5</v>
      </c>
      <c r="G2199" s="277" t="s">
        <v>71</v>
      </c>
      <c r="H2199" s="136" t="s">
        <v>72</v>
      </c>
      <c r="I2199" s="181">
        <f>I2200+I2201</f>
        <v>5611861.0300000003</v>
      </c>
      <c r="J2199" s="181">
        <f>J2200+J2201</f>
        <v>2124.1</v>
      </c>
      <c r="K2199" s="181">
        <f>K2200+K2201</f>
        <v>3449</v>
      </c>
    </row>
    <row r="2200" spans="1:11" ht="31" x14ac:dyDescent="0.35">
      <c r="A2200" s="277">
        <v>77</v>
      </c>
      <c r="B2200" s="277"/>
      <c r="C2200" s="286"/>
      <c r="D2200" s="295"/>
      <c r="E2200" s="317"/>
      <c r="F2200" s="352"/>
      <c r="G2200" s="277"/>
      <c r="H2200" s="136" t="s">
        <v>85</v>
      </c>
      <c r="I2200" s="181">
        <f>7779125.36*0.7</f>
        <v>5445387.75</v>
      </c>
      <c r="J2200" s="181">
        <f>I2200/D2199</f>
        <v>2061.09</v>
      </c>
      <c r="K2200" s="181">
        <v>3377</v>
      </c>
    </row>
    <row r="2201" spans="1:11" x14ac:dyDescent="0.35">
      <c r="A2201" s="277">
        <v>78</v>
      </c>
      <c r="B2201" s="277"/>
      <c r="C2201" s="286"/>
      <c r="D2201" s="295"/>
      <c r="E2201" s="317"/>
      <c r="F2201" s="353"/>
      <c r="G2201" s="277"/>
      <c r="H2201" s="136" t="s">
        <v>75</v>
      </c>
      <c r="I2201" s="181">
        <f>7779125.36*0.0214</f>
        <v>166473.28</v>
      </c>
      <c r="J2201" s="181">
        <f>I2201/D2199</f>
        <v>63.01</v>
      </c>
      <c r="K2201" s="181">
        <v>72</v>
      </c>
    </row>
    <row r="2202" spans="1:11" x14ac:dyDescent="0.35">
      <c r="A2202" s="270">
        <f>A2199+1</f>
        <v>154</v>
      </c>
      <c r="B2202" s="270">
        <v>3284</v>
      </c>
      <c r="C2202" s="278" t="s">
        <v>564</v>
      </c>
      <c r="D2202" s="273">
        <v>3631.8</v>
      </c>
      <c r="E2202" s="267" t="s">
        <v>70</v>
      </c>
      <c r="F2202" s="267">
        <v>5</v>
      </c>
      <c r="G2202" s="270" t="s">
        <v>71</v>
      </c>
      <c r="H2202" s="136" t="s">
        <v>72</v>
      </c>
      <c r="I2202" s="181">
        <f>I2203</f>
        <v>613774.18999999994</v>
      </c>
      <c r="J2202" s="181">
        <f>J2203</f>
        <v>169</v>
      </c>
      <c r="K2202" s="181">
        <f>K2203</f>
        <v>169</v>
      </c>
    </row>
    <row r="2203" spans="1:11" ht="46.5" x14ac:dyDescent="0.35">
      <c r="A2203" s="271"/>
      <c r="B2203" s="271"/>
      <c r="C2203" s="279"/>
      <c r="D2203" s="274"/>
      <c r="E2203" s="268"/>
      <c r="F2203" s="269"/>
      <c r="G2203" s="271"/>
      <c r="H2203" s="136" t="s">
        <v>673</v>
      </c>
      <c r="I2203" s="181">
        <f>548401.79+D2202*18</f>
        <v>613774.18999999994</v>
      </c>
      <c r="J2203" s="181">
        <f>I2203/D2202</f>
        <v>169</v>
      </c>
      <c r="K2203" s="181">
        <f>151+18</f>
        <v>169</v>
      </c>
    </row>
    <row r="2204" spans="1:11" x14ac:dyDescent="0.35">
      <c r="A2204" s="270">
        <f>A2202+1</f>
        <v>155</v>
      </c>
      <c r="B2204" s="270">
        <v>3286</v>
      </c>
      <c r="C2204" s="278" t="s">
        <v>565</v>
      </c>
      <c r="D2204" s="273">
        <v>3572.1</v>
      </c>
      <c r="E2204" s="267" t="s">
        <v>70</v>
      </c>
      <c r="F2204" s="267">
        <v>5</v>
      </c>
      <c r="G2204" s="270" t="s">
        <v>71</v>
      </c>
      <c r="H2204" s="136" t="s">
        <v>72</v>
      </c>
      <c r="I2204" s="181">
        <f>I2205</f>
        <v>603684.9</v>
      </c>
      <c r="J2204" s="181">
        <f>J2205</f>
        <v>169</v>
      </c>
      <c r="K2204" s="181">
        <f>K2205</f>
        <v>169</v>
      </c>
    </row>
    <row r="2205" spans="1:11" ht="46.5" x14ac:dyDescent="0.35">
      <c r="A2205" s="271"/>
      <c r="B2205" s="271"/>
      <c r="C2205" s="279"/>
      <c r="D2205" s="274"/>
      <c r="E2205" s="268"/>
      <c r="F2205" s="269"/>
      <c r="G2205" s="271"/>
      <c r="H2205" s="136" t="s">
        <v>673</v>
      </c>
      <c r="I2205" s="181">
        <f>539387.1+D2204*18</f>
        <v>603684.9</v>
      </c>
      <c r="J2205" s="181">
        <f>I2205/D2204</f>
        <v>169</v>
      </c>
      <c r="K2205" s="181">
        <f>151+18</f>
        <v>169</v>
      </c>
    </row>
    <row r="2206" spans="1:11" x14ac:dyDescent="0.35">
      <c r="A2206" s="277">
        <f>A2204+1</f>
        <v>156</v>
      </c>
      <c r="B2206" s="277">
        <v>3166</v>
      </c>
      <c r="C2206" s="286" t="s">
        <v>728</v>
      </c>
      <c r="D2206" s="287">
        <v>5017.7</v>
      </c>
      <c r="E2206" s="276" t="s">
        <v>74</v>
      </c>
      <c r="F2206" s="276">
        <v>9</v>
      </c>
      <c r="G2206" s="277" t="s">
        <v>71</v>
      </c>
      <c r="H2206" s="136" t="s">
        <v>72</v>
      </c>
      <c r="I2206" s="181">
        <f>I2207</f>
        <v>620284.30000000005</v>
      </c>
      <c r="J2206" s="181">
        <f>J2207</f>
        <v>123.62</v>
      </c>
      <c r="K2206" s="181">
        <f>K2207</f>
        <v>164</v>
      </c>
    </row>
    <row r="2207" spans="1:11" ht="46.5" x14ac:dyDescent="0.35">
      <c r="A2207" s="277"/>
      <c r="B2207" s="277"/>
      <c r="C2207" s="286"/>
      <c r="D2207" s="287"/>
      <c r="E2207" s="276"/>
      <c r="F2207" s="276"/>
      <c r="G2207" s="277"/>
      <c r="H2207" s="136" t="s">
        <v>673</v>
      </c>
      <c r="I2207" s="181">
        <f>555054.2+D2206*13</f>
        <v>620284.30000000005</v>
      </c>
      <c r="J2207" s="181">
        <f>I2207/D2206</f>
        <v>123.62</v>
      </c>
      <c r="K2207" s="181">
        <f>151+13</f>
        <v>164</v>
      </c>
    </row>
    <row r="2208" spans="1:11" x14ac:dyDescent="0.35">
      <c r="A2208" s="277">
        <f>A2206+1</f>
        <v>157</v>
      </c>
      <c r="B2208" s="277">
        <v>4240</v>
      </c>
      <c r="C2208" s="286" t="s">
        <v>729</v>
      </c>
      <c r="D2208" s="287">
        <v>16244.29</v>
      </c>
      <c r="E2208" s="276" t="s">
        <v>70</v>
      </c>
      <c r="F2208" s="276">
        <v>10</v>
      </c>
      <c r="G2208" s="277" t="s">
        <v>71</v>
      </c>
      <c r="H2208" s="136" t="s">
        <v>72</v>
      </c>
      <c r="I2208" s="181">
        <f>I2209</f>
        <v>1272211.92</v>
      </c>
      <c r="J2208" s="181">
        <f>J2209</f>
        <v>78.319999999999993</v>
      </c>
      <c r="K2208" s="181">
        <f>K2209</f>
        <v>164</v>
      </c>
    </row>
    <row r="2209" spans="1:11" ht="46.5" x14ac:dyDescent="0.35">
      <c r="A2209" s="277"/>
      <c r="B2209" s="277"/>
      <c r="C2209" s="286"/>
      <c r="D2209" s="287"/>
      <c r="E2209" s="276"/>
      <c r="F2209" s="276"/>
      <c r="G2209" s="277"/>
      <c r="H2209" s="136" t="s">
        <v>673</v>
      </c>
      <c r="I2209" s="181">
        <f>1061036.15+D2208*13</f>
        <v>1272211.92</v>
      </c>
      <c r="J2209" s="181">
        <f>I2209/D2208</f>
        <v>78.319999999999993</v>
      </c>
      <c r="K2209" s="181">
        <f>151+13</f>
        <v>164</v>
      </c>
    </row>
    <row r="2210" spans="1:11" x14ac:dyDescent="0.35">
      <c r="A2210" s="277">
        <f>A2208+1</f>
        <v>158</v>
      </c>
      <c r="B2210" s="277">
        <v>4329</v>
      </c>
      <c r="C2210" s="286" t="s">
        <v>373</v>
      </c>
      <c r="D2210" s="287">
        <v>6684.43</v>
      </c>
      <c r="E2210" s="276" t="s">
        <v>70</v>
      </c>
      <c r="F2210" s="276">
        <v>10</v>
      </c>
      <c r="G2210" s="277" t="s">
        <v>71</v>
      </c>
      <c r="H2210" s="136" t="s">
        <v>72</v>
      </c>
      <c r="I2210" s="181">
        <f>I2211</f>
        <v>663362.56999999995</v>
      </c>
      <c r="J2210" s="181">
        <f>J2211</f>
        <v>99.24</v>
      </c>
      <c r="K2210" s="181">
        <f>K2211</f>
        <v>164</v>
      </c>
    </row>
    <row r="2211" spans="1:11" ht="46.5" x14ac:dyDescent="0.35">
      <c r="A2211" s="277"/>
      <c r="B2211" s="277"/>
      <c r="C2211" s="286"/>
      <c r="D2211" s="287"/>
      <c r="E2211" s="276"/>
      <c r="F2211" s="276"/>
      <c r="G2211" s="277"/>
      <c r="H2211" s="136" t="s">
        <v>673</v>
      </c>
      <c r="I2211" s="181">
        <f>576464.98+D2210*13</f>
        <v>663362.56999999995</v>
      </c>
      <c r="J2211" s="181">
        <f>I2211/D2210</f>
        <v>99.24</v>
      </c>
      <c r="K2211" s="181">
        <f>151+13</f>
        <v>164</v>
      </c>
    </row>
    <row r="2212" spans="1:11" x14ac:dyDescent="0.35">
      <c r="A2212" s="277">
        <f>A2210+1</f>
        <v>159</v>
      </c>
      <c r="B2212" s="277">
        <v>4331</v>
      </c>
      <c r="C2212" s="286" t="s">
        <v>730</v>
      </c>
      <c r="D2212" s="287">
        <v>8909.4</v>
      </c>
      <c r="E2212" s="276" t="s">
        <v>70</v>
      </c>
      <c r="F2212" s="267">
        <v>10</v>
      </c>
      <c r="G2212" s="146"/>
      <c r="H2212" s="136" t="s">
        <v>72</v>
      </c>
      <c r="I2212" s="181">
        <f>I2213+I2214+I2215+I2216</f>
        <v>129124</v>
      </c>
      <c r="J2212" s="181">
        <f>J2213+J2214+J2215+J2216</f>
        <v>14.49</v>
      </c>
      <c r="K2212" s="181">
        <f>K2213+K2214+K2215+K2216</f>
        <v>14.49</v>
      </c>
    </row>
    <row r="2213" spans="1:11" ht="46.5" x14ac:dyDescent="0.35">
      <c r="A2213" s="277"/>
      <c r="B2213" s="277"/>
      <c r="C2213" s="286"/>
      <c r="D2213" s="287"/>
      <c r="E2213" s="276"/>
      <c r="F2213" s="268"/>
      <c r="G2213" s="141" t="s">
        <v>641</v>
      </c>
      <c r="H2213" s="136" t="s">
        <v>634</v>
      </c>
      <c r="I2213" s="181">
        <v>32281</v>
      </c>
      <c r="J2213" s="181">
        <f>I2213/D2212</f>
        <v>3.62</v>
      </c>
      <c r="K2213" s="181">
        <f>32281/D2212</f>
        <v>3.62</v>
      </c>
    </row>
    <row r="2214" spans="1:11" ht="46.5" x14ac:dyDescent="0.35">
      <c r="A2214" s="277"/>
      <c r="B2214" s="277"/>
      <c r="C2214" s="286"/>
      <c r="D2214" s="287"/>
      <c r="E2214" s="276"/>
      <c r="F2214" s="268"/>
      <c r="G2214" s="141" t="s">
        <v>647</v>
      </c>
      <c r="H2214" s="136" t="s">
        <v>634</v>
      </c>
      <c r="I2214" s="181">
        <v>32281</v>
      </c>
      <c r="J2214" s="181">
        <f>I2214/D2212</f>
        <v>3.62</v>
      </c>
      <c r="K2214" s="181">
        <f>32281/D2212</f>
        <v>3.62</v>
      </c>
    </row>
    <row r="2215" spans="1:11" ht="46.5" x14ac:dyDescent="0.35">
      <c r="A2215" s="277"/>
      <c r="B2215" s="277"/>
      <c r="C2215" s="286"/>
      <c r="D2215" s="287"/>
      <c r="E2215" s="276"/>
      <c r="F2215" s="268"/>
      <c r="G2215" s="141" t="s">
        <v>648</v>
      </c>
      <c r="H2215" s="136" t="s">
        <v>634</v>
      </c>
      <c r="I2215" s="181">
        <v>32281</v>
      </c>
      <c r="J2215" s="181">
        <f>I2215/D2212</f>
        <v>3.62</v>
      </c>
      <c r="K2215" s="181">
        <f>32281/D2212</f>
        <v>3.62</v>
      </c>
    </row>
    <row r="2216" spans="1:11" ht="46.5" x14ac:dyDescent="0.35">
      <c r="A2216" s="277"/>
      <c r="B2216" s="277"/>
      <c r="C2216" s="286"/>
      <c r="D2216" s="287"/>
      <c r="E2216" s="276"/>
      <c r="F2216" s="268"/>
      <c r="G2216" s="141" t="s">
        <v>649</v>
      </c>
      <c r="H2216" s="136" t="s">
        <v>634</v>
      </c>
      <c r="I2216" s="181">
        <v>32281</v>
      </c>
      <c r="J2216" s="181">
        <f>I2216/D2212+0.01</f>
        <v>3.63</v>
      </c>
      <c r="K2216" s="181">
        <f>32281/D2212+0.01</f>
        <v>3.63</v>
      </c>
    </row>
    <row r="2217" spans="1:11" x14ac:dyDescent="0.35">
      <c r="A2217" s="270">
        <f>A2212+1</f>
        <v>160</v>
      </c>
      <c r="B2217" s="270">
        <v>4334</v>
      </c>
      <c r="C2217" s="278" t="s">
        <v>731</v>
      </c>
      <c r="D2217" s="273">
        <v>8925.1</v>
      </c>
      <c r="E2217" s="267" t="s">
        <v>70</v>
      </c>
      <c r="F2217" s="267">
        <v>10</v>
      </c>
      <c r="G2217" s="277" t="s">
        <v>71</v>
      </c>
      <c r="H2217" s="136" t="s">
        <v>72</v>
      </c>
      <c r="I2217" s="181">
        <f>I2218</f>
        <v>763989.88</v>
      </c>
      <c r="J2217" s="181">
        <f>J2218</f>
        <v>85.6</v>
      </c>
      <c r="K2217" s="181">
        <f>K2218</f>
        <v>164</v>
      </c>
    </row>
    <row r="2218" spans="1:11" ht="46.5" x14ac:dyDescent="0.35">
      <c r="A2218" s="271"/>
      <c r="B2218" s="271"/>
      <c r="C2218" s="279"/>
      <c r="D2218" s="274"/>
      <c r="E2218" s="268"/>
      <c r="F2218" s="268"/>
      <c r="G2218" s="277"/>
      <c r="H2218" s="136" t="s">
        <v>673</v>
      </c>
      <c r="I2218" s="181">
        <f>647963.58+D2217*13</f>
        <v>763989.88</v>
      </c>
      <c r="J2218" s="181">
        <f>I2218/D2217</f>
        <v>85.6</v>
      </c>
      <c r="K2218" s="181">
        <f>151+13</f>
        <v>164</v>
      </c>
    </row>
    <row r="2219" spans="1:11" x14ac:dyDescent="0.35">
      <c r="A2219" s="270">
        <f>A2217+1</f>
        <v>161</v>
      </c>
      <c r="B2219" s="270">
        <v>4335</v>
      </c>
      <c r="C2219" s="278" t="s">
        <v>123</v>
      </c>
      <c r="D2219" s="273">
        <v>2109.1999999999998</v>
      </c>
      <c r="E2219" s="267" t="s">
        <v>74</v>
      </c>
      <c r="F2219" s="267">
        <v>5</v>
      </c>
      <c r="G2219" s="270" t="s">
        <v>84</v>
      </c>
      <c r="H2219" s="136" t="s">
        <v>72</v>
      </c>
      <c r="I2219" s="181">
        <f>I2220</f>
        <v>158190</v>
      </c>
      <c r="J2219" s="181">
        <f>J2220</f>
        <v>75</v>
      </c>
      <c r="K2219" s="181">
        <f>K2220</f>
        <v>75</v>
      </c>
    </row>
    <row r="2220" spans="1:11" ht="46.5" x14ac:dyDescent="0.35">
      <c r="A2220" s="271"/>
      <c r="B2220" s="271"/>
      <c r="C2220" s="279"/>
      <c r="D2220" s="274"/>
      <c r="E2220" s="268"/>
      <c r="F2220" s="269"/>
      <c r="G2220" s="271"/>
      <c r="H2220" s="136" t="s">
        <v>673</v>
      </c>
      <c r="I2220" s="181">
        <f>D2219*K2220</f>
        <v>158190</v>
      </c>
      <c r="J2220" s="181">
        <f>I2220/D2219</f>
        <v>75</v>
      </c>
      <c r="K2220" s="181">
        <f>63+12</f>
        <v>75</v>
      </c>
    </row>
    <row r="2221" spans="1:11" x14ac:dyDescent="0.35">
      <c r="A2221" s="270">
        <f>A2219+1</f>
        <v>162</v>
      </c>
      <c r="B2221" s="270">
        <v>3431</v>
      </c>
      <c r="C2221" s="270" t="s">
        <v>732</v>
      </c>
      <c r="D2221" s="273">
        <v>5083.3999999999996</v>
      </c>
      <c r="E2221" s="273" t="s">
        <v>74</v>
      </c>
      <c r="F2221" s="267">
        <v>14</v>
      </c>
      <c r="G2221" s="146"/>
      <c r="H2221" s="182" t="s">
        <v>72</v>
      </c>
      <c r="I2221" s="181">
        <f>I2222+I2223+I2224+I2225+I2226+I2227</f>
        <v>5416817</v>
      </c>
      <c r="J2221" s="181">
        <f t="shared" ref="J2221:K2221" si="3">J2222+J2223+J2224+J2225+J2226+J2227</f>
        <v>1065.5899999999999</v>
      </c>
      <c r="K2221" s="181">
        <f t="shared" si="3"/>
        <v>1065.5899999999999</v>
      </c>
    </row>
    <row r="2222" spans="1:11" ht="61" customHeight="1" x14ac:dyDescent="0.35">
      <c r="A2222" s="271"/>
      <c r="B2222" s="271"/>
      <c r="C2222" s="271"/>
      <c r="D2222" s="274"/>
      <c r="E2222" s="274"/>
      <c r="F2222" s="268"/>
      <c r="G2222" s="270" t="s">
        <v>641</v>
      </c>
      <c r="H2222" s="182" t="s">
        <v>634</v>
      </c>
      <c r="I2222" s="181">
        <v>32281</v>
      </c>
      <c r="J2222" s="181">
        <f>I2222/D2221</f>
        <v>6.35</v>
      </c>
      <c r="K2222" s="181">
        <f>32281/D2221</f>
        <v>6.35</v>
      </c>
    </row>
    <row r="2223" spans="1:11" x14ac:dyDescent="0.35">
      <c r="A2223" s="271"/>
      <c r="B2223" s="271"/>
      <c r="C2223" s="271"/>
      <c r="D2223" s="274"/>
      <c r="E2223" s="274"/>
      <c r="F2223" s="268"/>
      <c r="G2223" s="271"/>
      <c r="H2223" s="182" t="s">
        <v>642</v>
      </c>
      <c r="I2223" s="181">
        <v>2329716</v>
      </c>
      <c r="J2223" s="181">
        <f>I2223/D2221</f>
        <v>458.3</v>
      </c>
      <c r="K2223" s="181">
        <f>2329716/D2221</f>
        <v>458.3</v>
      </c>
    </row>
    <row r="2224" spans="1:11" x14ac:dyDescent="0.35">
      <c r="A2224" s="271"/>
      <c r="B2224" s="271"/>
      <c r="C2224" s="271"/>
      <c r="D2224" s="274"/>
      <c r="E2224" s="274"/>
      <c r="F2224" s="268"/>
      <c r="G2224" s="272"/>
      <c r="H2224" s="182" t="s">
        <v>75</v>
      </c>
      <c r="I2224" s="181">
        <v>49856</v>
      </c>
      <c r="J2224" s="181">
        <f>I2224/D2221</f>
        <v>9.81</v>
      </c>
      <c r="K2224" s="181">
        <f>49856/D2221</f>
        <v>9.81</v>
      </c>
    </row>
    <row r="2225" spans="1:11" ht="59.5" customHeight="1" x14ac:dyDescent="0.35">
      <c r="A2225" s="271"/>
      <c r="B2225" s="271"/>
      <c r="C2225" s="271"/>
      <c r="D2225" s="274"/>
      <c r="E2225" s="274"/>
      <c r="F2225" s="268"/>
      <c r="G2225" s="270" t="s">
        <v>641</v>
      </c>
      <c r="H2225" s="182" t="s">
        <v>634</v>
      </c>
      <c r="I2225" s="181">
        <v>32281</v>
      </c>
      <c r="J2225" s="181">
        <f>I2225/D2221</f>
        <v>6.35</v>
      </c>
      <c r="K2225" s="181">
        <f>32281/D2221</f>
        <v>6.35</v>
      </c>
    </row>
    <row r="2226" spans="1:11" x14ac:dyDescent="0.35">
      <c r="A2226" s="271"/>
      <c r="B2226" s="271"/>
      <c r="C2226" s="271"/>
      <c r="D2226" s="274"/>
      <c r="E2226" s="274"/>
      <c r="F2226" s="268"/>
      <c r="G2226" s="271"/>
      <c r="H2226" s="182" t="s">
        <v>642</v>
      </c>
      <c r="I2226" s="181">
        <v>2910400</v>
      </c>
      <c r="J2226" s="181">
        <f>I2226/D2221</f>
        <v>572.53</v>
      </c>
      <c r="K2226" s="181">
        <f>2910400/D2221</f>
        <v>572.53</v>
      </c>
    </row>
    <row r="2227" spans="1:11" x14ac:dyDescent="0.35">
      <c r="A2227" s="272"/>
      <c r="B2227" s="272"/>
      <c r="C2227" s="272"/>
      <c r="D2227" s="275"/>
      <c r="E2227" s="275"/>
      <c r="F2227" s="269"/>
      <c r="G2227" s="272"/>
      <c r="H2227" s="182" t="s">
        <v>75</v>
      </c>
      <c r="I2227" s="181">
        <v>62283</v>
      </c>
      <c r="J2227" s="181">
        <f>I2227/D2221</f>
        <v>12.25</v>
      </c>
      <c r="K2227" s="181">
        <f>62283/D2221</f>
        <v>12.25</v>
      </c>
    </row>
    <row r="2228" spans="1:11" x14ac:dyDescent="0.35">
      <c r="A2228" s="277">
        <f>A2221+1</f>
        <v>163</v>
      </c>
      <c r="B2228" s="277">
        <v>3116</v>
      </c>
      <c r="C2228" s="286" t="s">
        <v>733</v>
      </c>
      <c r="D2228" s="287">
        <v>2341</v>
      </c>
      <c r="E2228" s="276" t="s">
        <v>74</v>
      </c>
      <c r="F2228" s="276">
        <v>5</v>
      </c>
      <c r="G2228" s="277" t="s">
        <v>71</v>
      </c>
      <c r="H2228" s="136" t="s">
        <v>72</v>
      </c>
      <c r="I2228" s="181">
        <f>I2229</f>
        <v>242345.09</v>
      </c>
      <c r="J2228" s="181">
        <f>J2229</f>
        <v>103.52</v>
      </c>
      <c r="K2228" s="181">
        <f>K2229</f>
        <v>169</v>
      </c>
    </row>
    <row r="2229" spans="1:11" ht="46.5" x14ac:dyDescent="0.35">
      <c r="A2229" s="277"/>
      <c r="B2229" s="277"/>
      <c r="C2229" s="286"/>
      <c r="D2229" s="287"/>
      <c r="E2229" s="276"/>
      <c r="F2229" s="276"/>
      <c r="G2229" s="277"/>
      <c r="H2229" s="136" t="s">
        <v>673</v>
      </c>
      <c r="I2229" s="181">
        <f>200207.09+D2228*18</f>
        <v>242345.09</v>
      </c>
      <c r="J2229" s="181">
        <f>I2229/D2228</f>
        <v>103.52</v>
      </c>
      <c r="K2229" s="181">
        <f>151+18</f>
        <v>169</v>
      </c>
    </row>
    <row r="2230" spans="1:11" x14ac:dyDescent="0.35">
      <c r="A2230" s="270">
        <f>A2228+1</f>
        <v>164</v>
      </c>
      <c r="B2230" s="270">
        <v>3291</v>
      </c>
      <c r="C2230" s="278" t="s">
        <v>566</v>
      </c>
      <c r="D2230" s="273">
        <v>2878.8</v>
      </c>
      <c r="E2230" s="267" t="s">
        <v>70</v>
      </c>
      <c r="F2230" s="267">
        <v>5</v>
      </c>
      <c r="G2230" s="270" t="s">
        <v>71</v>
      </c>
      <c r="H2230" s="136" t="s">
        <v>72</v>
      </c>
      <c r="I2230" s="181">
        <f>I2231</f>
        <v>486517.2</v>
      </c>
      <c r="J2230" s="181">
        <f>J2231</f>
        <v>169</v>
      </c>
      <c r="K2230" s="181">
        <f>K2231</f>
        <v>169</v>
      </c>
    </row>
    <row r="2231" spans="1:11" ht="46.5" x14ac:dyDescent="0.35">
      <c r="A2231" s="271"/>
      <c r="B2231" s="271"/>
      <c r="C2231" s="279"/>
      <c r="D2231" s="274"/>
      <c r="E2231" s="268"/>
      <c r="F2231" s="269"/>
      <c r="G2231" s="271"/>
      <c r="H2231" s="136" t="s">
        <v>673</v>
      </c>
      <c r="I2231" s="181">
        <f>434698.8+D2230*18</f>
        <v>486517.2</v>
      </c>
      <c r="J2231" s="181">
        <f>I2231/D2230</f>
        <v>169</v>
      </c>
      <c r="K2231" s="181">
        <f>151+18</f>
        <v>169</v>
      </c>
    </row>
    <row r="2232" spans="1:11" x14ac:dyDescent="0.35">
      <c r="A2232" s="270">
        <f>A2230+1</f>
        <v>165</v>
      </c>
      <c r="B2232" s="270">
        <v>3295</v>
      </c>
      <c r="C2232" s="278" t="s">
        <v>567</v>
      </c>
      <c r="D2232" s="273">
        <v>3558.7</v>
      </c>
      <c r="E2232" s="267" t="s">
        <v>70</v>
      </c>
      <c r="F2232" s="267">
        <v>5</v>
      </c>
      <c r="G2232" s="270" t="s">
        <v>71</v>
      </c>
      <c r="H2232" s="136" t="s">
        <v>72</v>
      </c>
      <c r="I2232" s="181">
        <f>I2233</f>
        <v>598733.47</v>
      </c>
      <c r="J2232" s="181">
        <f>J2233</f>
        <v>168.24</v>
      </c>
      <c r="K2232" s="181">
        <f>K2233</f>
        <v>169</v>
      </c>
    </row>
    <row r="2233" spans="1:11" ht="46.5" x14ac:dyDescent="0.35">
      <c r="A2233" s="271"/>
      <c r="B2233" s="271"/>
      <c r="C2233" s="279"/>
      <c r="D2233" s="274"/>
      <c r="E2233" s="268"/>
      <c r="F2233" s="269"/>
      <c r="G2233" s="271"/>
      <c r="H2233" s="136" t="s">
        <v>673</v>
      </c>
      <c r="I2233" s="181">
        <f>534676.87+D2232*18</f>
        <v>598733.47</v>
      </c>
      <c r="J2233" s="181">
        <f>I2233/D2232</f>
        <v>168.24</v>
      </c>
      <c r="K2233" s="181">
        <f>151+18</f>
        <v>169</v>
      </c>
    </row>
    <row r="2234" spans="1:11" x14ac:dyDescent="0.35">
      <c r="A2234" s="270">
        <f>A2232+1</f>
        <v>166</v>
      </c>
      <c r="B2234" s="270">
        <v>3298</v>
      </c>
      <c r="C2234" s="278" t="s">
        <v>568</v>
      </c>
      <c r="D2234" s="273">
        <v>2717.8</v>
      </c>
      <c r="E2234" s="267" t="s">
        <v>70</v>
      </c>
      <c r="F2234" s="267">
        <v>5</v>
      </c>
      <c r="G2234" s="270" t="s">
        <v>71</v>
      </c>
      <c r="H2234" s="136" t="s">
        <v>72</v>
      </c>
      <c r="I2234" s="181">
        <f>I2235</f>
        <v>428307.8</v>
      </c>
      <c r="J2234" s="181">
        <f>J2235</f>
        <v>157.59</v>
      </c>
      <c r="K2234" s="181">
        <f>K2235</f>
        <v>169</v>
      </c>
    </row>
    <row r="2235" spans="1:11" ht="46.5" x14ac:dyDescent="0.35">
      <c r="A2235" s="271"/>
      <c r="B2235" s="271"/>
      <c r="C2235" s="279"/>
      <c r="D2235" s="274"/>
      <c r="E2235" s="268"/>
      <c r="F2235" s="269"/>
      <c r="G2235" s="271"/>
      <c r="H2235" s="136" t="s">
        <v>673</v>
      </c>
      <c r="I2235" s="181">
        <f>410387.8+17920</f>
        <v>428307.8</v>
      </c>
      <c r="J2235" s="181">
        <f>I2235/D2234</f>
        <v>157.59</v>
      </c>
      <c r="K2235" s="181">
        <f>151+18</f>
        <v>169</v>
      </c>
    </row>
    <row r="2236" spans="1:11" x14ac:dyDescent="0.35">
      <c r="A2236" s="277">
        <f>A2234+1</f>
        <v>167</v>
      </c>
      <c r="B2236" s="277">
        <v>3299</v>
      </c>
      <c r="C2236" s="286" t="s">
        <v>124</v>
      </c>
      <c r="D2236" s="287">
        <v>3495.95</v>
      </c>
      <c r="E2236" s="276" t="s">
        <v>70</v>
      </c>
      <c r="F2236" s="267">
        <v>5</v>
      </c>
      <c r="G2236" s="277" t="s">
        <v>71</v>
      </c>
      <c r="H2236" s="136" t="s">
        <v>72</v>
      </c>
      <c r="I2236" s="181">
        <f>I2237</f>
        <v>588176.1</v>
      </c>
      <c r="J2236" s="181">
        <f>J2237</f>
        <v>168.24</v>
      </c>
      <c r="K2236" s="181">
        <f>K2237</f>
        <v>169</v>
      </c>
    </row>
    <row r="2237" spans="1:11" ht="46.5" x14ac:dyDescent="0.35">
      <c r="A2237" s="277"/>
      <c r="B2237" s="277"/>
      <c r="C2237" s="286"/>
      <c r="D2237" s="287"/>
      <c r="E2237" s="276"/>
      <c r="F2237" s="269"/>
      <c r="G2237" s="277"/>
      <c r="H2237" s="136" t="s">
        <v>673</v>
      </c>
      <c r="I2237" s="181">
        <f>525249+D2236*18</f>
        <v>588176.1</v>
      </c>
      <c r="J2237" s="181">
        <f>I2237/D2236</f>
        <v>168.24</v>
      </c>
      <c r="K2237" s="181">
        <f>151+18</f>
        <v>169</v>
      </c>
    </row>
    <row r="2238" spans="1:11" x14ac:dyDescent="0.35">
      <c r="A2238" s="277">
        <f>A2236+1</f>
        <v>168</v>
      </c>
      <c r="B2238" s="277">
        <v>3301</v>
      </c>
      <c r="C2238" s="286" t="s">
        <v>569</v>
      </c>
      <c r="D2238" s="287">
        <v>8954.2000000000007</v>
      </c>
      <c r="E2238" s="276" t="s">
        <v>70</v>
      </c>
      <c r="F2238" s="267">
        <v>10</v>
      </c>
      <c r="G2238" s="146"/>
      <c r="H2238" s="136" t="s">
        <v>72</v>
      </c>
      <c r="I2238" s="181">
        <f>I2239+I2240+I2241+I2242+I2243+I2244+I2245+I2246+I2247+I2248+I2249+I2250</f>
        <v>6981568</v>
      </c>
      <c r="J2238" s="181">
        <f>J2239+J2240+J2241+J2242+J2243+J2244+J2245+J2246+J2247+J2248+J2249+J2250</f>
        <v>779.7</v>
      </c>
      <c r="K2238" s="181">
        <f>K2239+K2240+K2241+K2242+K2243+K2244+K2245+K2246+K2247+K2248+K2249+K2250</f>
        <v>794.12</v>
      </c>
    </row>
    <row r="2239" spans="1:11" ht="46.5" x14ac:dyDescent="0.35">
      <c r="A2239" s="277"/>
      <c r="B2239" s="277"/>
      <c r="C2239" s="286"/>
      <c r="D2239" s="287"/>
      <c r="E2239" s="276"/>
      <c r="F2239" s="268"/>
      <c r="G2239" s="270" t="s">
        <v>641</v>
      </c>
      <c r="H2239" s="136" t="s">
        <v>634</v>
      </c>
      <c r="I2239" s="181">
        <v>0</v>
      </c>
      <c r="J2239" s="181">
        <f>I2239/D2238</f>
        <v>0</v>
      </c>
      <c r="K2239" s="181">
        <f>32281/D2238</f>
        <v>3.61</v>
      </c>
    </row>
    <row r="2240" spans="1:11" x14ac:dyDescent="0.35">
      <c r="A2240" s="277">
        <v>756</v>
      </c>
      <c r="B2240" s="277"/>
      <c r="C2240" s="286"/>
      <c r="D2240" s="287"/>
      <c r="E2240" s="276"/>
      <c r="F2240" s="268"/>
      <c r="G2240" s="271"/>
      <c r="H2240" s="136" t="s">
        <v>642</v>
      </c>
      <c r="I2240" s="181">
        <v>1708823</v>
      </c>
      <c r="J2240" s="181">
        <f>I2240/D2238</f>
        <v>190.84</v>
      </c>
      <c r="K2240" s="181">
        <f>1708823/D2238</f>
        <v>190.84</v>
      </c>
    </row>
    <row r="2241" spans="1:11" x14ac:dyDescent="0.35">
      <c r="A2241" s="277">
        <v>757</v>
      </c>
      <c r="B2241" s="277"/>
      <c r="C2241" s="286"/>
      <c r="D2241" s="287"/>
      <c r="E2241" s="276"/>
      <c r="F2241" s="268"/>
      <c r="G2241" s="272"/>
      <c r="H2241" s="136" t="s">
        <v>75</v>
      </c>
      <c r="I2241" s="181">
        <v>36569</v>
      </c>
      <c r="J2241" s="181">
        <f>I2241/D2238</f>
        <v>4.08</v>
      </c>
      <c r="K2241" s="181">
        <f>36569/D2238</f>
        <v>4.08</v>
      </c>
    </row>
    <row r="2242" spans="1:11" ht="46.5" x14ac:dyDescent="0.35">
      <c r="A2242" s="277"/>
      <c r="B2242" s="277"/>
      <c r="C2242" s="286"/>
      <c r="D2242" s="287"/>
      <c r="E2242" s="276"/>
      <c r="F2242" s="268"/>
      <c r="G2242" s="270" t="s">
        <v>647</v>
      </c>
      <c r="H2242" s="136" t="s">
        <v>634</v>
      </c>
      <c r="I2242" s="181">
        <v>0</v>
      </c>
      <c r="J2242" s="181">
        <f>I2242/D2238</f>
        <v>0</v>
      </c>
      <c r="K2242" s="181">
        <f>32281/D2238</f>
        <v>3.61</v>
      </c>
    </row>
    <row r="2243" spans="1:11" x14ac:dyDescent="0.35">
      <c r="A2243" s="277"/>
      <c r="B2243" s="277"/>
      <c r="C2243" s="286"/>
      <c r="D2243" s="287"/>
      <c r="E2243" s="276"/>
      <c r="F2243" s="268"/>
      <c r="G2243" s="271"/>
      <c r="H2243" s="136" t="s">
        <v>642</v>
      </c>
      <c r="I2243" s="181">
        <v>1708823</v>
      </c>
      <c r="J2243" s="181">
        <f>I2243/D2238+0.01</f>
        <v>190.85</v>
      </c>
      <c r="K2243" s="181">
        <f>1708823/D2238</f>
        <v>190.84</v>
      </c>
    </row>
    <row r="2244" spans="1:11" x14ac:dyDescent="0.35">
      <c r="A2244" s="277"/>
      <c r="B2244" s="277"/>
      <c r="C2244" s="286"/>
      <c r="D2244" s="287"/>
      <c r="E2244" s="276"/>
      <c r="F2244" s="268"/>
      <c r="G2244" s="272"/>
      <c r="H2244" s="136" t="s">
        <v>75</v>
      </c>
      <c r="I2244" s="181">
        <v>36569</v>
      </c>
      <c r="J2244" s="181">
        <f>I2244/D2238</f>
        <v>4.08</v>
      </c>
      <c r="K2244" s="181">
        <f>36569/D2238</f>
        <v>4.08</v>
      </c>
    </row>
    <row r="2245" spans="1:11" ht="46.5" x14ac:dyDescent="0.35">
      <c r="A2245" s="277"/>
      <c r="B2245" s="277"/>
      <c r="C2245" s="286"/>
      <c r="D2245" s="287"/>
      <c r="E2245" s="276"/>
      <c r="F2245" s="268"/>
      <c r="G2245" s="270" t="s">
        <v>648</v>
      </c>
      <c r="H2245" s="136" t="s">
        <v>634</v>
      </c>
      <c r="I2245" s="181">
        <v>0</v>
      </c>
      <c r="J2245" s="181">
        <f>I2245/D2238</f>
        <v>0</v>
      </c>
      <c r="K2245" s="181">
        <f>32281/D2238</f>
        <v>3.61</v>
      </c>
    </row>
    <row r="2246" spans="1:11" x14ac:dyDescent="0.35">
      <c r="A2246" s="277"/>
      <c r="B2246" s="277"/>
      <c r="C2246" s="286"/>
      <c r="D2246" s="287"/>
      <c r="E2246" s="276"/>
      <c r="F2246" s="268"/>
      <c r="G2246" s="271"/>
      <c r="H2246" s="136" t="s">
        <v>642</v>
      </c>
      <c r="I2246" s="181">
        <v>1708823</v>
      </c>
      <c r="J2246" s="181">
        <f>I2246/D2238</f>
        <v>190.84</v>
      </c>
      <c r="K2246" s="181">
        <f>1708823/D2238</f>
        <v>190.84</v>
      </c>
    </row>
    <row r="2247" spans="1:11" x14ac:dyDescent="0.35">
      <c r="A2247" s="277"/>
      <c r="B2247" s="277"/>
      <c r="C2247" s="286"/>
      <c r="D2247" s="287"/>
      <c r="E2247" s="276"/>
      <c r="F2247" s="268"/>
      <c r="G2247" s="272"/>
      <c r="H2247" s="136" t="s">
        <v>75</v>
      </c>
      <c r="I2247" s="181">
        <v>36569</v>
      </c>
      <c r="J2247" s="181">
        <f>I2247/D2238</f>
        <v>4.08</v>
      </c>
      <c r="K2247" s="181">
        <f>36569/D2238</f>
        <v>4.08</v>
      </c>
    </row>
    <row r="2248" spans="1:11" ht="46.5" x14ac:dyDescent="0.35">
      <c r="A2248" s="277"/>
      <c r="B2248" s="277"/>
      <c r="C2248" s="286"/>
      <c r="D2248" s="287"/>
      <c r="E2248" s="276"/>
      <c r="F2248" s="268"/>
      <c r="G2248" s="270" t="s">
        <v>649</v>
      </c>
      <c r="H2248" s="136" t="s">
        <v>634</v>
      </c>
      <c r="I2248" s="181">
        <v>0</v>
      </c>
      <c r="J2248" s="181">
        <f>I2248/D2238</f>
        <v>0</v>
      </c>
      <c r="K2248" s="181">
        <f>32281/D2238</f>
        <v>3.61</v>
      </c>
    </row>
    <row r="2249" spans="1:11" x14ac:dyDescent="0.35">
      <c r="A2249" s="277"/>
      <c r="B2249" s="277"/>
      <c r="C2249" s="286"/>
      <c r="D2249" s="287"/>
      <c r="E2249" s="276"/>
      <c r="F2249" s="268"/>
      <c r="G2249" s="271"/>
      <c r="H2249" s="136" t="s">
        <v>642</v>
      </c>
      <c r="I2249" s="181">
        <v>1708823</v>
      </c>
      <c r="J2249" s="181">
        <f>I2249/D2238+0.01</f>
        <v>190.85</v>
      </c>
      <c r="K2249" s="181">
        <f>1708823/D2238</f>
        <v>190.84</v>
      </c>
    </row>
    <row r="2250" spans="1:11" x14ac:dyDescent="0.35">
      <c r="A2250" s="277"/>
      <c r="B2250" s="277"/>
      <c r="C2250" s="286"/>
      <c r="D2250" s="287"/>
      <c r="E2250" s="276"/>
      <c r="F2250" s="269"/>
      <c r="G2250" s="272"/>
      <c r="H2250" s="136" t="s">
        <v>75</v>
      </c>
      <c r="I2250" s="181">
        <v>36569</v>
      </c>
      <c r="J2250" s="181">
        <f>I2250/D2238</f>
        <v>4.08</v>
      </c>
      <c r="K2250" s="181">
        <f>36569/D2238</f>
        <v>4.08</v>
      </c>
    </row>
    <row r="2251" spans="1:11" x14ac:dyDescent="0.35">
      <c r="A2251" s="277">
        <f>A2238+1</f>
        <v>169</v>
      </c>
      <c r="B2251" s="277">
        <v>3105</v>
      </c>
      <c r="C2251" s="286" t="s">
        <v>734</v>
      </c>
      <c r="D2251" s="287">
        <v>11658.1</v>
      </c>
      <c r="E2251" s="276" t="s">
        <v>70</v>
      </c>
      <c r="F2251" s="276">
        <v>10</v>
      </c>
      <c r="G2251" s="277" t="s">
        <v>71</v>
      </c>
      <c r="H2251" s="136" t="s">
        <v>72</v>
      </c>
      <c r="I2251" s="181">
        <f>I2252</f>
        <v>985264.76</v>
      </c>
      <c r="J2251" s="181">
        <f>J2252</f>
        <v>84.51</v>
      </c>
      <c r="K2251" s="181">
        <f>K2252</f>
        <v>164</v>
      </c>
    </row>
    <row r="2252" spans="1:11" ht="46.5" x14ac:dyDescent="0.35">
      <c r="A2252" s="277"/>
      <c r="B2252" s="277"/>
      <c r="C2252" s="286"/>
      <c r="D2252" s="287"/>
      <c r="E2252" s="276"/>
      <c r="F2252" s="276"/>
      <c r="G2252" s="277"/>
      <c r="H2252" s="136" t="s">
        <v>673</v>
      </c>
      <c r="I2252" s="181">
        <f>833709.46+13*D2251</f>
        <v>985264.76</v>
      </c>
      <c r="J2252" s="181">
        <f>I2252/D2251</f>
        <v>84.51</v>
      </c>
      <c r="K2252" s="181">
        <f>151+13</f>
        <v>164</v>
      </c>
    </row>
    <row r="2253" spans="1:11" x14ac:dyDescent="0.35">
      <c r="A2253" s="277">
        <f>A2251+1</f>
        <v>170</v>
      </c>
      <c r="B2253" s="277">
        <v>4380</v>
      </c>
      <c r="C2253" s="286" t="s">
        <v>570</v>
      </c>
      <c r="D2253" s="287">
        <v>9586.5</v>
      </c>
      <c r="E2253" s="276" t="s">
        <v>70</v>
      </c>
      <c r="F2253" s="267">
        <v>9</v>
      </c>
      <c r="G2253" s="146"/>
      <c r="H2253" s="136" t="s">
        <v>72</v>
      </c>
      <c r="I2253" s="181">
        <f>I2254+I2255+I2256+I2257+I2258+I2259+I2260+I2261+I2262+I2263+I2264+I2265+I2266+I2267+I2268</f>
        <v>8726960</v>
      </c>
      <c r="J2253" s="181">
        <f>J2254+J2255+J2256+J2257+J2258+J2259+J2260+J2261+J2262+J2263+J2264+J2265+J2266+J2267+J2268</f>
        <v>910.34</v>
      </c>
      <c r="K2253" s="181">
        <f>K2254+K2255+K2256+K2257+K2258+K2259+K2260+K2261+K2262+K2263+K2264+K2265+K2266+K2267+K2268</f>
        <v>927.19</v>
      </c>
    </row>
    <row r="2254" spans="1:11" ht="46.5" x14ac:dyDescent="0.35">
      <c r="A2254" s="277"/>
      <c r="B2254" s="277"/>
      <c r="C2254" s="286"/>
      <c r="D2254" s="287"/>
      <c r="E2254" s="276"/>
      <c r="F2254" s="268"/>
      <c r="G2254" s="270" t="s">
        <v>641</v>
      </c>
      <c r="H2254" s="136" t="s">
        <v>634</v>
      </c>
      <c r="I2254" s="181">
        <v>0</v>
      </c>
      <c r="J2254" s="181">
        <f>I2254/D2253</f>
        <v>0</v>
      </c>
      <c r="K2254" s="181">
        <f>32281/D2253</f>
        <v>3.37</v>
      </c>
    </row>
    <row r="2255" spans="1:11" x14ac:dyDescent="0.35">
      <c r="A2255" s="277">
        <v>756</v>
      </c>
      <c r="B2255" s="277"/>
      <c r="C2255" s="286"/>
      <c r="D2255" s="287"/>
      <c r="E2255" s="276"/>
      <c r="F2255" s="268"/>
      <c r="G2255" s="271"/>
      <c r="H2255" s="136" t="s">
        <v>642</v>
      </c>
      <c r="I2255" s="181">
        <v>1708823</v>
      </c>
      <c r="J2255" s="181">
        <f>I2255/D2253</f>
        <v>178.25</v>
      </c>
      <c r="K2255" s="181">
        <f>1708823/D2253</f>
        <v>178.25</v>
      </c>
    </row>
    <row r="2256" spans="1:11" x14ac:dyDescent="0.35">
      <c r="A2256" s="277">
        <v>757</v>
      </c>
      <c r="B2256" s="277"/>
      <c r="C2256" s="286"/>
      <c r="D2256" s="287"/>
      <c r="E2256" s="276"/>
      <c r="F2256" s="268"/>
      <c r="G2256" s="272"/>
      <c r="H2256" s="136" t="s">
        <v>75</v>
      </c>
      <c r="I2256" s="181">
        <v>36569</v>
      </c>
      <c r="J2256" s="181">
        <f>I2256/D2253</f>
        <v>3.81</v>
      </c>
      <c r="K2256" s="181">
        <f>36569/D2253</f>
        <v>3.81</v>
      </c>
    </row>
    <row r="2257" spans="1:11" ht="46.5" x14ac:dyDescent="0.35">
      <c r="A2257" s="277"/>
      <c r="B2257" s="277"/>
      <c r="C2257" s="286"/>
      <c r="D2257" s="287"/>
      <c r="E2257" s="276"/>
      <c r="F2257" s="268"/>
      <c r="G2257" s="270" t="s">
        <v>647</v>
      </c>
      <c r="H2257" s="136" t="s">
        <v>634</v>
      </c>
      <c r="I2257" s="181">
        <v>0</v>
      </c>
      <c r="J2257" s="181">
        <f>I2257/D2253-0.01</f>
        <v>-0.01</v>
      </c>
      <c r="K2257" s="181">
        <f>32281/D2253-0.01</f>
        <v>3.36</v>
      </c>
    </row>
    <row r="2258" spans="1:11" x14ac:dyDescent="0.35">
      <c r="A2258" s="277"/>
      <c r="B2258" s="277"/>
      <c r="C2258" s="286"/>
      <c r="D2258" s="287"/>
      <c r="E2258" s="276"/>
      <c r="F2258" s="268"/>
      <c r="G2258" s="271"/>
      <c r="H2258" s="136" t="s">
        <v>642</v>
      </c>
      <c r="I2258" s="181">
        <v>1708823</v>
      </c>
      <c r="J2258" s="181">
        <f>I2258/D2253+0.02</f>
        <v>178.27</v>
      </c>
      <c r="K2258" s="181">
        <f>1708823/D2253+0.02</f>
        <v>178.27</v>
      </c>
    </row>
    <row r="2259" spans="1:11" x14ac:dyDescent="0.35">
      <c r="A2259" s="277"/>
      <c r="B2259" s="277"/>
      <c r="C2259" s="286"/>
      <c r="D2259" s="287"/>
      <c r="E2259" s="276"/>
      <c r="F2259" s="268"/>
      <c r="G2259" s="272"/>
      <c r="H2259" s="136" t="s">
        <v>75</v>
      </c>
      <c r="I2259" s="181">
        <v>36569</v>
      </c>
      <c r="J2259" s="181">
        <f>I2259/D2253</f>
        <v>3.81</v>
      </c>
      <c r="K2259" s="181">
        <f>36569/D2253</f>
        <v>3.81</v>
      </c>
    </row>
    <row r="2260" spans="1:11" ht="46.5" x14ac:dyDescent="0.35">
      <c r="A2260" s="277"/>
      <c r="B2260" s="277"/>
      <c r="C2260" s="286"/>
      <c r="D2260" s="287"/>
      <c r="E2260" s="276"/>
      <c r="F2260" s="268"/>
      <c r="G2260" s="270" t="s">
        <v>648</v>
      </c>
      <c r="H2260" s="136" t="s">
        <v>634</v>
      </c>
      <c r="I2260" s="181">
        <v>0</v>
      </c>
      <c r="J2260" s="181">
        <f>I2260/D2253</f>
        <v>0</v>
      </c>
      <c r="K2260" s="181">
        <f>32281/D2253</f>
        <v>3.37</v>
      </c>
    </row>
    <row r="2261" spans="1:11" x14ac:dyDescent="0.35">
      <c r="A2261" s="277"/>
      <c r="B2261" s="277"/>
      <c r="C2261" s="286"/>
      <c r="D2261" s="287"/>
      <c r="E2261" s="276"/>
      <c r="F2261" s="268"/>
      <c r="G2261" s="271"/>
      <c r="H2261" s="136" t="s">
        <v>642</v>
      </c>
      <c r="I2261" s="181">
        <v>1708823</v>
      </c>
      <c r="J2261" s="181">
        <f>I2261/D2253+0.02</f>
        <v>178.27</v>
      </c>
      <c r="K2261" s="181">
        <f>1708823/D2253+0.02</f>
        <v>178.27</v>
      </c>
    </row>
    <row r="2262" spans="1:11" x14ac:dyDescent="0.35">
      <c r="A2262" s="277"/>
      <c r="B2262" s="277"/>
      <c r="C2262" s="286"/>
      <c r="D2262" s="287"/>
      <c r="E2262" s="276"/>
      <c r="F2262" s="268"/>
      <c r="G2262" s="272"/>
      <c r="H2262" s="136" t="s">
        <v>75</v>
      </c>
      <c r="I2262" s="181">
        <v>36569</v>
      </c>
      <c r="J2262" s="181">
        <f>I2262/D2253</f>
        <v>3.81</v>
      </c>
      <c r="K2262" s="181">
        <f>36569/D2253</f>
        <v>3.81</v>
      </c>
    </row>
    <row r="2263" spans="1:11" ht="46.5" x14ac:dyDescent="0.35">
      <c r="A2263" s="277"/>
      <c r="B2263" s="277"/>
      <c r="C2263" s="286"/>
      <c r="D2263" s="287"/>
      <c r="E2263" s="276"/>
      <c r="F2263" s="268"/>
      <c r="G2263" s="270" t="s">
        <v>649</v>
      </c>
      <c r="H2263" s="136" t="s">
        <v>634</v>
      </c>
      <c r="I2263" s="181">
        <v>0</v>
      </c>
      <c r="J2263" s="181">
        <f>I2263/D2253-0.01</f>
        <v>-0.01</v>
      </c>
      <c r="K2263" s="181">
        <f>32281/D2253-0.01</f>
        <v>3.36</v>
      </c>
    </row>
    <row r="2264" spans="1:11" x14ac:dyDescent="0.35">
      <c r="A2264" s="277"/>
      <c r="B2264" s="277"/>
      <c r="C2264" s="286"/>
      <c r="D2264" s="287"/>
      <c r="E2264" s="276"/>
      <c r="F2264" s="268"/>
      <c r="G2264" s="271"/>
      <c r="H2264" s="136" t="s">
        <v>642</v>
      </c>
      <c r="I2264" s="181">
        <v>1708823</v>
      </c>
      <c r="J2264" s="181">
        <f>I2264/D2253+0.01</f>
        <v>178.26</v>
      </c>
      <c r="K2264" s="181">
        <f>1708823/D2253+0.01</f>
        <v>178.26</v>
      </c>
    </row>
    <row r="2265" spans="1:11" x14ac:dyDescent="0.35">
      <c r="A2265" s="277"/>
      <c r="B2265" s="277"/>
      <c r="C2265" s="286"/>
      <c r="D2265" s="287"/>
      <c r="E2265" s="276"/>
      <c r="F2265" s="268"/>
      <c r="G2265" s="272"/>
      <c r="H2265" s="136" t="s">
        <v>75</v>
      </c>
      <c r="I2265" s="181">
        <v>36569</v>
      </c>
      <c r="J2265" s="181">
        <f>I2265/D2253</f>
        <v>3.81</v>
      </c>
      <c r="K2265" s="181">
        <f>36569/D2253</f>
        <v>3.81</v>
      </c>
    </row>
    <row r="2266" spans="1:11" ht="46.5" x14ac:dyDescent="0.35">
      <c r="A2266" s="277"/>
      <c r="B2266" s="277"/>
      <c r="C2266" s="286"/>
      <c r="D2266" s="287"/>
      <c r="E2266" s="276"/>
      <c r="F2266" s="268"/>
      <c r="G2266" s="270" t="s">
        <v>646</v>
      </c>
      <c r="H2266" s="136" t="s">
        <v>634</v>
      </c>
      <c r="I2266" s="181">
        <v>0</v>
      </c>
      <c r="J2266" s="181">
        <f>I2266/D2253</f>
        <v>0</v>
      </c>
      <c r="K2266" s="181">
        <f>32281/D2253</f>
        <v>3.37</v>
      </c>
    </row>
    <row r="2267" spans="1:11" x14ac:dyDescent="0.35">
      <c r="A2267" s="277"/>
      <c r="B2267" s="277"/>
      <c r="C2267" s="286"/>
      <c r="D2267" s="287"/>
      <c r="E2267" s="276"/>
      <c r="F2267" s="268"/>
      <c r="G2267" s="271"/>
      <c r="H2267" s="136" t="s">
        <v>642</v>
      </c>
      <c r="I2267" s="181">
        <v>1708823</v>
      </c>
      <c r="J2267" s="181">
        <f>I2267/D2253+0.01</f>
        <v>178.26</v>
      </c>
      <c r="K2267" s="181">
        <f>1708823/D2253+0.01</f>
        <v>178.26</v>
      </c>
    </row>
    <row r="2268" spans="1:11" x14ac:dyDescent="0.35">
      <c r="A2268" s="277"/>
      <c r="B2268" s="277"/>
      <c r="C2268" s="286"/>
      <c r="D2268" s="287"/>
      <c r="E2268" s="276"/>
      <c r="F2268" s="269"/>
      <c r="G2268" s="272"/>
      <c r="H2268" s="136" t="s">
        <v>75</v>
      </c>
      <c r="I2268" s="181">
        <v>36569</v>
      </c>
      <c r="J2268" s="181">
        <f>I2268/D2253</f>
        <v>3.81</v>
      </c>
      <c r="K2268" s="181">
        <f>36569/D2253</f>
        <v>3.81</v>
      </c>
    </row>
    <row r="2269" spans="1:11" x14ac:dyDescent="0.35">
      <c r="A2269" s="277">
        <f>A2253+1</f>
        <v>171</v>
      </c>
      <c r="B2269" s="277">
        <v>3131</v>
      </c>
      <c r="C2269" s="286" t="s">
        <v>735</v>
      </c>
      <c r="D2269" s="287">
        <v>10845</v>
      </c>
      <c r="E2269" s="276" t="s">
        <v>70</v>
      </c>
      <c r="F2269" s="267">
        <v>10</v>
      </c>
      <c r="G2269" s="146"/>
      <c r="H2269" s="136" t="s">
        <v>72</v>
      </c>
      <c r="I2269" s="181">
        <f>I2270+I2271+I2272+I2273+I2274+I2275+I2276</f>
        <v>779316</v>
      </c>
      <c r="J2269" s="181">
        <f>J2270+J2271+J2272+J2273+J2274+J2275+J2276</f>
        <v>71.86</v>
      </c>
      <c r="K2269" s="181">
        <f>K2270+K2271+K2272+K2273+K2274+K2275+K2276</f>
        <v>71.86</v>
      </c>
    </row>
    <row r="2270" spans="1:11" ht="46.5" x14ac:dyDescent="0.35">
      <c r="A2270" s="277"/>
      <c r="B2270" s="277"/>
      <c r="C2270" s="286"/>
      <c r="D2270" s="287"/>
      <c r="E2270" s="276"/>
      <c r="F2270" s="268"/>
      <c r="G2270" s="141" t="s">
        <v>76</v>
      </c>
      <c r="H2270" s="136" t="s">
        <v>634</v>
      </c>
      <c r="I2270" s="181">
        <f>D2269*K2270</f>
        <v>585630</v>
      </c>
      <c r="J2270" s="181">
        <f>I2270/D2269</f>
        <v>54</v>
      </c>
      <c r="K2270" s="181">
        <f>50+4</f>
        <v>54</v>
      </c>
    </row>
    <row r="2271" spans="1:11" ht="46.5" x14ac:dyDescent="0.35">
      <c r="A2271" s="277"/>
      <c r="B2271" s="277"/>
      <c r="C2271" s="286"/>
      <c r="D2271" s="287"/>
      <c r="E2271" s="276"/>
      <c r="F2271" s="268"/>
      <c r="G2271" s="141" t="s">
        <v>641</v>
      </c>
      <c r="H2271" s="136" t="s">
        <v>634</v>
      </c>
      <c r="I2271" s="181">
        <v>32281</v>
      </c>
      <c r="J2271" s="181">
        <f>I2271/D2269</f>
        <v>2.98</v>
      </c>
      <c r="K2271" s="181">
        <f>32281/D2269</f>
        <v>2.98</v>
      </c>
    </row>
    <row r="2272" spans="1:11" ht="46.5" x14ac:dyDescent="0.35">
      <c r="A2272" s="277"/>
      <c r="B2272" s="277"/>
      <c r="C2272" s="286"/>
      <c r="D2272" s="287"/>
      <c r="E2272" s="276"/>
      <c r="F2272" s="268"/>
      <c r="G2272" s="141" t="s">
        <v>647</v>
      </c>
      <c r="H2272" s="136" t="s">
        <v>634</v>
      </c>
      <c r="I2272" s="181">
        <v>32281</v>
      </c>
      <c r="J2272" s="181">
        <f>I2272/D2269-0.01</f>
        <v>2.97</v>
      </c>
      <c r="K2272" s="181">
        <f>32281/D2269-0.01</f>
        <v>2.97</v>
      </c>
    </row>
    <row r="2273" spans="1:11" ht="46.5" x14ac:dyDescent="0.35">
      <c r="A2273" s="277"/>
      <c r="B2273" s="277"/>
      <c r="C2273" s="286"/>
      <c r="D2273" s="287"/>
      <c r="E2273" s="276"/>
      <c r="F2273" s="268"/>
      <c r="G2273" s="141" t="s">
        <v>648</v>
      </c>
      <c r="H2273" s="136" t="s">
        <v>634</v>
      </c>
      <c r="I2273" s="181">
        <v>32281</v>
      </c>
      <c r="J2273" s="181">
        <f>I2273/D2269</f>
        <v>2.98</v>
      </c>
      <c r="K2273" s="181">
        <f>32281/D2269</f>
        <v>2.98</v>
      </c>
    </row>
    <row r="2274" spans="1:11" ht="62" customHeight="1" x14ac:dyDescent="0.35">
      <c r="A2274" s="277"/>
      <c r="B2274" s="277"/>
      <c r="C2274" s="286"/>
      <c r="D2274" s="287"/>
      <c r="E2274" s="276"/>
      <c r="F2274" s="268"/>
      <c r="G2274" s="141" t="s">
        <v>649</v>
      </c>
      <c r="H2274" s="136" t="s">
        <v>634</v>
      </c>
      <c r="I2274" s="181">
        <v>32281</v>
      </c>
      <c r="J2274" s="181">
        <f>I2274/D2269-0.01</f>
        <v>2.97</v>
      </c>
      <c r="K2274" s="181">
        <f>32281/D2269-0.01</f>
        <v>2.97</v>
      </c>
    </row>
    <row r="2275" spans="1:11" ht="56.5" customHeight="1" x14ac:dyDescent="0.35">
      <c r="A2275" s="277"/>
      <c r="B2275" s="277"/>
      <c r="C2275" s="286"/>
      <c r="D2275" s="287"/>
      <c r="E2275" s="276"/>
      <c r="F2275" s="268"/>
      <c r="G2275" s="141" t="s">
        <v>646</v>
      </c>
      <c r="H2275" s="136" t="s">
        <v>634</v>
      </c>
      <c r="I2275" s="181">
        <v>32281</v>
      </c>
      <c r="J2275" s="181">
        <f>I2275/D2269</f>
        <v>2.98</v>
      </c>
      <c r="K2275" s="181">
        <f>32281/D2269</f>
        <v>2.98</v>
      </c>
    </row>
    <row r="2276" spans="1:11" ht="53.5" customHeight="1" x14ac:dyDescent="0.35">
      <c r="A2276" s="277"/>
      <c r="B2276" s="277"/>
      <c r="C2276" s="286"/>
      <c r="D2276" s="287"/>
      <c r="E2276" s="276"/>
      <c r="F2276" s="268"/>
      <c r="G2276" s="141" t="s">
        <v>650</v>
      </c>
      <c r="H2276" s="136" t="s">
        <v>634</v>
      </c>
      <c r="I2276" s="181">
        <v>32281</v>
      </c>
      <c r="J2276" s="181">
        <f>I2276/D2269</f>
        <v>2.98</v>
      </c>
      <c r="K2276" s="181">
        <f>32281/D2269</f>
        <v>2.98</v>
      </c>
    </row>
    <row r="2277" spans="1:11" x14ac:dyDescent="0.35">
      <c r="A2277" s="270">
        <f>A2269+1</f>
        <v>172</v>
      </c>
      <c r="B2277" s="270">
        <v>3313</v>
      </c>
      <c r="C2277" s="278" t="s">
        <v>572</v>
      </c>
      <c r="D2277" s="273">
        <v>3573</v>
      </c>
      <c r="E2277" s="273" t="s">
        <v>70</v>
      </c>
      <c r="F2277" s="282">
        <v>5</v>
      </c>
      <c r="G2277" s="270" t="s">
        <v>71</v>
      </c>
      <c r="H2277" s="136" t="s">
        <v>72</v>
      </c>
      <c r="I2277" s="181">
        <f>I2278</f>
        <v>563226.28</v>
      </c>
      <c r="J2277" s="181">
        <f>J2278</f>
        <v>157.63</v>
      </c>
      <c r="K2277" s="181">
        <f>K2278</f>
        <v>169</v>
      </c>
    </row>
    <row r="2278" spans="1:11" ht="58.5" customHeight="1" x14ac:dyDescent="0.35">
      <c r="A2278" s="271"/>
      <c r="B2278" s="271"/>
      <c r="C2278" s="279"/>
      <c r="D2278" s="274"/>
      <c r="E2278" s="274"/>
      <c r="F2278" s="283"/>
      <c r="G2278" s="271"/>
      <c r="H2278" s="136" t="s">
        <v>673</v>
      </c>
      <c r="I2278" s="181">
        <f>539523+23703.28</f>
        <v>563226.28</v>
      </c>
      <c r="J2278" s="181">
        <f>I2278/D2277</f>
        <v>157.63</v>
      </c>
      <c r="K2278" s="181">
        <f>151+18</f>
        <v>169</v>
      </c>
    </row>
    <row r="2279" spans="1:11" x14ac:dyDescent="0.35">
      <c r="A2279" s="270">
        <f>A2277+1</f>
        <v>173</v>
      </c>
      <c r="B2279" s="270">
        <v>3316</v>
      </c>
      <c r="C2279" s="278" t="s">
        <v>125</v>
      </c>
      <c r="D2279" s="273">
        <v>2886.1</v>
      </c>
      <c r="E2279" s="267" t="s">
        <v>70</v>
      </c>
      <c r="F2279" s="267">
        <v>5</v>
      </c>
      <c r="G2279" s="270" t="s">
        <v>71</v>
      </c>
      <c r="H2279" s="136" t="s">
        <v>72</v>
      </c>
      <c r="I2279" s="181">
        <f>I2280</f>
        <v>487750.9</v>
      </c>
      <c r="J2279" s="181">
        <f>J2280</f>
        <v>169</v>
      </c>
      <c r="K2279" s="181">
        <f>K2280</f>
        <v>169</v>
      </c>
    </row>
    <row r="2280" spans="1:11" ht="58.5" customHeight="1" x14ac:dyDescent="0.35">
      <c r="A2280" s="271"/>
      <c r="B2280" s="271"/>
      <c r="C2280" s="279"/>
      <c r="D2280" s="274"/>
      <c r="E2280" s="268"/>
      <c r="F2280" s="269"/>
      <c r="G2280" s="271"/>
      <c r="H2280" s="136" t="s">
        <v>673</v>
      </c>
      <c r="I2280" s="181">
        <f>435801.1+D2279*18</f>
        <v>487750.9</v>
      </c>
      <c r="J2280" s="181">
        <f>I2280/D2279</f>
        <v>169</v>
      </c>
      <c r="K2280" s="181">
        <f>151+18</f>
        <v>169</v>
      </c>
    </row>
    <row r="2281" spans="1:11" x14ac:dyDescent="0.35">
      <c r="A2281" s="270">
        <f>A2279+1</f>
        <v>174</v>
      </c>
      <c r="B2281" s="270">
        <v>4342</v>
      </c>
      <c r="C2281" s="278" t="s">
        <v>573</v>
      </c>
      <c r="D2281" s="273">
        <v>4412.1499999999996</v>
      </c>
      <c r="E2281" s="267" t="s">
        <v>70</v>
      </c>
      <c r="F2281" s="267">
        <v>5</v>
      </c>
      <c r="G2281" s="270" t="s">
        <v>71</v>
      </c>
      <c r="H2281" s="136" t="s">
        <v>72</v>
      </c>
      <c r="I2281" s="181">
        <f>I2282</f>
        <v>295259.90999999997</v>
      </c>
      <c r="J2281" s="181">
        <f>J2282</f>
        <v>66.92</v>
      </c>
      <c r="K2281" s="181">
        <f>K2282</f>
        <v>169</v>
      </c>
    </row>
    <row r="2282" spans="1:11" ht="46.5" x14ac:dyDescent="0.35">
      <c r="A2282" s="271"/>
      <c r="B2282" s="271"/>
      <c r="C2282" s="279"/>
      <c r="D2282" s="274"/>
      <c r="E2282" s="268"/>
      <c r="F2282" s="269"/>
      <c r="G2282" s="271"/>
      <c r="H2282" s="136" t="s">
        <v>673</v>
      </c>
      <c r="I2282" s="181">
        <f>215841.21+D2281*18</f>
        <v>295259.90999999997</v>
      </c>
      <c r="J2282" s="181">
        <f>I2282/D2281</f>
        <v>66.92</v>
      </c>
      <c r="K2282" s="181">
        <f>151+18</f>
        <v>169</v>
      </c>
    </row>
    <row r="2283" spans="1:11" x14ac:dyDescent="0.35">
      <c r="A2283" s="277">
        <f>A2281+1</f>
        <v>175</v>
      </c>
      <c r="B2283" s="277">
        <v>4343</v>
      </c>
      <c r="C2283" s="286" t="s">
        <v>736</v>
      </c>
      <c r="D2283" s="287">
        <v>2708.3</v>
      </c>
      <c r="E2283" s="276" t="s">
        <v>70</v>
      </c>
      <c r="F2283" s="276">
        <v>5</v>
      </c>
      <c r="G2283" s="277" t="s">
        <v>71</v>
      </c>
      <c r="H2283" s="136" t="s">
        <v>72</v>
      </c>
      <c r="I2283" s="181">
        <f>I2284</f>
        <v>453166.3</v>
      </c>
      <c r="J2283" s="181">
        <f>J2284</f>
        <v>167.33</v>
      </c>
      <c r="K2283" s="181">
        <f>K2284</f>
        <v>168</v>
      </c>
    </row>
    <row r="2284" spans="1:11" ht="62" x14ac:dyDescent="0.35">
      <c r="A2284" s="277"/>
      <c r="B2284" s="277"/>
      <c r="C2284" s="286"/>
      <c r="D2284" s="287"/>
      <c r="E2284" s="276"/>
      <c r="F2284" s="276"/>
      <c r="G2284" s="277"/>
      <c r="H2284" s="136" t="s">
        <v>761</v>
      </c>
      <c r="I2284" s="181">
        <f>363792.4+D2283*33</f>
        <v>453166.3</v>
      </c>
      <c r="J2284" s="181">
        <f>I2284/D2283</f>
        <v>167.33</v>
      </c>
      <c r="K2284" s="181">
        <f>135+33</f>
        <v>168</v>
      </c>
    </row>
    <row r="2285" spans="1:11" x14ac:dyDescent="0.35">
      <c r="A2285" s="270">
        <f>A2283+1</f>
        <v>176</v>
      </c>
      <c r="B2285" s="270">
        <v>3318</v>
      </c>
      <c r="C2285" s="278" t="s">
        <v>126</v>
      </c>
      <c r="D2285" s="273">
        <v>3544.3</v>
      </c>
      <c r="E2285" s="267" t="s">
        <v>70</v>
      </c>
      <c r="F2285" s="267">
        <v>5</v>
      </c>
      <c r="G2285" s="270" t="s">
        <v>71</v>
      </c>
      <c r="H2285" s="136" t="s">
        <v>72</v>
      </c>
      <c r="I2285" s="181">
        <f>I2286</f>
        <v>598986.69999999995</v>
      </c>
      <c r="J2285" s="181">
        <f>J2286</f>
        <v>169</v>
      </c>
      <c r="K2285" s="181">
        <f>K2286</f>
        <v>169</v>
      </c>
    </row>
    <row r="2286" spans="1:11" ht="46.5" x14ac:dyDescent="0.35">
      <c r="A2286" s="271"/>
      <c r="B2286" s="271"/>
      <c r="C2286" s="279"/>
      <c r="D2286" s="274"/>
      <c r="E2286" s="268"/>
      <c r="F2286" s="269"/>
      <c r="G2286" s="271"/>
      <c r="H2286" s="136" t="s">
        <v>673</v>
      </c>
      <c r="I2286" s="181">
        <f>535189.3+D2285*18</f>
        <v>598986.69999999995</v>
      </c>
      <c r="J2286" s="181">
        <f>I2286/D2285</f>
        <v>169</v>
      </c>
      <c r="K2286" s="181">
        <f>151+18</f>
        <v>169</v>
      </c>
    </row>
    <row r="2287" spans="1:11" x14ac:dyDescent="0.35">
      <c r="A2287" s="270">
        <f>A2285+1</f>
        <v>177</v>
      </c>
      <c r="B2287" s="270">
        <v>4344</v>
      </c>
      <c r="C2287" s="278" t="s">
        <v>574</v>
      </c>
      <c r="D2287" s="273">
        <v>3205.5</v>
      </c>
      <c r="E2287" s="267" t="s">
        <v>74</v>
      </c>
      <c r="F2287" s="267">
        <v>5</v>
      </c>
      <c r="G2287" s="270" t="s">
        <v>71</v>
      </c>
      <c r="H2287" s="136" t="s">
        <v>72</v>
      </c>
      <c r="I2287" s="181">
        <f>I2288</f>
        <v>233540.56</v>
      </c>
      <c r="J2287" s="181">
        <f>J2288</f>
        <v>72.86</v>
      </c>
      <c r="K2287" s="181">
        <f>K2288</f>
        <v>169</v>
      </c>
    </row>
    <row r="2288" spans="1:11" ht="46.5" x14ac:dyDescent="0.35">
      <c r="A2288" s="271"/>
      <c r="B2288" s="271"/>
      <c r="C2288" s="279"/>
      <c r="D2288" s="274"/>
      <c r="E2288" s="268"/>
      <c r="F2288" s="269"/>
      <c r="G2288" s="271"/>
      <c r="H2288" s="136" t="s">
        <v>673</v>
      </c>
      <c r="I2288" s="181">
        <f>219060.56+14480</f>
        <v>233540.56</v>
      </c>
      <c r="J2288" s="181">
        <f>I2288/D2287</f>
        <v>72.86</v>
      </c>
      <c r="K2288" s="181">
        <f>151+18</f>
        <v>169</v>
      </c>
    </row>
    <row r="2289" spans="1:11" x14ac:dyDescent="0.35">
      <c r="A2289" s="277">
        <f>A2287+1</f>
        <v>178</v>
      </c>
      <c r="B2289" s="277">
        <v>3319</v>
      </c>
      <c r="C2289" s="286" t="s">
        <v>127</v>
      </c>
      <c r="D2289" s="287">
        <v>3538.3</v>
      </c>
      <c r="E2289" s="276" t="s">
        <v>70</v>
      </c>
      <c r="F2289" s="267">
        <v>5</v>
      </c>
      <c r="G2289" s="277" t="s">
        <v>71</v>
      </c>
      <c r="H2289" s="136" t="s">
        <v>72</v>
      </c>
      <c r="I2289" s="181">
        <f>I2290</f>
        <v>597972.68999999994</v>
      </c>
      <c r="J2289" s="181">
        <f>J2290</f>
        <v>169</v>
      </c>
      <c r="K2289" s="181">
        <f>K2290</f>
        <v>169</v>
      </c>
    </row>
    <row r="2290" spans="1:11" ht="46.5" x14ac:dyDescent="0.35">
      <c r="A2290" s="277"/>
      <c r="B2290" s="277"/>
      <c r="C2290" s="286"/>
      <c r="D2290" s="287"/>
      <c r="E2290" s="276"/>
      <c r="F2290" s="269"/>
      <c r="G2290" s="277"/>
      <c r="H2290" s="136" t="s">
        <v>673</v>
      </c>
      <c r="I2290" s="181">
        <f>534283.29+D2289*18</f>
        <v>597972.68999999994</v>
      </c>
      <c r="J2290" s="181">
        <f>I2290/D2289</f>
        <v>169</v>
      </c>
      <c r="K2290" s="181">
        <f>151+18</f>
        <v>169</v>
      </c>
    </row>
    <row r="2291" spans="1:11" x14ac:dyDescent="0.35">
      <c r="A2291" s="270">
        <f>A2289+1</f>
        <v>179</v>
      </c>
      <c r="B2291" s="270">
        <v>3320</v>
      </c>
      <c r="C2291" s="278" t="s">
        <v>575</v>
      </c>
      <c r="D2291" s="273">
        <v>2666</v>
      </c>
      <c r="E2291" s="267" t="s">
        <v>70</v>
      </c>
      <c r="F2291" s="267">
        <v>5</v>
      </c>
      <c r="G2291" s="270" t="s">
        <v>71</v>
      </c>
      <c r="H2291" s="136" t="s">
        <v>72</v>
      </c>
      <c r="I2291" s="181">
        <f>I2292</f>
        <v>449950</v>
      </c>
      <c r="J2291" s="181">
        <f>J2292</f>
        <v>168.77</v>
      </c>
      <c r="K2291" s="181">
        <f>K2292</f>
        <v>169</v>
      </c>
    </row>
    <row r="2292" spans="1:11" ht="46.5" x14ac:dyDescent="0.35">
      <c r="A2292" s="271"/>
      <c r="B2292" s="271"/>
      <c r="C2292" s="279"/>
      <c r="D2292" s="274"/>
      <c r="E2292" s="268"/>
      <c r="F2292" s="269"/>
      <c r="G2292" s="271"/>
      <c r="H2292" s="136" t="s">
        <v>673</v>
      </c>
      <c r="I2292" s="181">
        <f>401962+D2291*18</f>
        <v>449950</v>
      </c>
      <c r="J2292" s="181">
        <f>I2292/D2291</f>
        <v>168.77</v>
      </c>
      <c r="K2292" s="181">
        <f>151+18</f>
        <v>169</v>
      </c>
    </row>
    <row r="2293" spans="1:11" x14ac:dyDescent="0.35">
      <c r="A2293" s="277">
        <f>A2291+1</f>
        <v>180</v>
      </c>
      <c r="B2293" s="277">
        <v>4360</v>
      </c>
      <c r="C2293" s="286" t="s">
        <v>737</v>
      </c>
      <c r="D2293" s="287">
        <v>11758.85</v>
      </c>
      <c r="E2293" s="276" t="s">
        <v>70</v>
      </c>
      <c r="F2293" s="276">
        <v>10</v>
      </c>
      <c r="G2293" s="277" t="s">
        <v>71</v>
      </c>
      <c r="H2293" s="136" t="s">
        <v>72</v>
      </c>
      <c r="I2293" s="181">
        <f>I2294</f>
        <v>961945.24</v>
      </c>
      <c r="J2293" s="181">
        <f>J2294</f>
        <v>81.81</v>
      </c>
      <c r="K2293" s="181">
        <f>K2294</f>
        <v>164</v>
      </c>
    </row>
    <row r="2294" spans="1:11" ht="46.5" x14ac:dyDescent="0.35">
      <c r="A2294" s="277"/>
      <c r="B2294" s="277"/>
      <c r="C2294" s="286"/>
      <c r="D2294" s="287"/>
      <c r="E2294" s="276"/>
      <c r="F2294" s="276"/>
      <c r="G2294" s="277"/>
      <c r="H2294" s="136" t="s">
        <v>673</v>
      </c>
      <c r="I2294" s="181">
        <f>809080.19+D2293*13</f>
        <v>961945.24</v>
      </c>
      <c r="J2294" s="181">
        <f>I2294/D2293</f>
        <v>81.81</v>
      </c>
      <c r="K2294" s="181">
        <f>151+13</f>
        <v>164</v>
      </c>
    </row>
    <row r="2295" spans="1:11" x14ac:dyDescent="0.35">
      <c r="A2295" s="270">
        <f>A2293+1</f>
        <v>181</v>
      </c>
      <c r="B2295" s="270">
        <v>3173</v>
      </c>
      <c r="C2295" s="278" t="s">
        <v>576</v>
      </c>
      <c r="D2295" s="273">
        <v>2633.8</v>
      </c>
      <c r="E2295" s="267" t="s">
        <v>70</v>
      </c>
      <c r="F2295" s="267">
        <v>5</v>
      </c>
      <c r="G2295" s="270" t="s">
        <v>71</v>
      </c>
      <c r="H2295" s="136" t="s">
        <v>72</v>
      </c>
      <c r="I2295" s="181">
        <f>I2296</f>
        <v>445112.2</v>
      </c>
      <c r="J2295" s="181">
        <f>J2296</f>
        <v>169</v>
      </c>
      <c r="K2295" s="181">
        <f>K2296</f>
        <v>169</v>
      </c>
    </row>
    <row r="2296" spans="1:11" ht="46.5" x14ac:dyDescent="0.35">
      <c r="A2296" s="271"/>
      <c r="B2296" s="271"/>
      <c r="C2296" s="279"/>
      <c r="D2296" s="274"/>
      <c r="E2296" s="268"/>
      <c r="F2296" s="269"/>
      <c r="G2296" s="271"/>
      <c r="H2296" s="136" t="s">
        <v>673</v>
      </c>
      <c r="I2296" s="181">
        <f>397703.8+D2295*18</f>
        <v>445112.2</v>
      </c>
      <c r="J2296" s="181">
        <f>I2296/D2295</f>
        <v>169</v>
      </c>
      <c r="K2296" s="181">
        <f>151+18</f>
        <v>169</v>
      </c>
    </row>
    <row r="2297" spans="1:11" x14ac:dyDescent="0.35">
      <c r="A2297" s="277">
        <f>A2295+1</f>
        <v>182</v>
      </c>
      <c r="B2297" s="277">
        <v>3183</v>
      </c>
      <c r="C2297" s="286" t="s">
        <v>128</v>
      </c>
      <c r="D2297" s="287">
        <v>5802.9</v>
      </c>
      <c r="E2297" s="276" t="s">
        <v>70</v>
      </c>
      <c r="F2297" s="267">
        <v>5</v>
      </c>
      <c r="G2297" s="277" t="s">
        <v>71</v>
      </c>
      <c r="H2297" s="136" t="s">
        <v>72</v>
      </c>
      <c r="I2297" s="181">
        <f>I2298</f>
        <v>695902.01</v>
      </c>
      <c r="J2297" s="181">
        <f>J2298</f>
        <v>119.92</v>
      </c>
      <c r="K2297" s="181">
        <f>K2298</f>
        <v>169</v>
      </c>
    </row>
    <row r="2298" spans="1:11" ht="54.5" customHeight="1" x14ac:dyDescent="0.35">
      <c r="A2298" s="277"/>
      <c r="B2298" s="277"/>
      <c r="C2298" s="286"/>
      <c r="D2298" s="287"/>
      <c r="E2298" s="276"/>
      <c r="F2298" s="269"/>
      <c r="G2298" s="277"/>
      <c r="H2298" s="136" t="s">
        <v>673</v>
      </c>
      <c r="I2298" s="181">
        <f>591449.81+D2297*18</f>
        <v>695902.01</v>
      </c>
      <c r="J2298" s="181">
        <f>I2298/D2297</f>
        <v>119.92</v>
      </c>
      <c r="K2298" s="181">
        <f>151+18</f>
        <v>169</v>
      </c>
    </row>
    <row r="2299" spans="1:11" x14ac:dyDescent="0.35">
      <c r="A2299" s="277">
        <f>A2297+1</f>
        <v>183</v>
      </c>
      <c r="B2299" s="277">
        <v>3186</v>
      </c>
      <c r="C2299" s="286" t="s">
        <v>129</v>
      </c>
      <c r="D2299" s="287">
        <v>2902.9</v>
      </c>
      <c r="E2299" s="287" t="s">
        <v>70</v>
      </c>
      <c r="F2299" s="304">
        <v>5</v>
      </c>
      <c r="G2299" s="277" t="s">
        <v>71</v>
      </c>
      <c r="H2299" s="136" t="s">
        <v>72</v>
      </c>
      <c r="I2299" s="181">
        <f>I2300</f>
        <v>476075.6</v>
      </c>
      <c r="J2299" s="181">
        <f>J2300</f>
        <v>164</v>
      </c>
      <c r="K2299" s="181">
        <f>K2300</f>
        <v>169</v>
      </c>
    </row>
    <row r="2300" spans="1:11" ht="61.5" customHeight="1" x14ac:dyDescent="0.35">
      <c r="A2300" s="277"/>
      <c r="B2300" s="277"/>
      <c r="C2300" s="286"/>
      <c r="D2300" s="287"/>
      <c r="E2300" s="287"/>
      <c r="F2300" s="304"/>
      <c r="G2300" s="277"/>
      <c r="H2300" s="136" t="s">
        <v>673</v>
      </c>
      <c r="I2300" s="181">
        <v>476075.6</v>
      </c>
      <c r="J2300" s="181">
        <f>I2300/D2299</f>
        <v>164</v>
      </c>
      <c r="K2300" s="181">
        <f>151+18</f>
        <v>169</v>
      </c>
    </row>
    <row r="2301" spans="1:11" x14ac:dyDescent="0.35">
      <c r="A2301" s="277">
        <f>A2299+1</f>
        <v>184</v>
      </c>
      <c r="B2301" s="277">
        <v>3190</v>
      </c>
      <c r="C2301" s="286" t="s">
        <v>130</v>
      </c>
      <c r="D2301" s="287">
        <v>2911</v>
      </c>
      <c r="E2301" s="276" t="s">
        <v>70</v>
      </c>
      <c r="F2301" s="267">
        <v>5</v>
      </c>
      <c r="G2301" s="277" t="s">
        <v>71</v>
      </c>
      <c r="H2301" s="136" t="s">
        <v>72</v>
      </c>
      <c r="I2301" s="181">
        <f>I2302</f>
        <v>491959</v>
      </c>
      <c r="J2301" s="181">
        <f>J2302</f>
        <v>169</v>
      </c>
      <c r="K2301" s="181">
        <f>K2302</f>
        <v>169</v>
      </c>
    </row>
    <row r="2302" spans="1:11" ht="56.5" customHeight="1" x14ac:dyDescent="0.35">
      <c r="A2302" s="277"/>
      <c r="B2302" s="277"/>
      <c r="C2302" s="286"/>
      <c r="D2302" s="287"/>
      <c r="E2302" s="276"/>
      <c r="F2302" s="269"/>
      <c r="G2302" s="277"/>
      <c r="H2302" s="136" t="s">
        <v>673</v>
      </c>
      <c r="I2302" s="181">
        <f>439561+D2301*18</f>
        <v>491959</v>
      </c>
      <c r="J2302" s="181">
        <f>I2302/D2301</f>
        <v>169</v>
      </c>
      <c r="K2302" s="181">
        <f>151+18</f>
        <v>169</v>
      </c>
    </row>
    <row r="2303" spans="1:11" x14ac:dyDescent="0.35">
      <c r="A2303" s="277">
        <f>A2301+1</f>
        <v>185</v>
      </c>
      <c r="B2303" s="277">
        <v>3138</v>
      </c>
      <c r="C2303" s="286" t="s">
        <v>383</v>
      </c>
      <c r="D2303" s="287">
        <v>3244</v>
      </c>
      <c r="E2303" s="276" t="s">
        <v>70</v>
      </c>
      <c r="F2303" s="267">
        <v>5</v>
      </c>
      <c r="G2303" s="277" t="s">
        <v>71</v>
      </c>
      <c r="H2303" s="136" t="s">
        <v>72</v>
      </c>
      <c r="I2303" s="181">
        <f>I2304+I2305</f>
        <v>6485096.6200000001</v>
      </c>
      <c r="J2303" s="181">
        <f>J2304+J2305</f>
        <v>1999.11</v>
      </c>
      <c r="K2303" s="181">
        <f>K2304+K2305</f>
        <v>3242</v>
      </c>
    </row>
    <row r="2304" spans="1:11" x14ac:dyDescent="0.35">
      <c r="A2304" s="277">
        <v>77</v>
      </c>
      <c r="B2304" s="277"/>
      <c r="C2304" s="286"/>
      <c r="D2304" s="287"/>
      <c r="E2304" s="276"/>
      <c r="F2304" s="268"/>
      <c r="G2304" s="277"/>
      <c r="H2304" s="136" t="s">
        <v>73</v>
      </c>
      <c r="I2304" s="181">
        <f>8992368*0.7</f>
        <v>6294657.5999999996</v>
      </c>
      <c r="J2304" s="181">
        <f>I2304/D2303</f>
        <v>1940.4</v>
      </c>
      <c r="K2304" s="181">
        <v>3174</v>
      </c>
    </row>
    <row r="2305" spans="1:11" x14ac:dyDescent="0.35">
      <c r="A2305" s="277">
        <v>78</v>
      </c>
      <c r="B2305" s="277"/>
      <c r="C2305" s="286"/>
      <c r="D2305" s="287"/>
      <c r="E2305" s="276"/>
      <c r="F2305" s="269"/>
      <c r="G2305" s="277"/>
      <c r="H2305" s="136" t="s">
        <v>75</v>
      </c>
      <c r="I2305" s="181">
        <v>190439.02</v>
      </c>
      <c r="J2305" s="181">
        <f>I2305/D2303</f>
        <v>58.71</v>
      </c>
      <c r="K2305" s="181">
        <v>68</v>
      </c>
    </row>
    <row r="2306" spans="1:11" x14ac:dyDescent="0.35">
      <c r="A2306" s="277">
        <f>A2303+1</f>
        <v>186</v>
      </c>
      <c r="B2306" s="270">
        <v>3139</v>
      </c>
      <c r="C2306" s="286" t="s">
        <v>384</v>
      </c>
      <c r="D2306" s="287">
        <v>3270</v>
      </c>
      <c r="E2306" s="276" t="s">
        <v>70</v>
      </c>
      <c r="F2306" s="267">
        <v>5</v>
      </c>
      <c r="G2306" s="277" t="s">
        <v>71</v>
      </c>
      <c r="H2306" s="136" t="s">
        <v>72</v>
      </c>
      <c r="I2306" s="181">
        <f>I2307+I2308</f>
        <v>6473622.2699999996</v>
      </c>
      <c r="J2306" s="181">
        <f>J2307+J2308</f>
        <v>1979.7</v>
      </c>
      <c r="K2306" s="181">
        <f>K2307+K2308</f>
        <v>3242</v>
      </c>
    </row>
    <row r="2307" spans="1:11" x14ac:dyDescent="0.35">
      <c r="A2307" s="277">
        <v>75</v>
      </c>
      <c r="B2307" s="271"/>
      <c r="C2307" s="286"/>
      <c r="D2307" s="287"/>
      <c r="E2307" s="276"/>
      <c r="F2307" s="268"/>
      <c r="G2307" s="277"/>
      <c r="H2307" s="136" t="s">
        <v>73</v>
      </c>
      <c r="I2307" s="181">
        <f>8973795.6*0.7</f>
        <v>6281656.9199999999</v>
      </c>
      <c r="J2307" s="181">
        <f>I2307/D2306-0.01</f>
        <v>1920.99</v>
      </c>
      <c r="K2307" s="181">
        <v>3174</v>
      </c>
    </row>
    <row r="2308" spans="1:11" x14ac:dyDescent="0.35">
      <c r="A2308" s="277">
        <v>76</v>
      </c>
      <c r="B2308" s="272"/>
      <c r="C2308" s="286"/>
      <c r="D2308" s="287"/>
      <c r="E2308" s="276"/>
      <c r="F2308" s="269"/>
      <c r="G2308" s="277"/>
      <c r="H2308" s="136" t="s">
        <v>75</v>
      </c>
      <c r="I2308" s="181">
        <v>191965.35</v>
      </c>
      <c r="J2308" s="181">
        <f>I2308/D2306</f>
        <v>58.71</v>
      </c>
      <c r="K2308" s="181">
        <v>68</v>
      </c>
    </row>
    <row r="2309" spans="1:11" x14ac:dyDescent="0.35">
      <c r="A2309" s="277">
        <f>A2306+1</f>
        <v>187</v>
      </c>
      <c r="B2309" s="270">
        <v>3140</v>
      </c>
      <c r="C2309" s="286" t="s">
        <v>385</v>
      </c>
      <c r="D2309" s="287">
        <v>3278</v>
      </c>
      <c r="E2309" s="276" t="s">
        <v>70</v>
      </c>
      <c r="F2309" s="267">
        <v>5</v>
      </c>
      <c r="G2309" s="277" t="s">
        <v>71</v>
      </c>
      <c r="H2309" s="136" t="s">
        <v>72</v>
      </c>
      <c r="I2309" s="181">
        <f>I2310+I2311</f>
        <v>6553066.1900000004</v>
      </c>
      <c r="J2309" s="181">
        <f>J2310+J2311</f>
        <v>1999.11</v>
      </c>
      <c r="K2309" s="181">
        <f>K2310+K2311</f>
        <v>3242</v>
      </c>
    </row>
    <row r="2310" spans="1:11" x14ac:dyDescent="0.35">
      <c r="A2310" s="277">
        <v>75</v>
      </c>
      <c r="B2310" s="271"/>
      <c r="C2310" s="286"/>
      <c r="D2310" s="287"/>
      <c r="E2310" s="276"/>
      <c r="F2310" s="268"/>
      <c r="G2310" s="277"/>
      <c r="H2310" s="136" t="s">
        <v>73</v>
      </c>
      <c r="I2310" s="181">
        <f>9086615.99*0.7+0.01</f>
        <v>6360631.2000000002</v>
      </c>
      <c r="J2310" s="181">
        <f>I2310/D2309</f>
        <v>1940.4</v>
      </c>
      <c r="K2310" s="181">
        <v>3174</v>
      </c>
    </row>
    <row r="2311" spans="1:11" x14ac:dyDescent="0.35">
      <c r="A2311" s="277">
        <v>76</v>
      </c>
      <c r="B2311" s="272"/>
      <c r="C2311" s="286"/>
      <c r="D2311" s="287"/>
      <c r="E2311" s="276"/>
      <c r="F2311" s="269"/>
      <c r="G2311" s="277"/>
      <c r="H2311" s="136" t="s">
        <v>75</v>
      </c>
      <c r="I2311" s="181">
        <v>192434.99</v>
      </c>
      <c r="J2311" s="181">
        <f>I2311/D2309</f>
        <v>58.71</v>
      </c>
      <c r="K2311" s="181">
        <v>68</v>
      </c>
    </row>
    <row r="2312" spans="1:11" x14ac:dyDescent="0.35">
      <c r="A2312" s="277">
        <f>A2309+1</f>
        <v>188</v>
      </c>
      <c r="B2312" s="277">
        <v>3192</v>
      </c>
      <c r="C2312" s="286" t="s">
        <v>386</v>
      </c>
      <c r="D2312" s="287">
        <v>5806.9</v>
      </c>
      <c r="E2312" s="276" t="s">
        <v>70</v>
      </c>
      <c r="F2312" s="267">
        <v>5</v>
      </c>
      <c r="G2312" s="277" t="s">
        <v>71</v>
      </c>
      <c r="H2312" s="136" t="s">
        <v>72</v>
      </c>
      <c r="I2312" s="181">
        <f>I2313+I2314</f>
        <v>10225229.08</v>
      </c>
      <c r="J2312" s="181">
        <f>J2313+J2314</f>
        <v>1760.88</v>
      </c>
      <c r="K2312" s="181">
        <f>K2313+K2314</f>
        <v>3242</v>
      </c>
    </row>
    <row r="2313" spans="1:11" x14ac:dyDescent="0.35">
      <c r="A2313" s="277">
        <v>77</v>
      </c>
      <c r="B2313" s="277"/>
      <c r="C2313" s="286"/>
      <c r="D2313" s="287"/>
      <c r="E2313" s="276"/>
      <c r="F2313" s="268"/>
      <c r="G2313" s="277"/>
      <c r="H2313" s="136" t="s">
        <v>73</v>
      </c>
      <c r="I2313" s="181">
        <f>14174146.22*0.7</f>
        <v>9921902.3499999996</v>
      </c>
      <c r="J2313" s="181">
        <f>I2313/D2312</f>
        <v>1708.64</v>
      </c>
      <c r="K2313" s="181">
        <v>3174</v>
      </c>
    </row>
    <row r="2314" spans="1:11" x14ac:dyDescent="0.35">
      <c r="A2314" s="277">
        <v>78</v>
      </c>
      <c r="B2314" s="277"/>
      <c r="C2314" s="286"/>
      <c r="D2314" s="287"/>
      <c r="E2314" s="276"/>
      <c r="F2314" s="269"/>
      <c r="G2314" s="277"/>
      <c r="H2314" s="136" t="s">
        <v>75</v>
      </c>
      <c r="I2314" s="181">
        <f>14174146.22*0.0214</f>
        <v>303326.73</v>
      </c>
      <c r="J2314" s="181">
        <f>I2314/D2312</f>
        <v>52.24</v>
      </c>
      <c r="K2314" s="181">
        <v>68</v>
      </c>
    </row>
    <row r="2315" spans="1:11" x14ac:dyDescent="0.35">
      <c r="A2315" s="277">
        <f>A2312+1</f>
        <v>189</v>
      </c>
      <c r="B2315" s="277">
        <v>3141</v>
      </c>
      <c r="C2315" s="286" t="s">
        <v>738</v>
      </c>
      <c r="D2315" s="287">
        <f>4456.2+4522.4</f>
        <v>8978.6</v>
      </c>
      <c r="E2315" s="276" t="s">
        <v>70</v>
      </c>
      <c r="F2315" s="276">
        <v>10</v>
      </c>
      <c r="G2315" s="277" t="s">
        <v>71</v>
      </c>
      <c r="H2315" s="136" t="s">
        <v>72</v>
      </c>
      <c r="I2315" s="181">
        <f>I2316</f>
        <v>825217.71</v>
      </c>
      <c r="J2315" s="181">
        <f>J2316</f>
        <v>91.91</v>
      </c>
      <c r="K2315" s="181">
        <f>K2316</f>
        <v>164</v>
      </c>
    </row>
    <row r="2316" spans="1:11" ht="46.5" x14ac:dyDescent="0.35">
      <c r="A2316" s="277"/>
      <c r="B2316" s="277"/>
      <c r="C2316" s="286"/>
      <c r="D2316" s="287"/>
      <c r="E2316" s="276"/>
      <c r="F2316" s="276"/>
      <c r="G2316" s="277"/>
      <c r="H2316" s="136" t="s">
        <v>673</v>
      </c>
      <c r="I2316" s="181">
        <f>708495.91+D2315*13</f>
        <v>825217.71</v>
      </c>
      <c r="J2316" s="181">
        <f>I2316/D2315</f>
        <v>91.91</v>
      </c>
      <c r="K2316" s="181">
        <f>151+13</f>
        <v>164</v>
      </c>
    </row>
    <row r="2317" spans="1:11" x14ac:dyDescent="0.35">
      <c r="A2317" s="277">
        <f>A2315+1</f>
        <v>190</v>
      </c>
      <c r="B2317" s="277">
        <v>3376</v>
      </c>
      <c r="C2317" s="286" t="s">
        <v>131</v>
      </c>
      <c r="D2317" s="287">
        <v>2525.6</v>
      </c>
      <c r="E2317" s="276" t="s">
        <v>74</v>
      </c>
      <c r="F2317" s="267">
        <v>4</v>
      </c>
      <c r="G2317" s="277" t="s">
        <v>71</v>
      </c>
      <c r="H2317" s="136" t="s">
        <v>72</v>
      </c>
      <c r="I2317" s="181">
        <f>I2318</f>
        <v>388955.03</v>
      </c>
      <c r="J2317" s="181">
        <f>J2318</f>
        <v>154.01</v>
      </c>
      <c r="K2317" s="181">
        <f>K2318</f>
        <v>239</v>
      </c>
    </row>
    <row r="2318" spans="1:11" ht="46.5" x14ac:dyDescent="0.35">
      <c r="A2318" s="277"/>
      <c r="B2318" s="277"/>
      <c r="C2318" s="286"/>
      <c r="D2318" s="287"/>
      <c r="E2318" s="276"/>
      <c r="F2318" s="269"/>
      <c r="G2318" s="277"/>
      <c r="H2318" s="136" t="s">
        <v>673</v>
      </c>
      <c r="I2318" s="181">
        <f>166702.23+D2317*88</f>
        <v>388955.03</v>
      </c>
      <c r="J2318" s="181">
        <f>I2318/D2317</f>
        <v>154.01</v>
      </c>
      <c r="K2318" s="181">
        <f>151+88</f>
        <v>239</v>
      </c>
    </row>
    <row r="2319" spans="1:11" x14ac:dyDescent="0.35">
      <c r="A2319" s="270">
        <f>A2317+1</f>
        <v>191</v>
      </c>
      <c r="B2319" s="270">
        <v>3378</v>
      </c>
      <c r="C2319" s="278" t="s">
        <v>577</v>
      </c>
      <c r="D2319" s="273">
        <v>3969.6</v>
      </c>
      <c r="E2319" s="267" t="s">
        <v>74</v>
      </c>
      <c r="F2319" s="267">
        <v>5</v>
      </c>
      <c r="G2319" s="270" t="s">
        <v>71</v>
      </c>
      <c r="H2319" s="136" t="s">
        <v>72</v>
      </c>
      <c r="I2319" s="181">
        <f>I2320</f>
        <v>289372.81</v>
      </c>
      <c r="J2319" s="181">
        <f>J2320</f>
        <v>72.900000000000006</v>
      </c>
      <c r="K2319" s="181">
        <f>K2320</f>
        <v>169</v>
      </c>
    </row>
    <row r="2320" spans="1:11" ht="46.5" x14ac:dyDescent="0.35">
      <c r="A2320" s="271"/>
      <c r="B2320" s="271"/>
      <c r="C2320" s="279"/>
      <c r="D2320" s="274"/>
      <c r="E2320" s="268"/>
      <c r="F2320" s="269"/>
      <c r="G2320" s="271"/>
      <c r="H2320" s="136" t="s">
        <v>673</v>
      </c>
      <c r="I2320" s="181">
        <f>217920.01+D2319*18</f>
        <v>289372.81</v>
      </c>
      <c r="J2320" s="181">
        <f>I2320/D2319</f>
        <v>72.900000000000006</v>
      </c>
      <c r="K2320" s="181">
        <f>151+18</f>
        <v>169</v>
      </c>
    </row>
    <row r="2321" spans="1:11" x14ac:dyDescent="0.35">
      <c r="A2321" s="270">
        <f>A2319+1</f>
        <v>192</v>
      </c>
      <c r="B2321" s="270">
        <v>3381</v>
      </c>
      <c r="C2321" s="278" t="s">
        <v>578</v>
      </c>
      <c r="D2321" s="273">
        <v>1492.8</v>
      </c>
      <c r="E2321" s="267" t="s">
        <v>74</v>
      </c>
      <c r="F2321" s="267">
        <v>5</v>
      </c>
      <c r="G2321" s="270" t="s">
        <v>71</v>
      </c>
      <c r="H2321" s="136" t="s">
        <v>72</v>
      </c>
      <c r="I2321" s="181">
        <f>I2322</f>
        <v>252283.19</v>
      </c>
      <c r="J2321" s="181">
        <f>J2322</f>
        <v>169</v>
      </c>
      <c r="K2321" s="181">
        <f>K2322</f>
        <v>169</v>
      </c>
    </row>
    <row r="2322" spans="1:11" ht="46.5" x14ac:dyDescent="0.35">
      <c r="A2322" s="271"/>
      <c r="B2322" s="271"/>
      <c r="C2322" s="279"/>
      <c r="D2322" s="274"/>
      <c r="E2322" s="268"/>
      <c r="F2322" s="269"/>
      <c r="G2322" s="271"/>
      <c r="H2322" s="136" t="s">
        <v>673</v>
      </c>
      <c r="I2322" s="181">
        <f>225412.79+D2321*18</f>
        <v>252283.19</v>
      </c>
      <c r="J2322" s="181">
        <f>I2322/D2321</f>
        <v>169</v>
      </c>
      <c r="K2322" s="181">
        <f>151+18</f>
        <v>169</v>
      </c>
    </row>
    <row r="2323" spans="1:11" x14ac:dyDescent="0.35">
      <c r="A2323" s="277">
        <f>A2321+1</f>
        <v>193</v>
      </c>
      <c r="B2323" s="277">
        <v>3383</v>
      </c>
      <c r="C2323" s="286" t="s">
        <v>739</v>
      </c>
      <c r="D2323" s="287">
        <v>5213</v>
      </c>
      <c r="E2323" s="276" t="s">
        <v>74</v>
      </c>
      <c r="F2323" s="276">
        <v>6</v>
      </c>
      <c r="G2323" s="277" t="s">
        <v>71</v>
      </c>
      <c r="H2323" s="136" t="s">
        <v>72</v>
      </c>
      <c r="I2323" s="181">
        <f>I2324</f>
        <v>476043.46</v>
      </c>
      <c r="J2323" s="181">
        <f>J2324</f>
        <v>91.32</v>
      </c>
      <c r="K2323" s="181">
        <f>K2324</f>
        <v>169</v>
      </c>
    </row>
    <row r="2324" spans="1:11" ht="46.5" x14ac:dyDescent="0.35">
      <c r="A2324" s="277"/>
      <c r="B2324" s="277"/>
      <c r="C2324" s="286"/>
      <c r="D2324" s="287"/>
      <c r="E2324" s="276"/>
      <c r="F2324" s="276"/>
      <c r="G2324" s="277"/>
      <c r="H2324" s="136" t="s">
        <v>673</v>
      </c>
      <c r="I2324" s="181">
        <f>382209.46+D2323*18</f>
        <v>476043.46</v>
      </c>
      <c r="J2324" s="181">
        <f>I2324/D2323</f>
        <v>91.32</v>
      </c>
      <c r="K2324" s="181">
        <f>151+18</f>
        <v>169</v>
      </c>
    </row>
    <row r="2325" spans="1:11" x14ac:dyDescent="0.35">
      <c r="A2325" s="270">
        <f>A2323+1</f>
        <v>194</v>
      </c>
      <c r="B2325" s="270">
        <v>3388</v>
      </c>
      <c r="C2325" s="278" t="s">
        <v>740</v>
      </c>
      <c r="D2325" s="273">
        <v>2537.1999999999998</v>
      </c>
      <c r="E2325" s="273" t="s">
        <v>74</v>
      </c>
      <c r="F2325" s="282">
        <v>7</v>
      </c>
      <c r="G2325" s="165"/>
      <c r="H2325" s="136" t="s">
        <v>72</v>
      </c>
      <c r="I2325" s="181">
        <f>I2326+I2327+I2328</f>
        <v>1073235.6000000001</v>
      </c>
      <c r="J2325" s="181">
        <f>J2326+J2327+J2328</f>
        <v>423</v>
      </c>
      <c r="K2325" s="181">
        <f>K2326+K2327+K2328</f>
        <v>423</v>
      </c>
    </row>
    <row r="2326" spans="1:11" ht="46.5" x14ac:dyDescent="0.35">
      <c r="A2326" s="271"/>
      <c r="B2326" s="271"/>
      <c r="C2326" s="279"/>
      <c r="D2326" s="274"/>
      <c r="E2326" s="274"/>
      <c r="F2326" s="283"/>
      <c r="G2326" s="141" t="s">
        <v>71</v>
      </c>
      <c r="H2326" s="136" t="s">
        <v>673</v>
      </c>
      <c r="I2326" s="181">
        <f>D2325*K2326</f>
        <v>416100.8</v>
      </c>
      <c r="J2326" s="181">
        <f>I2326/D2325</f>
        <v>164</v>
      </c>
      <c r="K2326" s="181">
        <f>151+13</f>
        <v>164</v>
      </c>
    </row>
    <row r="2327" spans="1:11" ht="46.5" x14ac:dyDescent="0.35">
      <c r="A2327" s="271"/>
      <c r="B2327" s="271"/>
      <c r="C2327" s="279"/>
      <c r="D2327" s="274"/>
      <c r="E2327" s="274"/>
      <c r="F2327" s="283"/>
      <c r="G2327" s="270" t="s">
        <v>84</v>
      </c>
      <c r="H2327" s="136" t="s">
        <v>673</v>
      </c>
      <c r="I2327" s="181">
        <f>D2325*K2327</f>
        <v>190290</v>
      </c>
      <c r="J2327" s="181">
        <f>I2327/D2325</f>
        <v>75</v>
      </c>
      <c r="K2327" s="181">
        <f>63+12</f>
        <v>75</v>
      </c>
    </row>
    <row r="2328" spans="1:11" ht="46.5" x14ac:dyDescent="0.35">
      <c r="A2328" s="271"/>
      <c r="B2328" s="271"/>
      <c r="C2328" s="279"/>
      <c r="D2328" s="274"/>
      <c r="E2328" s="274"/>
      <c r="F2328" s="283"/>
      <c r="G2328" s="272"/>
      <c r="H2328" s="136" t="s">
        <v>674</v>
      </c>
      <c r="I2328" s="181">
        <f>D2325*K2328</f>
        <v>466844.8</v>
      </c>
      <c r="J2328" s="181">
        <f>I2328/D2325</f>
        <v>184</v>
      </c>
      <c r="K2328" s="181">
        <f>156+28</f>
        <v>184</v>
      </c>
    </row>
    <row r="2329" spans="1:11" x14ac:dyDescent="0.35">
      <c r="A2329" s="270">
        <f>A2325+1</f>
        <v>195</v>
      </c>
      <c r="B2329" s="270">
        <v>3389</v>
      </c>
      <c r="C2329" s="278" t="s">
        <v>388</v>
      </c>
      <c r="D2329" s="273">
        <v>1631.17</v>
      </c>
      <c r="E2329" s="267" t="s">
        <v>79</v>
      </c>
      <c r="F2329" s="267">
        <v>3</v>
      </c>
      <c r="G2329" s="270" t="s">
        <v>108</v>
      </c>
      <c r="H2329" s="136" t="s">
        <v>72</v>
      </c>
      <c r="I2329" s="181">
        <f>I2331+I2332+I2330</f>
        <v>4917977.54</v>
      </c>
      <c r="J2329" s="181">
        <f>J2331+J2332+J2330</f>
        <v>3015</v>
      </c>
      <c r="K2329" s="181">
        <f>K2331+K2332+K2330</f>
        <v>3015</v>
      </c>
    </row>
    <row r="2330" spans="1:11" ht="46.5" x14ac:dyDescent="0.35">
      <c r="A2330" s="271"/>
      <c r="B2330" s="271"/>
      <c r="C2330" s="279"/>
      <c r="D2330" s="274"/>
      <c r="E2330" s="268"/>
      <c r="F2330" s="268"/>
      <c r="G2330" s="271"/>
      <c r="H2330" s="136" t="s">
        <v>634</v>
      </c>
      <c r="I2330" s="181">
        <f>182691.03+D2329*40</f>
        <v>247937.83</v>
      </c>
      <c r="J2330" s="181">
        <f>I2330/D2329</f>
        <v>152</v>
      </c>
      <c r="K2330" s="181">
        <f>112+40</f>
        <v>152</v>
      </c>
    </row>
    <row r="2331" spans="1:11" x14ac:dyDescent="0.35">
      <c r="A2331" s="271"/>
      <c r="B2331" s="271"/>
      <c r="C2331" s="279"/>
      <c r="D2331" s="274"/>
      <c r="E2331" s="268"/>
      <c r="F2331" s="268"/>
      <c r="G2331" s="271"/>
      <c r="H2331" s="136" t="s">
        <v>73</v>
      </c>
      <c r="I2331" s="181">
        <f>D2329*K2331</f>
        <v>4572169.51</v>
      </c>
      <c r="J2331" s="181">
        <f>I2331/D2329</f>
        <v>2803</v>
      </c>
      <c r="K2331" s="181">
        <v>2803</v>
      </c>
    </row>
    <row r="2332" spans="1:11" x14ac:dyDescent="0.35">
      <c r="A2332" s="272"/>
      <c r="B2332" s="272"/>
      <c r="C2332" s="285"/>
      <c r="D2332" s="275"/>
      <c r="E2332" s="269"/>
      <c r="F2332" s="269"/>
      <c r="G2332" s="272"/>
      <c r="H2332" s="136" t="s">
        <v>75</v>
      </c>
      <c r="I2332" s="181">
        <f>D2329*K2332</f>
        <v>97870.2</v>
      </c>
      <c r="J2332" s="181">
        <f>I2332/D2329</f>
        <v>60</v>
      </c>
      <c r="K2332" s="181">
        <v>60</v>
      </c>
    </row>
    <row r="2333" spans="1:11" x14ac:dyDescent="0.35">
      <c r="A2333" s="270">
        <f>A2329+1</f>
        <v>196</v>
      </c>
      <c r="B2333" s="270">
        <v>3398</v>
      </c>
      <c r="C2333" s="278" t="s">
        <v>579</v>
      </c>
      <c r="D2333" s="273">
        <v>2693</v>
      </c>
      <c r="E2333" s="267" t="s">
        <v>74</v>
      </c>
      <c r="F2333" s="267">
        <v>5</v>
      </c>
      <c r="G2333" s="270" t="s">
        <v>71</v>
      </c>
      <c r="H2333" s="136" t="s">
        <v>72</v>
      </c>
      <c r="I2333" s="181">
        <f>I2334</f>
        <v>298384.63</v>
      </c>
      <c r="J2333" s="181">
        <f>J2334</f>
        <v>110.8</v>
      </c>
      <c r="K2333" s="181">
        <f>K2334</f>
        <v>169</v>
      </c>
    </row>
    <row r="2334" spans="1:11" ht="61" customHeight="1" x14ac:dyDescent="0.35">
      <c r="A2334" s="271"/>
      <c r="B2334" s="271"/>
      <c r="C2334" s="279"/>
      <c r="D2334" s="274"/>
      <c r="E2334" s="268"/>
      <c r="F2334" s="269"/>
      <c r="G2334" s="271"/>
      <c r="H2334" s="136" t="s">
        <v>673</v>
      </c>
      <c r="I2334" s="181">
        <f>249910.63+D2333*18</f>
        <v>298384.63</v>
      </c>
      <c r="J2334" s="181">
        <f>I2334/D2333</f>
        <v>110.8</v>
      </c>
      <c r="K2334" s="181">
        <f>151+18</f>
        <v>169</v>
      </c>
    </row>
    <row r="2335" spans="1:11" x14ac:dyDescent="0.35">
      <c r="A2335" s="270">
        <f>A2333+1</f>
        <v>197</v>
      </c>
      <c r="B2335" s="270">
        <v>3406</v>
      </c>
      <c r="C2335" s="278" t="s">
        <v>132</v>
      </c>
      <c r="D2335" s="273">
        <v>1229.96</v>
      </c>
      <c r="E2335" s="267" t="s">
        <v>79</v>
      </c>
      <c r="F2335" s="267">
        <v>3</v>
      </c>
      <c r="G2335" s="165"/>
      <c r="H2335" s="136" t="s">
        <v>72</v>
      </c>
      <c r="I2335" s="181">
        <f>I2336+I2337+I2338</f>
        <v>549336.54</v>
      </c>
      <c r="J2335" s="181">
        <f>J2336+J2337+J2338</f>
        <v>446.63</v>
      </c>
      <c r="K2335" s="181">
        <f>K2336+K2337+K2338</f>
        <v>501</v>
      </c>
    </row>
    <row r="2336" spans="1:11" ht="46.5" x14ac:dyDescent="0.35">
      <c r="A2336" s="271"/>
      <c r="B2336" s="271"/>
      <c r="C2336" s="279"/>
      <c r="D2336" s="274"/>
      <c r="E2336" s="268"/>
      <c r="F2336" s="268"/>
      <c r="G2336" s="141" t="s">
        <v>71</v>
      </c>
      <c r="H2336" s="136" t="s">
        <v>673</v>
      </c>
      <c r="I2336" s="181">
        <f>166823.12+D2335*88</f>
        <v>275059.59999999998</v>
      </c>
      <c r="J2336" s="181">
        <f>I2336/D2335+0.01</f>
        <v>223.64</v>
      </c>
      <c r="K2336" s="181">
        <f>164+88</f>
        <v>252</v>
      </c>
    </row>
    <row r="2337" spans="1:11" ht="46.5" x14ac:dyDescent="0.35">
      <c r="A2337" s="271"/>
      <c r="B2337" s="271"/>
      <c r="C2337" s="279"/>
      <c r="D2337" s="274"/>
      <c r="E2337" s="268"/>
      <c r="F2337" s="268"/>
      <c r="G2337" s="141" t="s">
        <v>84</v>
      </c>
      <c r="H2337" s="136" t="s">
        <v>673</v>
      </c>
      <c r="I2337" s="181">
        <f>101206.77+D2335*12</f>
        <v>115966.29</v>
      </c>
      <c r="J2337" s="181">
        <f>I2337/D2335</f>
        <v>94.28</v>
      </c>
      <c r="K2337" s="181">
        <f>85+12</f>
        <v>97</v>
      </c>
    </row>
    <row r="2338" spans="1:11" ht="108.5" x14ac:dyDescent="0.35">
      <c r="A2338" s="272"/>
      <c r="B2338" s="272"/>
      <c r="C2338" s="285"/>
      <c r="D2338" s="275"/>
      <c r="E2338" s="269"/>
      <c r="F2338" s="269"/>
      <c r="G2338" s="141" t="s">
        <v>108</v>
      </c>
      <c r="H2338" s="136" t="s">
        <v>634</v>
      </c>
      <c r="I2338" s="181">
        <f>109112.25+D2335*40</f>
        <v>158310.65</v>
      </c>
      <c r="J2338" s="181">
        <f>I2338/D2335</f>
        <v>128.71</v>
      </c>
      <c r="K2338" s="181">
        <f>112+40</f>
        <v>152</v>
      </c>
    </row>
    <row r="2339" spans="1:11" x14ac:dyDescent="0.35">
      <c r="A2339" s="277">
        <f>A2335+1</f>
        <v>198</v>
      </c>
      <c r="B2339" s="277">
        <v>3408</v>
      </c>
      <c r="C2339" s="286" t="s">
        <v>133</v>
      </c>
      <c r="D2339" s="287">
        <v>3143.51</v>
      </c>
      <c r="E2339" s="276" t="s">
        <v>74</v>
      </c>
      <c r="F2339" s="267">
        <v>5</v>
      </c>
      <c r="G2339" s="277" t="s">
        <v>71</v>
      </c>
      <c r="H2339" s="136" t="s">
        <v>72</v>
      </c>
      <c r="I2339" s="181">
        <f>I2340</f>
        <v>282137.65999999997</v>
      </c>
      <c r="J2339" s="181">
        <f>J2340</f>
        <v>89.75</v>
      </c>
      <c r="K2339" s="181">
        <f>K2340</f>
        <v>169</v>
      </c>
    </row>
    <row r="2340" spans="1:11" ht="46.5" x14ac:dyDescent="0.35">
      <c r="A2340" s="277"/>
      <c r="B2340" s="277"/>
      <c r="C2340" s="286"/>
      <c r="D2340" s="287"/>
      <c r="E2340" s="276"/>
      <c r="F2340" s="269"/>
      <c r="G2340" s="277"/>
      <c r="H2340" s="136" t="s">
        <v>673</v>
      </c>
      <c r="I2340" s="181">
        <f>225554.48+D2339*18</f>
        <v>282137.65999999997</v>
      </c>
      <c r="J2340" s="181">
        <f>I2340/D2339</f>
        <v>89.75</v>
      </c>
      <c r="K2340" s="181">
        <f>151+18</f>
        <v>169</v>
      </c>
    </row>
    <row r="2341" spans="1:11" x14ac:dyDescent="0.35">
      <c r="A2341" s="270">
        <f>A2339+1</f>
        <v>199</v>
      </c>
      <c r="B2341" s="270">
        <v>4365</v>
      </c>
      <c r="C2341" s="278" t="s">
        <v>389</v>
      </c>
      <c r="D2341" s="273">
        <v>1319.4</v>
      </c>
      <c r="E2341" s="273" t="s">
        <v>74</v>
      </c>
      <c r="F2341" s="282">
        <v>3</v>
      </c>
      <c r="G2341" s="277" t="s">
        <v>71</v>
      </c>
      <c r="H2341" s="136" t="s">
        <v>72</v>
      </c>
      <c r="I2341" s="181">
        <f>I2342+I2343+I2344+I2345</f>
        <v>8471867.4000000004</v>
      </c>
      <c r="J2341" s="181">
        <f>J2342+J2343+J2344+J2345</f>
        <v>6421</v>
      </c>
      <c r="K2341" s="181">
        <f>K2342+K2343+K2344+K2345</f>
        <v>6421</v>
      </c>
    </row>
    <row r="2342" spans="1:11" ht="46.5" x14ac:dyDescent="0.35">
      <c r="A2342" s="271"/>
      <c r="B2342" s="271"/>
      <c r="C2342" s="279"/>
      <c r="D2342" s="274"/>
      <c r="E2342" s="274"/>
      <c r="F2342" s="283"/>
      <c r="G2342" s="277"/>
      <c r="H2342" s="136" t="s">
        <v>673</v>
      </c>
      <c r="I2342" s="181">
        <f>D2341*K2342</f>
        <v>1895977.8</v>
      </c>
      <c r="J2342" s="181">
        <f>I2342/D2341</f>
        <v>1437</v>
      </c>
      <c r="K2342" s="181">
        <f>1345+92</f>
        <v>1437</v>
      </c>
    </row>
    <row r="2343" spans="1:11" ht="31" x14ac:dyDescent="0.35">
      <c r="A2343" s="271"/>
      <c r="B2343" s="271"/>
      <c r="C2343" s="279"/>
      <c r="D2343" s="274"/>
      <c r="E2343" s="274"/>
      <c r="F2343" s="283"/>
      <c r="G2343" s="277"/>
      <c r="H2343" s="136" t="s">
        <v>666</v>
      </c>
      <c r="I2343" s="181">
        <f>K2343*D2341</f>
        <v>337766.40000000002</v>
      </c>
      <c r="J2343" s="181">
        <f>I2343/D2341</f>
        <v>256</v>
      </c>
      <c r="K2343" s="181">
        <v>256</v>
      </c>
    </row>
    <row r="2344" spans="1:11" x14ac:dyDescent="0.35">
      <c r="A2344" s="271"/>
      <c r="B2344" s="271"/>
      <c r="C2344" s="279"/>
      <c r="D2344" s="274"/>
      <c r="E2344" s="274"/>
      <c r="F2344" s="283"/>
      <c r="G2344" s="277"/>
      <c r="H2344" s="136" t="s">
        <v>73</v>
      </c>
      <c r="I2344" s="181">
        <f>K2344*D2341</f>
        <v>6107502.5999999996</v>
      </c>
      <c r="J2344" s="181">
        <f>I2344/D2341</f>
        <v>4629</v>
      </c>
      <c r="K2344" s="181">
        <v>4629</v>
      </c>
    </row>
    <row r="2345" spans="1:11" x14ac:dyDescent="0.35">
      <c r="A2345" s="271"/>
      <c r="B2345" s="271"/>
      <c r="C2345" s="279"/>
      <c r="D2345" s="274"/>
      <c r="E2345" s="274"/>
      <c r="F2345" s="283"/>
      <c r="G2345" s="277"/>
      <c r="H2345" s="136" t="s">
        <v>75</v>
      </c>
      <c r="I2345" s="181">
        <f>K2345*D2341</f>
        <v>130620.6</v>
      </c>
      <c r="J2345" s="181">
        <f>I2345/D2341</f>
        <v>99</v>
      </c>
      <c r="K2345" s="181">
        <v>99</v>
      </c>
    </row>
    <row r="2346" spans="1:11" x14ac:dyDescent="0.35">
      <c r="A2346" s="270">
        <f>A2341+1</f>
        <v>200</v>
      </c>
      <c r="B2346" s="270">
        <v>4366</v>
      </c>
      <c r="C2346" s="278" t="s">
        <v>390</v>
      </c>
      <c r="D2346" s="273">
        <v>1864.76</v>
      </c>
      <c r="E2346" s="273" t="s">
        <v>74</v>
      </c>
      <c r="F2346" s="282">
        <v>4</v>
      </c>
      <c r="G2346" s="277" t="s">
        <v>71</v>
      </c>
      <c r="H2346" s="136" t="s">
        <v>72</v>
      </c>
      <c r="I2346" s="181">
        <f>I2347+I2348+I2349</f>
        <v>6514445.7999999998</v>
      </c>
      <c r="J2346" s="181">
        <f>J2347+J2348+J2349</f>
        <v>3493.45</v>
      </c>
      <c r="K2346" s="181">
        <f>K2347+K2348+K2349</f>
        <v>6165</v>
      </c>
    </row>
    <row r="2347" spans="1:11" ht="46.5" x14ac:dyDescent="0.35">
      <c r="A2347" s="271"/>
      <c r="B2347" s="271"/>
      <c r="C2347" s="279"/>
      <c r="D2347" s="274"/>
      <c r="E2347" s="274"/>
      <c r="F2347" s="283"/>
      <c r="G2347" s="277"/>
      <c r="H2347" s="136" t="s">
        <v>673</v>
      </c>
      <c r="I2347" s="181">
        <v>179869.03</v>
      </c>
      <c r="J2347" s="181">
        <f>I2347/D2346</f>
        <v>96.46</v>
      </c>
      <c r="K2347" s="181">
        <f>1345+92</f>
        <v>1437</v>
      </c>
    </row>
    <row r="2348" spans="1:11" x14ac:dyDescent="0.35">
      <c r="A2348" s="271">
        <v>77</v>
      </c>
      <c r="B2348" s="271"/>
      <c r="C2348" s="279"/>
      <c r="D2348" s="274"/>
      <c r="E2348" s="274"/>
      <c r="F2348" s="283"/>
      <c r="G2348" s="277"/>
      <c r="H2348" s="136" t="s">
        <v>73</v>
      </c>
      <c r="I2348" s="181">
        <v>6201857.0300000003</v>
      </c>
      <c r="J2348" s="181">
        <f>I2348/D2346</f>
        <v>3325.82</v>
      </c>
      <c r="K2348" s="181">
        <v>4629</v>
      </c>
    </row>
    <row r="2349" spans="1:11" x14ac:dyDescent="0.35">
      <c r="A2349" s="271">
        <v>78</v>
      </c>
      <c r="B2349" s="271"/>
      <c r="C2349" s="279"/>
      <c r="D2349" s="274"/>
      <c r="E2349" s="274"/>
      <c r="F2349" s="283"/>
      <c r="G2349" s="277"/>
      <c r="H2349" s="136" t="s">
        <v>75</v>
      </c>
      <c r="I2349" s="181">
        <f>I2348*0.0214</f>
        <v>132719.74</v>
      </c>
      <c r="J2349" s="181">
        <f>I2349/D2346</f>
        <v>71.17</v>
      </c>
      <c r="K2349" s="181">
        <v>99</v>
      </c>
    </row>
    <row r="2350" spans="1:11" x14ac:dyDescent="0.35">
      <c r="A2350" s="270">
        <f>A2346+1</f>
        <v>201</v>
      </c>
      <c r="B2350" s="270">
        <v>4367</v>
      </c>
      <c r="C2350" s="278" t="s">
        <v>391</v>
      </c>
      <c r="D2350" s="273">
        <v>723.7</v>
      </c>
      <c r="E2350" s="273" t="s">
        <v>74</v>
      </c>
      <c r="F2350" s="282">
        <v>3</v>
      </c>
      <c r="G2350" s="277" t="s">
        <v>71</v>
      </c>
      <c r="H2350" s="136" t="s">
        <v>72</v>
      </c>
      <c r="I2350" s="181">
        <f>I2351+I2352+I2353+I2354</f>
        <v>4217266.12</v>
      </c>
      <c r="J2350" s="181">
        <f>J2351+J2352+J2353+J2354</f>
        <v>5827.37</v>
      </c>
      <c r="K2350" s="181">
        <f>K2351+K2352+K2353+K2354</f>
        <v>6421</v>
      </c>
    </row>
    <row r="2351" spans="1:11" ht="46.5" x14ac:dyDescent="0.35">
      <c r="A2351" s="271"/>
      <c r="B2351" s="271"/>
      <c r="C2351" s="279"/>
      <c r="D2351" s="274"/>
      <c r="E2351" s="274"/>
      <c r="F2351" s="283"/>
      <c r="G2351" s="277"/>
      <c r="H2351" s="136" t="s">
        <v>673</v>
      </c>
      <c r="I2351" s="181">
        <f>584025.9+49211.6</f>
        <v>633237.5</v>
      </c>
      <c r="J2351" s="181">
        <f>I2351/D2350</f>
        <v>875</v>
      </c>
      <c r="K2351" s="181">
        <f>1345+92</f>
        <v>1437</v>
      </c>
    </row>
    <row r="2352" spans="1:11" ht="31" x14ac:dyDescent="0.35">
      <c r="A2352" s="271"/>
      <c r="B2352" s="271"/>
      <c r="C2352" s="279"/>
      <c r="D2352" s="274"/>
      <c r="E2352" s="274"/>
      <c r="F2352" s="283"/>
      <c r="G2352" s="277"/>
      <c r="H2352" s="136" t="s">
        <v>666</v>
      </c>
      <c r="I2352" s="181">
        <v>162375.01999999999</v>
      </c>
      <c r="J2352" s="181">
        <f>I2352/D2350</f>
        <v>224.37</v>
      </c>
      <c r="K2352" s="181">
        <v>256</v>
      </c>
    </row>
    <row r="2353" spans="1:11" x14ac:dyDescent="0.35">
      <c r="A2353" s="271">
        <v>77</v>
      </c>
      <c r="B2353" s="271"/>
      <c r="C2353" s="279"/>
      <c r="D2353" s="274"/>
      <c r="E2353" s="274"/>
      <c r="F2353" s="283"/>
      <c r="G2353" s="277"/>
      <c r="H2353" s="136" t="s">
        <v>73</v>
      </c>
      <c r="I2353" s="181">
        <f>K2353*D2350</f>
        <v>3350007.3</v>
      </c>
      <c r="J2353" s="181">
        <f>I2353/D2350</f>
        <v>4629</v>
      </c>
      <c r="K2353" s="181">
        <v>4629</v>
      </c>
    </row>
    <row r="2354" spans="1:11" x14ac:dyDescent="0.35">
      <c r="A2354" s="271">
        <v>78</v>
      </c>
      <c r="B2354" s="271"/>
      <c r="C2354" s="279"/>
      <c r="D2354" s="274"/>
      <c r="E2354" s="274"/>
      <c r="F2354" s="283"/>
      <c r="G2354" s="277"/>
      <c r="H2354" s="136" t="s">
        <v>75</v>
      </c>
      <c r="I2354" s="181">
        <f>K2354*D2350</f>
        <v>71646.3</v>
      </c>
      <c r="J2354" s="181">
        <f>I2354/D2350</f>
        <v>99</v>
      </c>
      <c r="K2354" s="181">
        <v>99</v>
      </c>
    </row>
    <row r="2355" spans="1:11" ht="15.5" customHeight="1" x14ac:dyDescent="0.35">
      <c r="A2355" s="270">
        <f>A2350+1</f>
        <v>202</v>
      </c>
      <c r="B2355" s="270">
        <v>3416</v>
      </c>
      <c r="C2355" s="278" t="s">
        <v>134</v>
      </c>
      <c r="D2355" s="273">
        <v>887</v>
      </c>
      <c r="E2355" s="267" t="s">
        <v>74</v>
      </c>
      <c r="F2355" s="267">
        <v>3</v>
      </c>
      <c r="G2355" s="270" t="s">
        <v>84</v>
      </c>
      <c r="H2355" s="136" t="s">
        <v>72</v>
      </c>
      <c r="I2355" s="181">
        <f>I2356+I2357</f>
        <v>60316</v>
      </c>
      <c r="J2355" s="181">
        <f>J2356+J2357</f>
        <v>68</v>
      </c>
      <c r="K2355" s="181">
        <f>K2356+K2357</f>
        <v>68</v>
      </c>
    </row>
    <row r="2356" spans="1:11" ht="46.5" x14ac:dyDescent="0.35">
      <c r="A2356" s="271"/>
      <c r="B2356" s="271"/>
      <c r="C2356" s="279"/>
      <c r="D2356" s="274"/>
      <c r="E2356" s="268"/>
      <c r="F2356" s="268"/>
      <c r="G2356" s="271"/>
      <c r="H2356" s="136" t="s">
        <v>673</v>
      </c>
      <c r="I2356" s="181">
        <f>D2355*K2356</f>
        <v>60316</v>
      </c>
      <c r="J2356" s="181">
        <f>I2356/D2355</f>
        <v>68</v>
      </c>
      <c r="K2356" s="181">
        <f>41+27</f>
        <v>68</v>
      </c>
    </row>
    <row r="2357" spans="1:11" ht="31" x14ac:dyDescent="0.35">
      <c r="A2357" s="271"/>
      <c r="B2357" s="271"/>
      <c r="C2357" s="279"/>
      <c r="D2357" s="274"/>
      <c r="E2357" s="268"/>
      <c r="F2357" s="269"/>
      <c r="G2357" s="271"/>
      <c r="H2357" s="136" t="s">
        <v>666</v>
      </c>
      <c r="I2357" s="181">
        <f>D2355*K2357</f>
        <v>0</v>
      </c>
      <c r="J2357" s="181">
        <f>I2357/D2355</f>
        <v>0</v>
      </c>
      <c r="K2357" s="181">
        <v>0</v>
      </c>
    </row>
    <row r="2358" spans="1:11" ht="15.5" customHeight="1" x14ac:dyDescent="0.35">
      <c r="A2358" s="270">
        <f>A2355+1</f>
        <v>203</v>
      </c>
      <c r="B2358" s="270">
        <v>3417</v>
      </c>
      <c r="C2358" s="278" t="s">
        <v>135</v>
      </c>
      <c r="D2358" s="273">
        <v>921.5</v>
      </c>
      <c r="E2358" s="267" t="s">
        <v>74</v>
      </c>
      <c r="F2358" s="267">
        <v>3</v>
      </c>
      <c r="G2358" s="167"/>
      <c r="H2358" s="136" t="s">
        <v>72</v>
      </c>
      <c r="I2358" s="181">
        <f>I2359+I2360+I2361+I2362</f>
        <v>788804</v>
      </c>
      <c r="J2358" s="181">
        <f>J2359+J2360+J2361+J2362</f>
        <v>856</v>
      </c>
      <c r="K2358" s="181">
        <f>K2359+K2360+K2361+K2362</f>
        <v>856</v>
      </c>
    </row>
    <row r="2359" spans="1:11" ht="46.5" x14ac:dyDescent="0.35">
      <c r="A2359" s="271"/>
      <c r="B2359" s="271"/>
      <c r="C2359" s="279"/>
      <c r="D2359" s="274"/>
      <c r="E2359" s="268"/>
      <c r="F2359" s="268"/>
      <c r="G2359" s="270" t="s">
        <v>84</v>
      </c>
      <c r="H2359" s="136" t="s">
        <v>673</v>
      </c>
      <c r="I2359" s="181">
        <f>D2358*K2359</f>
        <v>62662</v>
      </c>
      <c r="J2359" s="181">
        <f>I2359/D2358</f>
        <v>68</v>
      </c>
      <c r="K2359" s="181">
        <f>41+27</f>
        <v>68</v>
      </c>
    </row>
    <row r="2360" spans="1:11" ht="31" x14ac:dyDescent="0.35">
      <c r="A2360" s="271"/>
      <c r="B2360" s="271"/>
      <c r="C2360" s="279"/>
      <c r="D2360" s="274"/>
      <c r="E2360" s="268"/>
      <c r="F2360" s="268"/>
      <c r="G2360" s="272"/>
      <c r="H2360" s="136" t="s">
        <v>666</v>
      </c>
      <c r="I2360" s="181">
        <f>D2358*K2360</f>
        <v>0</v>
      </c>
      <c r="J2360" s="181">
        <f>I2360/D2358</f>
        <v>0</v>
      </c>
      <c r="K2360" s="181">
        <v>0</v>
      </c>
    </row>
    <row r="2361" spans="1:11" ht="46.5" x14ac:dyDescent="0.35">
      <c r="A2361" s="271"/>
      <c r="B2361" s="271"/>
      <c r="C2361" s="279"/>
      <c r="D2361" s="274"/>
      <c r="E2361" s="268"/>
      <c r="F2361" s="268"/>
      <c r="G2361" s="270" t="s">
        <v>81</v>
      </c>
      <c r="H2361" s="136" t="s">
        <v>634</v>
      </c>
      <c r="I2361" s="181">
        <f>D2358*K2361</f>
        <v>726142</v>
      </c>
      <c r="J2361" s="181">
        <f>I2361/D2358</f>
        <v>788</v>
      </c>
      <c r="K2361" s="181">
        <f>740+48</f>
        <v>788</v>
      </c>
    </row>
    <row r="2362" spans="1:11" ht="31" x14ac:dyDescent="0.35">
      <c r="A2362" s="272"/>
      <c r="B2362" s="272"/>
      <c r="C2362" s="285"/>
      <c r="D2362" s="275"/>
      <c r="E2362" s="269"/>
      <c r="F2362" s="269"/>
      <c r="G2362" s="272"/>
      <c r="H2362" s="136" t="s">
        <v>666</v>
      </c>
      <c r="I2362" s="181">
        <f>D2358*K2362</f>
        <v>0</v>
      </c>
      <c r="J2362" s="181">
        <f>I2362/D2358</f>
        <v>0</v>
      </c>
      <c r="K2362" s="181">
        <v>0</v>
      </c>
    </row>
    <row r="2363" spans="1:11" x14ac:dyDescent="0.35">
      <c r="A2363" s="277">
        <f>A2358+1</f>
        <v>204</v>
      </c>
      <c r="B2363" s="277">
        <v>8156</v>
      </c>
      <c r="C2363" s="286" t="s">
        <v>741</v>
      </c>
      <c r="D2363" s="287">
        <v>3902.7</v>
      </c>
      <c r="E2363" s="276" t="s">
        <v>70</v>
      </c>
      <c r="F2363" s="276">
        <v>5</v>
      </c>
      <c r="G2363" s="277" t="s">
        <v>71</v>
      </c>
      <c r="H2363" s="136" t="s">
        <v>72</v>
      </c>
      <c r="I2363" s="181">
        <f>I2364</f>
        <v>655653.6</v>
      </c>
      <c r="J2363" s="181">
        <f>J2364</f>
        <v>168</v>
      </c>
      <c r="K2363" s="181">
        <f>K2364</f>
        <v>168</v>
      </c>
    </row>
    <row r="2364" spans="1:11" ht="62" x14ac:dyDescent="0.35">
      <c r="A2364" s="277"/>
      <c r="B2364" s="277"/>
      <c r="C2364" s="286"/>
      <c r="D2364" s="287"/>
      <c r="E2364" s="276"/>
      <c r="F2364" s="276"/>
      <c r="G2364" s="277"/>
      <c r="H2364" s="136" t="s">
        <v>761</v>
      </c>
      <c r="I2364" s="181">
        <f>526864.5+D2363*33</f>
        <v>655653.6</v>
      </c>
      <c r="J2364" s="181">
        <f>I2364/D2363</f>
        <v>168</v>
      </c>
      <c r="K2364" s="181">
        <f>135+33</f>
        <v>168</v>
      </c>
    </row>
    <row r="2365" spans="1:11" x14ac:dyDescent="0.35">
      <c r="A2365" s="277">
        <f>A2363+1</f>
        <v>205</v>
      </c>
      <c r="B2365" s="277">
        <v>3147</v>
      </c>
      <c r="C2365" s="286" t="s">
        <v>392</v>
      </c>
      <c r="D2365" s="287">
        <v>7160</v>
      </c>
      <c r="E2365" s="276" t="s">
        <v>70</v>
      </c>
      <c r="F2365" s="276">
        <v>9</v>
      </c>
      <c r="G2365" s="277" t="s">
        <v>71</v>
      </c>
      <c r="H2365" s="136" t="s">
        <v>72</v>
      </c>
      <c r="I2365" s="181">
        <f>I2366</f>
        <v>1174240</v>
      </c>
      <c r="J2365" s="181">
        <f>J2366</f>
        <v>164</v>
      </c>
      <c r="K2365" s="181">
        <f>K2366</f>
        <v>164</v>
      </c>
    </row>
    <row r="2366" spans="1:11" ht="46.5" x14ac:dyDescent="0.35">
      <c r="A2366" s="277"/>
      <c r="B2366" s="277"/>
      <c r="C2366" s="286"/>
      <c r="D2366" s="287"/>
      <c r="E2366" s="276"/>
      <c r="F2366" s="276"/>
      <c r="G2366" s="277"/>
      <c r="H2366" s="136" t="s">
        <v>673</v>
      </c>
      <c r="I2366" s="181">
        <f>1081160+D2365*13</f>
        <v>1174240</v>
      </c>
      <c r="J2366" s="181">
        <f>I2366/D2365</f>
        <v>164</v>
      </c>
      <c r="K2366" s="181">
        <f>151+13</f>
        <v>164</v>
      </c>
    </row>
    <row r="2367" spans="1:11" x14ac:dyDescent="0.35">
      <c r="A2367" s="277">
        <f>A2365+1</f>
        <v>206</v>
      </c>
      <c r="B2367" s="277">
        <v>4254</v>
      </c>
      <c r="C2367" s="286" t="s">
        <v>742</v>
      </c>
      <c r="D2367" s="287">
        <v>4859.2</v>
      </c>
      <c r="E2367" s="276" t="s">
        <v>70</v>
      </c>
      <c r="F2367" s="267">
        <v>10</v>
      </c>
      <c r="G2367" s="146"/>
      <c r="H2367" s="136" t="s">
        <v>72</v>
      </c>
      <c r="I2367" s="181">
        <f>I2368+I2369</f>
        <v>64562</v>
      </c>
      <c r="J2367" s="181">
        <f>J2368+J2369</f>
        <v>13.29</v>
      </c>
      <c r="K2367" s="181">
        <f>K2368+K2369</f>
        <v>13.29</v>
      </c>
    </row>
    <row r="2368" spans="1:11" ht="46.5" x14ac:dyDescent="0.35">
      <c r="A2368" s="277"/>
      <c r="B2368" s="277"/>
      <c r="C2368" s="286"/>
      <c r="D2368" s="287"/>
      <c r="E2368" s="276"/>
      <c r="F2368" s="268"/>
      <c r="G2368" s="141" t="s">
        <v>641</v>
      </c>
      <c r="H2368" s="136" t="s">
        <v>634</v>
      </c>
      <c r="I2368" s="181">
        <v>32281</v>
      </c>
      <c r="J2368" s="181">
        <f>I2368/D2367+0.01</f>
        <v>6.65</v>
      </c>
      <c r="K2368" s="181">
        <f>32281/D2367+0.01</f>
        <v>6.65</v>
      </c>
    </row>
    <row r="2369" spans="1:11" ht="46.5" x14ac:dyDescent="0.35">
      <c r="A2369" s="277"/>
      <c r="B2369" s="277"/>
      <c r="C2369" s="286"/>
      <c r="D2369" s="287"/>
      <c r="E2369" s="276"/>
      <c r="F2369" s="268"/>
      <c r="G2369" s="141" t="s">
        <v>647</v>
      </c>
      <c r="H2369" s="136" t="s">
        <v>634</v>
      </c>
      <c r="I2369" s="181">
        <v>32281</v>
      </c>
      <c r="J2369" s="181">
        <f>I2369/D2367</f>
        <v>6.64</v>
      </c>
      <c r="K2369" s="181">
        <f>32281/D2367</f>
        <v>6.64</v>
      </c>
    </row>
    <row r="2370" spans="1:11" x14ac:dyDescent="0.35">
      <c r="A2370" s="277">
        <f>A2367+1</f>
        <v>207</v>
      </c>
      <c r="B2370" s="277">
        <v>3438</v>
      </c>
      <c r="C2370" s="286" t="s">
        <v>743</v>
      </c>
      <c r="D2370" s="287">
        <v>10071.02</v>
      </c>
      <c r="E2370" s="276" t="s">
        <v>70</v>
      </c>
      <c r="F2370" s="276">
        <v>9</v>
      </c>
      <c r="G2370" s="277" t="s">
        <v>71</v>
      </c>
      <c r="H2370" s="136" t="s">
        <v>72</v>
      </c>
      <c r="I2370" s="181">
        <f>I2371</f>
        <v>1651647.28</v>
      </c>
      <c r="J2370" s="181">
        <f>J2371</f>
        <v>164</v>
      </c>
      <c r="K2370" s="181">
        <f>K2371</f>
        <v>164</v>
      </c>
    </row>
    <row r="2371" spans="1:11" ht="46.5" x14ac:dyDescent="0.35">
      <c r="A2371" s="277"/>
      <c r="B2371" s="277"/>
      <c r="C2371" s="286"/>
      <c r="D2371" s="287"/>
      <c r="E2371" s="276"/>
      <c r="F2371" s="276"/>
      <c r="G2371" s="277"/>
      <c r="H2371" s="136" t="s">
        <v>673</v>
      </c>
      <c r="I2371" s="181">
        <f>1520724.02+D2370*13</f>
        <v>1651647.28</v>
      </c>
      <c r="J2371" s="181">
        <f>I2371/D2370</f>
        <v>164</v>
      </c>
      <c r="K2371" s="181">
        <f>151+13</f>
        <v>164</v>
      </c>
    </row>
    <row r="2372" spans="1:11" x14ac:dyDescent="0.35">
      <c r="A2372" s="277">
        <f>A2370+1</f>
        <v>208</v>
      </c>
      <c r="B2372" s="277">
        <v>8032</v>
      </c>
      <c r="C2372" s="286" t="s">
        <v>582</v>
      </c>
      <c r="D2372" s="287">
        <v>2459.3000000000002</v>
      </c>
      <c r="E2372" s="276" t="s">
        <v>74</v>
      </c>
      <c r="F2372" s="267">
        <v>9</v>
      </c>
      <c r="G2372" s="146"/>
      <c r="H2372" s="136" t="s">
        <v>72</v>
      </c>
      <c r="I2372" s="181">
        <f>I2373+I2374+I2375</f>
        <v>1316474.8999999999</v>
      </c>
      <c r="J2372" s="181">
        <f>J2373+J2374+J2375</f>
        <v>535.29999999999995</v>
      </c>
      <c r="K2372" s="181">
        <f>K2373+K2374+K2375</f>
        <v>722.85</v>
      </c>
    </row>
    <row r="2373" spans="1:11" ht="46.5" x14ac:dyDescent="0.35">
      <c r="A2373" s="277"/>
      <c r="B2373" s="277"/>
      <c r="C2373" s="286"/>
      <c r="D2373" s="287"/>
      <c r="E2373" s="276"/>
      <c r="F2373" s="268"/>
      <c r="G2373" s="270" t="s">
        <v>641</v>
      </c>
      <c r="H2373" s="136" t="s">
        <v>634</v>
      </c>
      <c r="I2373" s="181">
        <v>0</v>
      </c>
      <c r="J2373" s="181">
        <f>I2373/D2372</f>
        <v>0</v>
      </c>
      <c r="K2373" s="181">
        <f>32281/D2372</f>
        <v>13.13</v>
      </c>
    </row>
    <row r="2374" spans="1:11" x14ac:dyDescent="0.35">
      <c r="A2374" s="277">
        <v>756</v>
      </c>
      <c r="B2374" s="277"/>
      <c r="C2374" s="286"/>
      <c r="D2374" s="287"/>
      <c r="E2374" s="276"/>
      <c r="F2374" s="268"/>
      <c r="G2374" s="271"/>
      <c r="H2374" s="136" t="s">
        <v>642</v>
      </c>
      <c r="I2374" s="181">
        <v>1279905.8999999999</v>
      </c>
      <c r="J2374" s="181">
        <f>I2374/D2372-0.01</f>
        <v>520.42999999999995</v>
      </c>
      <c r="K2374" s="181">
        <f>1708823/D2372+0.01</f>
        <v>694.85</v>
      </c>
    </row>
    <row r="2375" spans="1:11" x14ac:dyDescent="0.35">
      <c r="A2375" s="277">
        <v>757</v>
      </c>
      <c r="B2375" s="277"/>
      <c r="C2375" s="286"/>
      <c r="D2375" s="287"/>
      <c r="E2375" s="276"/>
      <c r="F2375" s="269"/>
      <c r="G2375" s="272"/>
      <c r="H2375" s="136" t="s">
        <v>75</v>
      </c>
      <c r="I2375" s="181">
        <v>36569</v>
      </c>
      <c r="J2375" s="181">
        <f>I2375/D2372</f>
        <v>14.87</v>
      </c>
      <c r="K2375" s="181">
        <f>36569/D2372</f>
        <v>14.87</v>
      </c>
    </row>
    <row r="2376" spans="1:11" x14ac:dyDescent="0.35">
      <c r="A2376" s="277">
        <f>A2372+1</f>
        <v>209</v>
      </c>
      <c r="B2376" s="277">
        <v>2427</v>
      </c>
      <c r="C2376" s="286" t="s">
        <v>136</v>
      </c>
      <c r="D2376" s="287">
        <v>3713.1</v>
      </c>
      <c r="E2376" s="276" t="s">
        <v>74</v>
      </c>
      <c r="F2376" s="276">
        <v>5</v>
      </c>
      <c r="G2376" s="277" t="s">
        <v>71</v>
      </c>
      <c r="H2376" s="136" t="s">
        <v>72</v>
      </c>
      <c r="I2376" s="181">
        <f>I2377</f>
        <v>210833.21</v>
      </c>
      <c r="J2376" s="181">
        <f>J2377</f>
        <v>56.78</v>
      </c>
      <c r="K2376" s="181">
        <f>K2377</f>
        <v>169</v>
      </c>
    </row>
    <row r="2377" spans="1:11" ht="46.5" x14ac:dyDescent="0.35">
      <c r="A2377" s="277"/>
      <c r="B2377" s="277"/>
      <c r="C2377" s="286"/>
      <c r="D2377" s="287"/>
      <c r="E2377" s="276"/>
      <c r="F2377" s="276"/>
      <c r="G2377" s="277"/>
      <c r="H2377" s="136" t="s">
        <v>673</v>
      </c>
      <c r="I2377" s="181">
        <f>143997.41+D2376*18</f>
        <v>210833.21</v>
      </c>
      <c r="J2377" s="181">
        <f>I2377/D2376</f>
        <v>56.78</v>
      </c>
      <c r="K2377" s="181">
        <f>151+18</f>
        <v>169</v>
      </c>
    </row>
    <row r="2378" spans="1:11" x14ac:dyDescent="0.35">
      <c r="A2378" s="277">
        <f>A2376+1</f>
        <v>210</v>
      </c>
      <c r="B2378" s="277">
        <v>2258</v>
      </c>
      <c r="C2378" s="286" t="s">
        <v>394</v>
      </c>
      <c r="D2378" s="287">
        <v>4516</v>
      </c>
      <c r="E2378" s="276" t="s">
        <v>74</v>
      </c>
      <c r="F2378" s="276">
        <v>5</v>
      </c>
      <c r="G2378" s="277" t="s">
        <v>71</v>
      </c>
      <c r="H2378" s="136" t="s">
        <v>72</v>
      </c>
      <c r="I2378" s="181">
        <f>I2379+I2380</f>
        <v>7341250.8899999997</v>
      </c>
      <c r="J2378" s="181">
        <f>J2379+J2380</f>
        <v>1625.61</v>
      </c>
      <c r="K2378" s="181">
        <f>K2379+K2380</f>
        <v>3242</v>
      </c>
    </row>
    <row r="2379" spans="1:11" x14ac:dyDescent="0.35">
      <c r="A2379" s="277">
        <v>77</v>
      </c>
      <c r="B2379" s="277"/>
      <c r="C2379" s="286"/>
      <c r="D2379" s="287"/>
      <c r="E2379" s="276"/>
      <c r="F2379" s="276"/>
      <c r="G2379" s="277"/>
      <c r="H2379" s="136" t="s">
        <v>73</v>
      </c>
      <c r="I2379" s="181">
        <f>10176394.36*0.7</f>
        <v>7123476.0499999998</v>
      </c>
      <c r="J2379" s="181">
        <f>I2379/D2378</f>
        <v>1577.39</v>
      </c>
      <c r="K2379" s="181">
        <f>3174</f>
        <v>3174</v>
      </c>
    </row>
    <row r="2380" spans="1:11" x14ac:dyDescent="0.35">
      <c r="A2380" s="277">
        <v>78</v>
      </c>
      <c r="B2380" s="277"/>
      <c r="C2380" s="286"/>
      <c r="D2380" s="287"/>
      <c r="E2380" s="276"/>
      <c r="F2380" s="276"/>
      <c r="G2380" s="277"/>
      <c r="H2380" s="136" t="s">
        <v>75</v>
      </c>
      <c r="I2380" s="181">
        <f>10176394.36*0.0214</f>
        <v>217774.84</v>
      </c>
      <c r="J2380" s="181">
        <f>I2380/D2378</f>
        <v>48.22</v>
      </c>
      <c r="K2380" s="181">
        <v>68</v>
      </c>
    </row>
    <row r="2381" spans="1:11" x14ac:dyDescent="0.35">
      <c r="A2381" s="277">
        <f>A2378+1</f>
        <v>211</v>
      </c>
      <c r="B2381" s="277">
        <v>8169</v>
      </c>
      <c r="C2381" s="286" t="s">
        <v>583</v>
      </c>
      <c r="D2381" s="287">
        <v>3616.91</v>
      </c>
      <c r="E2381" s="276" t="s">
        <v>74</v>
      </c>
      <c r="F2381" s="276">
        <v>4</v>
      </c>
      <c r="G2381" s="277" t="s">
        <v>71</v>
      </c>
      <c r="H2381" s="136" t="s">
        <v>72</v>
      </c>
      <c r="I2381" s="181">
        <f>I2382</f>
        <v>519075.47</v>
      </c>
      <c r="J2381" s="181">
        <f>J2382</f>
        <v>143.51</v>
      </c>
      <c r="K2381" s="181">
        <f>K2382</f>
        <v>239</v>
      </c>
    </row>
    <row r="2382" spans="1:11" ht="46.5" x14ac:dyDescent="0.35">
      <c r="A2382" s="277"/>
      <c r="B2382" s="277"/>
      <c r="C2382" s="286"/>
      <c r="D2382" s="287"/>
      <c r="E2382" s="276"/>
      <c r="F2382" s="276"/>
      <c r="G2382" s="277"/>
      <c r="H2382" s="136" t="s">
        <v>673</v>
      </c>
      <c r="I2382" s="181">
        <f>200787.39+D2381*88</f>
        <v>519075.47</v>
      </c>
      <c r="J2382" s="181">
        <f>I2382/D2381</f>
        <v>143.51</v>
      </c>
      <c r="K2382" s="181">
        <f>151+88</f>
        <v>239</v>
      </c>
    </row>
    <row r="2383" spans="1:11" x14ac:dyDescent="0.35">
      <c r="A2383" s="277">
        <f>A2381+1</f>
        <v>212</v>
      </c>
      <c r="B2383" s="277">
        <v>2345</v>
      </c>
      <c r="C2383" s="286" t="s">
        <v>397</v>
      </c>
      <c r="D2383" s="287">
        <v>2866.7</v>
      </c>
      <c r="E2383" s="276" t="s">
        <v>70</v>
      </c>
      <c r="F2383" s="276">
        <v>5</v>
      </c>
      <c r="G2383" s="277" t="s">
        <v>71</v>
      </c>
      <c r="H2383" s="136" t="s">
        <v>72</v>
      </c>
      <c r="I2383" s="181">
        <f>I2384+I2385</f>
        <v>6044549.9900000002</v>
      </c>
      <c r="J2383" s="181">
        <f>J2384+J2385</f>
        <v>2108.54</v>
      </c>
      <c r="K2383" s="181">
        <f>K2384+K2385</f>
        <v>3449</v>
      </c>
    </row>
    <row r="2384" spans="1:11" ht="31" x14ac:dyDescent="0.35">
      <c r="A2384" s="277">
        <v>77</v>
      </c>
      <c r="B2384" s="277"/>
      <c r="C2384" s="286"/>
      <c r="D2384" s="287"/>
      <c r="E2384" s="276"/>
      <c r="F2384" s="276"/>
      <c r="G2384" s="277"/>
      <c r="H2384" s="136" t="s">
        <v>85</v>
      </c>
      <c r="I2384" s="181">
        <f>8378915.99*0.7</f>
        <v>5865241.1900000004</v>
      </c>
      <c r="J2384" s="181">
        <f>I2384/D2383</f>
        <v>2045.99</v>
      </c>
      <c r="K2384" s="181">
        <v>3377</v>
      </c>
    </row>
    <row r="2385" spans="1:11" x14ac:dyDescent="0.35">
      <c r="A2385" s="277">
        <v>78</v>
      </c>
      <c r="B2385" s="277"/>
      <c r="C2385" s="286"/>
      <c r="D2385" s="287"/>
      <c r="E2385" s="276"/>
      <c r="F2385" s="276"/>
      <c r="G2385" s="277"/>
      <c r="H2385" s="136" t="s">
        <v>75</v>
      </c>
      <c r="I2385" s="181">
        <f>8378915.99*0.0214</f>
        <v>179308.79999999999</v>
      </c>
      <c r="J2385" s="181">
        <f>I2385/D2383</f>
        <v>62.55</v>
      </c>
      <c r="K2385" s="181">
        <v>72</v>
      </c>
    </row>
    <row r="2386" spans="1:11" ht="13.5" customHeight="1" x14ac:dyDescent="0.35">
      <c r="A2386" s="277">
        <f>A2383+1</f>
        <v>213</v>
      </c>
      <c r="B2386" s="277">
        <v>2213</v>
      </c>
      <c r="C2386" s="286" t="s">
        <v>398</v>
      </c>
      <c r="D2386" s="287">
        <v>3314</v>
      </c>
      <c r="E2386" s="276" t="s">
        <v>70</v>
      </c>
      <c r="F2386" s="276">
        <v>5</v>
      </c>
      <c r="G2386" s="277" t="s">
        <v>71</v>
      </c>
      <c r="H2386" s="136" t="s">
        <v>72</v>
      </c>
      <c r="I2386" s="181">
        <f>I2387+I2388</f>
        <v>7809843.5499999998</v>
      </c>
      <c r="J2386" s="181">
        <f>J2387+J2388</f>
        <v>2356.62</v>
      </c>
      <c r="K2386" s="181">
        <f>K2387+K2388</f>
        <v>3449</v>
      </c>
    </row>
    <row r="2387" spans="1:11" ht="31" x14ac:dyDescent="0.35">
      <c r="A2387" s="277">
        <v>77</v>
      </c>
      <c r="B2387" s="277"/>
      <c r="C2387" s="286"/>
      <c r="D2387" s="287"/>
      <c r="E2387" s="276"/>
      <c r="F2387" s="276"/>
      <c r="G2387" s="277"/>
      <c r="H2387" s="136" t="s">
        <v>85</v>
      </c>
      <c r="I2387" s="181">
        <f>10825954.46*0.7</f>
        <v>7578168.1200000001</v>
      </c>
      <c r="J2387" s="181">
        <f>I2387/D2386</f>
        <v>2286.71</v>
      </c>
      <c r="K2387" s="181">
        <v>3377</v>
      </c>
    </row>
    <row r="2388" spans="1:11" x14ac:dyDescent="0.35">
      <c r="A2388" s="277">
        <v>78</v>
      </c>
      <c r="B2388" s="277"/>
      <c r="C2388" s="286"/>
      <c r="D2388" s="287"/>
      <c r="E2388" s="276"/>
      <c r="F2388" s="276"/>
      <c r="G2388" s="277"/>
      <c r="H2388" s="136" t="s">
        <v>75</v>
      </c>
      <c r="I2388" s="181">
        <f>10825954.46*0.0214</f>
        <v>231675.43</v>
      </c>
      <c r="J2388" s="181">
        <f>I2388/D2386</f>
        <v>69.91</v>
      </c>
      <c r="K2388" s="181">
        <v>72</v>
      </c>
    </row>
    <row r="2389" spans="1:11" ht="13.5" customHeight="1" x14ac:dyDescent="0.35">
      <c r="A2389" s="277">
        <f>A2386+1</f>
        <v>214</v>
      </c>
      <c r="B2389" s="277">
        <v>2215</v>
      </c>
      <c r="C2389" s="286" t="s">
        <v>399</v>
      </c>
      <c r="D2389" s="287">
        <v>3550.3</v>
      </c>
      <c r="E2389" s="276" t="s">
        <v>70</v>
      </c>
      <c r="F2389" s="276">
        <v>5</v>
      </c>
      <c r="G2389" s="277" t="s">
        <v>71</v>
      </c>
      <c r="H2389" s="136" t="s">
        <v>72</v>
      </c>
      <c r="I2389" s="181">
        <f>I2390+I2391</f>
        <v>6101584.9299999997</v>
      </c>
      <c r="J2389" s="181">
        <f>J2390+J2391</f>
        <v>1718.61</v>
      </c>
      <c r="K2389" s="181">
        <f>K2390+K2391</f>
        <v>3242</v>
      </c>
    </row>
    <row r="2390" spans="1:11" x14ac:dyDescent="0.35">
      <c r="A2390" s="277">
        <v>77</v>
      </c>
      <c r="B2390" s="277"/>
      <c r="C2390" s="286"/>
      <c r="D2390" s="287"/>
      <c r="E2390" s="276"/>
      <c r="F2390" s="276"/>
      <c r="G2390" s="277"/>
      <c r="H2390" s="136" t="s">
        <v>73</v>
      </c>
      <c r="I2390" s="181">
        <f>8457977.44*0.7</f>
        <v>5920584.21</v>
      </c>
      <c r="J2390" s="181">
        <f>I2390/D2389</f>
        <v>1667.63</v>
      </c>
      <c r="K2390" s="181">
        <f>3174</f>
        <v>3174</v>
      </c>
    </row>
    <row r="2391" spans="1:11" x14ac:dyDescent="0.35">
      <c r="A2391" s="277">
        <v>78</v>
      </c>
      <c r="B2391" s="277"/>
      <c r="C2391" s="286"/>
      <c r="D2391" s="287"/>
      <c r="E2391" s="276"/>
      <c r="F2391" s="276"/>
      <c r="G2391" s="277"/>
      <c r="H2391" s="136" t="s">
        <v>75</v>
      </c>
      <c r="I2391" s="181">
        <f>8457977.44*0.0214</f>
        <v>181000.72</v>
      </c>
      <c r="J2391" s="181">
        <f>I2391/D2389</f>
        <v>50.98</v>
      </c>
      <c r="K2391" s="181">
        <v>68</v>
      </c>
    </row>
    <row r="2392" spans="1:11" x14ac:dyDescent="0.35">
      <c r="A2392" s="277">
        <f>A2389+1</f>
        <v>215</v>
      </c>
      <c r="B2392" s="277">
        <v>2475</v>
      </c>
      <c r="C2392" s="286" t="s">
        <v>584</v>
      </c>
      <c r="D2392" s="287">
        <v>14771.39</v>
      </c>
      <c r="E2392" s="287" t="s">
        <v>70</v>
      </c>
      <c r="F2392" s="304">
        <v>10</v>
      </c>
      <c r="G2392" s="146"/>
      <c r="H2392" s="136" t="s">
        <v>72</v>
      </c>
      <c r="I2392" s="181">
        <f>I2393+I2394+I2395+I2396+I2397+I2398</f>
        <v>2636363.5</v>
      </c>
      <c r="J2392" s="181">
        <f>J2393+J2394+J2395+J2396+J2397+J2398</f>
        <v>178.48</v>
      </c>
      <c r="K2392" s="181">
        <f>K2393+K2394+K2395+K2396+K2397+K2398</f>
        <v>240.69</v>
      </c>
    </row>
    <row r="2393" spans="1:11" ht="46.5" x14ac:dyDescent="0.35">
      <c r="A2393" s="277"/>
      <c r="B2393" s="277"/>
      <c r="C2393" s="286"/>
      <c r="D2393" s="287"/>
      <c r="E2393" s="287"/>
      <c r="F2393" s="304"/>
      <c r="G2393" s="270" t="s">
        <v>650</v>
      </c>
      <c r="H2393" s="136" t="s">
        <v>634</v>
      </c>
      <c r="I2393" s="181">
        <v>0</v>
      </c>
      <c r="J2393" s="181">
        <f>I2393/D2392</f>
        <v>0</v>
      </c>
      <c r="K2393" s="181">
        <f>32281/D2392-0.01</f>
        <v>2.1800000000000002</v>
      </c>
    </row>
    <row r="2394" spans="1:11" x14ac:dyDescent="0.35">
      <c r="A2394" s="277">
        <v>756</v>
      </c>
      <c r="B2394" s="277"/>
      <c r="C2394" s="286"/>
      <c r="D2394" s="287"/>
      <c r="E2394" s="287"/>
      <c r="F2394" s="304"/>
      <c r="G2394" s="271"/>
      <c r="H2394" s="136" t="s">
        <v>642</v>
      </c>
      <c r="I2394" s="181">
        <v>1281612.75</v>
      </c>
      <c r="J2394" s="181">
        <f>I2394/D2392</f>
        <v>86.76</v>
      </c>
      <c r="K2394" s="181">
        <f>1708823/D2392</f>
        <v>115.68</v>
      </c>
    </row>
    <row r="2395" spans="1:11" x14ac:dyDescent="0.35">
      <c r="A2395" s="277">
        <v>757</v>
      </c>
      <c r="B2395" s="277"/>
      <c r="C2395" s="286"/>
      <c r="D2395" s="287"/>
      <c r="E2395" s="287"/>
      <c r="F2395" s="304"/>
      <c r="G2395" s="272"/>
      <c r="H2395" s="136" t="s">
        <v>75</v>
      </c>
      <c r="I2395" s="181">
        <v>36569</v>
      </c>
      <c r="J2395" s="181">
        <f>I2395/D2392</f>
        <v>2.48</v>
      </c>
      <c r="K2395" s="181">
        <f>36569/D2392</f>
        <v>2.48</v>
      </c>
    </row>
    <row r="2396" spans="1:11" ht="46.5" x14ac:dyDescent="0.35">
      <c r="A2396" s="277"/>
      <c r="B2396" s="277"/>
      <c r="C2396" s="286"/>
      <c r="D2396" s="287"/>
      <c r="E2396" s="287"/>
      <c r="F2396" s="304"/>
      <c r="G2396" s="270" t="s">
        <v>651</v>
      </c>
      <c r="H2396" s="136" t="s">
        <v>634</v>
      </c>
      <c r="I2396" s="181">
        <v>0</v>
      </c>
      <c r="J2396" s="181">
        <f>I2396/D2392</f>
        <v>0</v>
      </c>
      <c r="K2396" s="181">
        <f>32281/D2392</f>
        <v>2.19</v>
      </c>
    </row>
    <row r="2397" spans="1:11" x14ac:dyDescent="0.35">
      <c r="A2397" s="277"/>
      <c r="B2397" s="277"/>
      <c r="C2397" s="286"/>
      <c r="D2397" s="287"/>
      <c r="E2397" s="287"/>
      <c r="F2397" s="304"/>
      <c r="G2397" s="271"/>
      <c r="H2397" s="136" t="s">
        <v>642</v>
      </c>
      <c r="I2397" s="181">
        <v>1281612.75</v>
      </c>
      <c r="J2397" s="181">
        <f>I2397/D2392</f>
        <v>86.76</v>
      </c>
      <c r="K2397" s="181">
        <f>1708823/D2392</f>
        <v>115.68</v>
      </c>
    </row>
    <row r="2398" spans="1:11" x14ac:dyDescent="0.35">
      <c r="A2398" s="277"/>
      <c r="B2398" s="277"/>
      <c r="C2398" s="286"/>
      <c r="D2398" s="287"/>
      <c r="E2398" s="287"/>
      <c r="F2398" s="304"/>
      <c r="G2398" s="272"/>
      <c r="H2398" s="136" t="s">
        <v>75</v>
      </c>
      <c r="I2398" s="181">
        <v>36569</v>
      </c>
      <c r="J2398" s="181">
        <f>I2398/D2392</f>
        <v>2.48</v>
      </c>
      <c r="K2398" s="181">
        <f>36569/D2392</f>
        <v>2.48</v>
      </c>
    </row>
    <row r="2399" spans="1:11" x14ac:dyDescent="0.35">
      <c r="A2399" s="277">
        <f>A2392+1</f>
        <v>216</v>
      </c>
      <c r="B2399" s="277">
        <v>2217</v>
      </c>
      <c r="C2399" s="286" t="s">
        <v>400</v>
      </c>
      <c r="D2399" s="287">
        <v>3563</v>
      </c>
      <c r="E2399" s="276" t="s">
        <v>70</v>
      </c>
      <c r="F2399" s="276">
        <v>5</v>
      </c>
      <c r="G2399" s="277" t="s">
        <v>71</v>
      </c>
      <c r="H2399" s="136" t="s">
        <v>72</v>
      </c>
      <c r="I2399" s="181">
        <f>I2400+I2401</f>
        <v>6151722.2300000004</v>
      </c>
      <c r="J2399" s="181">
        <f>J2400+J2401</f>
        <v>1726.56</v>
      </c>
      <c r="K2399" s="181">
        <f>K2400+K2401</f>
        <v>3242</v>
      </c>
    </row>
    <row r="2400" spans="1:11" x14ac:dyDescent="0.35">
      <c r="A2400" s="277">
        <v>77</v>
      </c>
      <c r="B2400" s="277"/>
      <c r="C2400" s="286"/>
      <c r="D2400" s="287"/>
      <c r="E2400" s="276"/>
      <c r="F2400" s="276"/>
      <c r="G2400" s="277"/>
      <c r="H2400" s="136" t="s">
        <v>73</v>
      </c>
      <c r="I2400" s="181">
        <f>8527477.44*0.7</f>
        <v>5969234.21</v>
      </c>
      <c r="J2400" s="181">
        <f>I2400/D2399</f>
        <v>1675.34</v>
      </c>
      <c r="K2400" s="181">
        <f>3174</f>
        <v>3174</v>
      </c>
    </row>
    <row r="2401" spans="1:11" x14ac:dyDescent="0.35">
      <c r="A2401" s="277">
        <v>78</v>
      </c>
      <c r="B2401" s="277"/>
      <c r="C2401" s="286"/>
      <c r="D2401" s="287"/>
      <c r="E2401" s="276"/>
      <c r="F2401" s="276"/>
      <c r="G2401" s="277"/>
      <c r="H2401" s="136" t="s">
        <v>75</v>
      </c>
      <c r="I2401" s="181">
        <f>8527477.44*0.0214</f>
        <v>182488.02</v>
      </c>
      <c r="J2401" s="181">
        <f>I2401/D2399</f>
        <v>51.22</v>
      </c>
      <c r="K2401" s="181">
        <v>68</v>
      </c>
    </row>
    <row r="2402" spans="1:11" x14ac:dyDescent="0.35">
      <c r="A2402" s="270">
        <f>A2399+1</f>
        <v>217</v>
      </c>
      <c r="B2402" s="270">
        <v>2536</v>
      </c>
      <c r="C2402" s="278" t="s">
        <v>137</v>
      </c>
      <c r="D2402" s="273">
        <v>775.9</v>
      </c>
      <c r="E2402" s="267" t="s">
        <v>79</v>
      </c>
      <c r="F2402" s="267">
        <v>3</v>
      </c>
      <c r="G2402" s="270" t="s">
        <v>84</v>
      </c>
      <c r="H2402" s="136" t="s">
        <v>72</v>
      </c>
      <c r="I2402" s="181">
        <f>I2403</f>
        <v>118882.38</v>
      </c>
      <c r="J2402" s="181">
        <f>J2403</f>
        <v>153.22</v>
      </c>
      <c r="K2402" s="181">
        <f>K2403</f>
        <v>223</v>
      </c>
    </row>
    <row r="2403" spans="1:11" ht="46.5" x14ac:dyDescent="0.35">
      <c r="A2403" s="271"/>
      <c r="B2403" s="271"/>
      <c r="C2403" s="279"/>
      <c r="D2403" s="274"/>
      <c r="E2403" s="268"/>
      <c r="F2403" s="268"/>
      <c r="G2403" s="271"/>
      <c r="H2403" s="136" t="s">
        <v>673</v>
      </c>
      <c r="I2403" s="181">
        <f>97933.08+D2402*27</f>
        <v>118882.38</v>
      </c>
      <c r="J2403" s="181">
        <f>I2403/D2402</f>
        <v>153.22</v>
      </c>
      <c r="K2403" s="181">
        <f>196+27</f>
        <v>223</v>
      </c>
    </row>
    <row r="2404" spans="1:11" x14ac:dyDescent="0.35">
      <c r="A2404" s="277">
        <f>A2402+1</f>
        <v>218</v>
      </c>
      <c r="B2404" s="277">
        <v>2409</v>
      </c>
      <c r="C2404" s="286" t="s">
        <v>138</v>
      </c>
      <c r="D2404" s="287">
        <v>2414.56</v>
      </c>
      <c r="E2404" s="287" t="s">
        <v>74</v>
      </c>
      <c r="F2404" s="304">
        <v>5</v>
      </c>
      <c r="G2404" s="277" t="s">
        <v>71</v>
      </c>
      <c r="H2404" s="136" t="s">
        <v>72</v>
      </c>
      <c r="I2404" s="181">
        <f>I2405</f>
        <v>233842.02</v>
      </c>
      <c r="J2404" s="181">
        <f>J2405</f>
        <v>96.85</v>
      </c>
      <c r="K2404" s="181">
        <f>K2405</f>
        <v>169</v>
      </c>
    </row>
    <row r="2405" spans="1:11" ht="46.5" x14ac:dyDescent="0.35">
      <c r="A2405" s="277"/>
      <c r="B2405" s="277"/>
      <c r="C2405" s="286"/>
      <c r="D2405" s="287"/>
      <c r="E2405" s="287"/>
      <c r="F2405" s="304"/>
      <c r="G2405" s="277"/>
      <c r="H2405" s="136" t="s">
        <v>673</v>
      </c>
      <c r="I2405" s="181">
        <v>233842.02</v>
      </c>
      <c r="J2405" s="181">
        <f>I2405/D2404</f>
        <v>96.85</v>
      </c>
      <c r="K2405" s="181">
        <f>151+18</f>
        <v>169</v>
      </c>
    </row>
    <row r="2406" spans="1:11" x14ac:dyDescent="0.35">
      <c r="A2406" s="277">
        <f>A2404+1</f>
        <v>219</v>
      </c>
      <c r="B2406" s="277">
        <v>2222</v>
      </c>
      <c r="C2406" s="286" t="s">
        <v>403</v>
      </c>
      <c r="D2406" s="287">
        <v>5780.42</v>
      </c>
      <c r="E2406" s="276" t="s">
        <v>70</v>
      </c>
      <c r="F2406" s="276">
        <v>5</v>
      </c>
      <c r="G2406" s="277" t="s">
        <v>71</v>
      </c>
      <c r="H2406" s="136" t="s">
        <v>72</v>
      </c>
      <c r="I2406" s="181">
        <f>I2407+I2408</f>
        <v>9625047.9100000001</v>
      </c>
      <c r="J2406" s="181">
        <f>J2407+J2408</f>
        <v>1665.11</v>
      </c>
      <c r="K2406" s="181">
        <f>K2407+K2408</f>
        <v>3449</v>
      </c>
    </row>
    <row r="2407" spans="1:11" ht="31" x14ac:dyDescent="0.35">
      <c r="A2407" s="277">
        <v>77</v>
      </c>
      <c r="B2407" s="277"/>
      <c r="C2407" s="286"/>
      <c r="D2407" s="287"/>
      <c r="E2407" s="276"/>
      <c r="F2407" s="276"/>
      <c r="G2407" s="277"/>
      <c r="H2407" s="136" t="s">
        <v>85</v>
      </c>
      <c r="I2407" s="181">
        <f>13342178.97*0.7</f>
        <v>9339525.2799999993</v>
      </c>
      <c r="J2407" s="181">
        <f>I2407/D2406</f>
        <v>1615.72</v>
      </c>
      <c r="K2407" s="181">
        <v>3377</v>
      </c>
    </row>
    <row r="2408" spans="1:11" x14ac:dyDescent="0.35">
      <c r="A2408" s="277">
        <v>78</v>
      </c>
      <c r="B2408" s="277"/>
      <c r="C2408" s="286"/>
      <c r="D2408" s="287"/>
      <c r="E2408" s="276"/>
      <c r="F2408" s="276"/>
      <c r="G2408" s="277"/>
      <c r="H2408" s="136" t="s">
        <v>75</v>
      </c>
      <c r="I2408" s="181">
        <f>13342178.97*0.0214</f>
        <v>285522.63</v>
      </c>
      <c r="J2408" s="181">
        <f>I2408/D2406</f>
        <v>49.39</v>
      </c>
      <c r="K2408" s="181">
        <v>72</v>
      </c>
    </row>
    <row r="2409" spans="1:11" x14ac:dyDescent="0.35">
      <c r="A2409" s="277">
        <f>A2406+1</f>
        <v>220</v>
      </c>
      <c r="B2409" s="277">
        <v>2223</v>
      </c>
      <c r="C2409" s="286" t="s">
        <v>404</v>
      </c>
      <c r="D2409" s="287">
        <v>4630</v>
      </c>
      <c r="E2409" s="276" t="s">
        <v>74</v>
      </c>
      <c r="F2409" s="276">
        <v>5</v>
      </c>
      <c r="G2409" s="277" t="s">
        <v>71</v>
      </c>
      <c r="H2409" s="136" t="s">
        <v>72</v>
      </c>
      <c r="I2409" s="181">
        <f>I2410+I2411</f>
        <v>6729006.3899999997</v>
      </c>
      <c r="J2409" s="181">
        <f>J2410+J2411</f>
        <v>1453.35</v>
      </c>
      <c r="K2409" s="181">
        <f>K2410+K2411</f>
        <v>3242</v>
      </c>
    </row>
    <row r="2410" spans="1:11" x14ac:dyDescent="0.35">
      <c r="A2410" s="277">
        <v>77</v>
      </c>
      <c r="B2410" s="277"/>
      <c r="C2410" s="286"/>
      <c r="D2410" s="287"/>
      <c r="E2410" s="276"/>
      <c r="F2410" s="276"/>
      <c r="G2410" s="277"/>
      <c r="H2410" s="136" t="s">
        <v>73</v>
      </c>
      <c r="I2410" s="181">
        <f>9327705*0.7</f>
        <v>6529393.5</v>
      </c>
      <c r="J2410" s="181">
        <f>I2410/D2409</f>
        <v>1410.24</v>
      </c>
      <c r="K2410" s="181">
        <f>3174</f>
        <v>3174</v>
      </c>
    </row>
    <row r="2411" spans="1:11" x14ac:dyDescent="0.35">
      <c r="A2411" s="277">
        <v>78</v>
      </c>
      <c r="B2411" s="277"/>
      <c r="C2411" s="286"/>
      <c r="D2411" s="287"/>
      <c r="E2411" s="276"/>
      <c r="F2411" s="276"/>
      <c r="G2411" s="277"/>
      <c r="H2411" s="136" t="s">
        <v>75</v>
      </c>
      <c r="I2411" s="181">
        <f>9327705*0.0214</f>
        <v>199612.89</v>
      </c>
      <c r="J2411" s="181">
        <f>I2411/D2409</f>
        <v>43.11</v>
      </c>
      <c r="K2411" s="181">
        <v>68</v>
      </c>
    </row>
    <row r="2412" spans="1:11" x14ac:dyDescent="0.35">
      <c r="A2412" s="277">
        <f>A2409+1</f>
        <v>221</v>
      </c>
      <c r="B2412" s="277">
        <v>2103</v>
      </c>
      <c r="C2412" s="286" t="s">
        <v>405</v>
      </c>
      <c r="D2412" s="287">
        <v>3273.5</v>
      </c>
      <c r="E2412" s="276" t="s">
        <v>74</v>
      </c>
      <c r="F2412" s="276">
        <v>5</v>
      </c>
      <c r="G2412" s="277" t="s">
        <v>71</v>
      </c>
      <c r="H2412" s="136" t="s">
        <v>72</v>
      </c>
      <c r="I2412" s="181">
        <f>I2413+I2414</f>
        <v>6191726.4199999999</v>
      </c>
      <c r="J2412" s="181">
        <f>J2413+J2414</f>
        <v>1891.47</v>
      </c>
      <c r="K2412" s="181">
        <f>K2413+K2414</f>
        <v>3449</v>
      </c>
    </row>
    <row r="2413" spans="1:11" ht="31" x14ac:dyDescent="0.35">
      <c r="A2413" s="277">
        <v>77</v>
      </c>
      <c r="B2413" s="277"/>
      <c r="C2413" s="286"/>
      <c r="D2413" s="287"/>
      <c r="E2413" s="276"/>
      <c r="F2413" s="276"/>
      <c r="G2413" s="277"/>
      <c r="H2413" s="136" t="s">
        <v>85</v>
      </c>
      <c r="I2413" s="181">
        <f>8620118*0.7</f>
        <v>6034082.5999999996</v>
      </c>
      <c r="J2413" s="181">
        <f>I2413/D2412</f>
        <v>1843.31</v>
      </c>
      <c r="K2413" s="181">
        <v>3377</v>
      </c>
    </row>
    <row r="2414" spans="1:11" x14ac:dyDescent="0.35">
      <c r="A2414" s="277">
        <v>78</v>
      </c>
      <c r="B2414" s="277"/>
      <c r="C2414" s="286"/>
      <c r="D2414" s="287"/>
      <c r="E2414" s="276"/>
      <c r="F2414" s="276"/>
      <c r="G2414" s="277"/>
      <c r="H2414" s="136" t="s">
        <v>75</v>
      </c>
      <c r="I2414" s="181">
        <v>157643.82</v>
      </c>
      <c r="J2414" s="181">
        <f>I2414/D2412</f>
        <v>48.16</v>
      </c>
      <c r="K2414" s="181">
        <v>72</v>
      </c>
    </row>
    <row r="2415" spans="1:11" x14ac:dyDescent="0.35">
      <c r="A2415" s="277">
        <f>A2412+1</f>
        <v>222</v>
      </c>
      <c r="B2415" s="277">
        <v>2496</v>
      </c>
      <c r="C2415" s="286" t="s">
        <v>586</v>
      </c>
      <c r="D2415" s="287">
        <v>655.1</v>
      </c>
      <c r="E2415" s="287" t="s">
        <v>79</v>
      </c>
      <c r="F2415" s="304">
        <v>2</v>
      </c>
      <c r="G2415" s="346" t="s">
        <v>108</v>
      </c>
      <c r="H2415" s="136" t="s">
        <v>72</v>
      </c>
      <c r="I2415" s="181">
        <f>I2416+I2417+I2418</f>
        <v>1975126.5</v>
      </c>
      <c r="J2415" s="181">
        <f>J2416+J2417+J2418</f>
        <v>3015</v>
      </c>
      <c r="K2415" s="181">
        <f>K2416+K2417+K2418</f>
        <v>3015</v>
      </c>
    </row>
    <row r="2416" spans="1:11" ht="46.5" x14ac:dyDescent="0.35">
      <c r="A2416" s="277"/>
      <c r="B2416" s="277"/>
      <c r="C2416" s="286"/>
      <c r="D2416" s="287"/>
      <c r="E2416" s="287"/>
      <c r="F2416" s="304"/>
      <c r="G2416" s="355"/>
      <c r="H2416" s="136" t="s">
        <v>634</v>
      </c>
      <c r="I2416" s="181">
        <f>73371.2+D2415*40</f>
        <v>99575.2</v>
      </c>
      <c r="J2416" s="181">
        <f>I2416/D2415</f>
        <v>152</v>
      </c>
      <c r="K2416" s="181">
        <f>112+40</f>
        <v>152</v>
      </c>
    </row>
    <row r="2417" spans="1:11" x14ac:dyDescent="0.35">
      <c r="A2417" s="277"/>
      <c r="B2417" s="277"/>
      <c r="C2417" s="286"/>
      <c r="D2417" s="287"/>
      <c r="E2417" s="287"/>
      <c r="F2417" s="304"/>
      <c r="G2417" s="355"/>
      <c r="H2417" s="136" t="s">
        <v>73</v>
      </c>
      <c r="I2417" s="181">
        <f>K2417*D2415</f>
        <v>1836245.3</v>
      </c>
      <c r="J2417" s="181">
        <f>I2417/D2415</f>
        <v>2803</v>
      </c>
      <c r="K2417" s="181">
        <v>2803</v>
      </c>
    </row>
    <row r="2418" spans="1:11" x14ac:dyDescent="0.35">
      <c r="A2418" s="277">
        <v>75</v>
      </c>
      <c r="B2418" s="277"/>
      <c r="C2418" s="286"/>
      <c r="D2418" s="287"/>
      <c r="E2418" s="287"/>
      <c r="F2418" s="304"/>
      <c r="G2418" s="347"/>
      <c r="H2418" s="136" t="s">
        <v>75</v>
      </c>
      <c r="I2418" s="181">
        <f>K2418*D2415</f>
        <v>39306</v>
      </c>
      <c r="J2418" s="181">
        <f>I2418/D2415</f>
        <v>60</v>
      </c>
      <c r="K2418" s="181">
        <v>60</v>
      </c>
    </row>
    <row r="2419" spans="1:11" x14ac:dyDescent="0.35">
      <c r="A2419" s="277">
        <f>A2415+1</f>
        <v>223</v>
      </c>
      <c r="B2419" s="270">
        <v>2368</v>
      </c>
      <c r="C2419" s="286" t="s">
        <v>407</v>
      </c>
      <c r="D2419" s="287">
        <v>4326</v>
      </c>
      <c r="E2419" s="276" t="s">
        <v>74</v>
      </c>
      <c r="F2419" s="276">
        <v>5</v>
      </c>
      <c r="G2419" s="277" t="s">
        <v>71</v>
      </c>
      <c r="H2419" s="136" t="s">
        <v>72</v>
      </c>
      <c r="I2419" s="181">
        <f>I2420+I2421</f>
        <v>9862648.2899999991</v>
      </c>
      <c r="J2419" s="181">
        <f>J2420+J2421</f>
        <v>2279.85</v>
      </c>
      <c r="K2419" s="181">
        <f>K2420+K2421</f>
        <v>3449</v>
      </c>
    </row>
    <row r="2420" spans="1:11" ht="31" x14ac:dyDescent="0.35">
      <c r="A2420" s="277">
        <v>77</v>
      </c>
      <c r="B2420" s="271"/>
      <c r="C2420" s="286"/>
      <c r="D2420" s="287"/>
      <c r="E2420" s="276"/>
      <c r="F2420" s="276"/>
      <c r="G2420" s="277"/>
      <c r="H2420" s="136" t="s">
        <v>85</v>
      </c>
      <c r="I2420" s="181">
        <f>13784147.42*0.7</f>
        <v>9648903.1899999995</v>
      </c>
      <c r="J2420" s="181">
        <f>I2420/D2419</f>
        <v>2230.44</v>
      </c>
      <c r="K2420" s="181">
        <v>3377</v>
      </c>
    </row>
    <row r="2421" spans="1:11" x14ac:dyDescent="0.35">
      <c r="A2421" s="277">
        <v>78</v>
      </c>
      <c r="B2421" s="272"/>
      <c r="C2421" s="286"/>
      <c r="D2421" s="287"/>
      <c r="E2421" s="276"/>
      <c r="F2421" s="276"/>
      <c r="G2421" s="277"/>
      <c r="H2421" s="136" t="s">
        <v>75</v>
      </c>
      <c r="I2421" s="181">
        <v>213745.1</v>
      </c>
      <c r="J2421" s="181">
        <f>I2421/D2419</f>
        <v>49.41</v>
      </c>
      <c r="K2421" s="181">
        <v>72</v>
      </c>
    </row>
    <row r="2422" spans="1:11" x14ac:dyDescent="0.35">
      <c r="A2422" s="270">
        <f>A2419+1</f>
        <v>224</v>
      </c>
      <c r="B2422" s="270">
        <v>2235</v>
      </c>
      <c r="C2422" s="278" t="s">
        <v>139</v>
      </c>
      <c r="D2422" s="273">
        <v>3471.8</v>
      </c>
      <c r="E2422" s="273" t="s">
        <v>74</v>
      </c>
      <c r="F2422" s="282">
        <v>10</v>
      </c>
      <c r="G2422" s="167"/>
      <c r="H2422" s="136" t="s">
        <v>72</v>
      </c>
      <c r="I2422" s="181">
        <f>I2423+I2424+I2425</f>
        <v>1193035.8999999999</v>
      </c>
      <c r="J2422" s="181">
        <f>J2423+J2424+J2425</f>
        <v>343.64</v>
      </c>
      <c r="K2422" s="181">
        <f>K2423+K2424+K2425</f>
        <v>423</v>
      </c>
    </row>
    <row r="2423" spans="1:11" ht="46.5" x14ac:dyDescent="0.35">
      <c r="A2423" s="271"/>
      <c r="B2423" s="271"/>
      <c r="C2423" s="279"/>
      <c r="D2423" s="274"/>
      <c r="E2423" s="274"/>
      <c r="F2423" s="283"/>
      <c r="G2423" s="146" t="s">
        <v>71</v>
      </c>
      <c r="H2423" s="136" t="s">
        <v>673</v>
      </c>
      <c r="I2423" s="181">
        <v>293839.7</v>
      </c>
      <c r="J2423" s="181">
        <f>I2423/D2422</f>
        <v>84.64</v>
      </c>
      <c r="K2423" s="181">
        <f>151+13</f>
        <v>164</v>
      </c>
    </row>
    <row r="2424" spans="1:11" ht="56.5" customHeight="1" x14ac:dyDescent="0.35">
      <c r="A2424" s="271"/>
      <c r="B2424" s="271"/>
      <c r="C2424" s="279"/>
      <c r="D2424" s="274"/>
      <c r="E2424" s="274"/>
      <c r="F2424" s="283"/>
      <c r="G2424" s="270" t="s">
        <v>84</v>
      </c>
      <c r="H2424" s="136" t="s">
        <v>673</v>
      </c>
      <c r="I2424" s="181">
        <f>D2422*K2424</f>
        <v>260385</v>
      </c>
      <c r="J2424" s="181">
        <f>I2424/D2422</f>
        <v>75</v>
      </c>
      <c r="K2424" s="181">
        <f>63+12</f>
        <v>75</v>
      </c>
    </row>
    <row r="2425" spans="1:11" ht="62" customHeight="1" x14ac:dyDescent="0.35">
      <c r="A2425" s="271"/>
      <c r="B2425" s="271"/>
      <c r="C2425" s="279"/>
      <c r="D2425" s="274"/>
      <c r="E2425" s="274"/>
      <c r="F2425" s="283"/>
      <c r="G2425" s="272"/>
      <c r="H2425" s="182" t="s">
        <v>674</v>
      </c>
      <c r="I2425" s="181">
        <f>D2422*K2425</f>
        <v>638811.19999999995</v>
      </c>
      <c r="J2425" s="181">
        <f>I2425/D2422</f>
        <v>184</v>
      </c>
      <c r="K2425" s="181">
        <f>156+28</f>
        <v>184</v>
      </c>
    </row>
    <row r="2426" spans="1:11" x14ac:dyDescent="0.35">
      <c r="A2426" s="277">
        <f>A2422+1</f>
        <v>225</v>
      </c>
      <c r="B2426" s="277">
        <v>2411</v>
      </c>
      <c r="C2426" s="286" t="s">
        <v>140</v>
      </c>
      <c r="D2426" s="287">
        <v>812.8</v>
      </c>
      <c r="E2426" s="287" t="s">
        <v>74</v>
      </c>
      <c r="F2426" s="304">
        <v>3</v>
      </c>
      <c r="G2426" s="277" t="s">
        <v>71</v>
      </c>
      <c r="H2426" s="136" t="s">
        <v>72</v>
      </c>
      <c r="I2426" s="181">
        <f>I2427</f>
        <v>124961.12</v>
      </c>
      <c r="J2426" s="181">
        <f>J2427</f>
        <v>153.74</v>
      </c>
      <c r="K2426" s="181">
        <f>K2427</f>
        <v>239</v>
      </c>
    </row>
    <row r="2427" spans="1:11" ht="58.5" customHeight="1" x14ac:dyDescent="0.35">
      <c r="A2427" s="277"/>
      <c r="B2427" s="277"/>
      <c r="C2427" s="286"/>
      <c r="D2427" s="287"/>
      <c r="E2427" s="287"/>
      <c r="F2427" s="304"/>
      <c r="G2427" s="277"/>
      <c r="H2427" s="136" t="s">
        <v>673</v>
      </c>
      <c r="I2427" s="181">
        <v>124961.12</v>
      </c>
      <c r="J2427" s="181">
        <f>I2427/D2426</f>
        <v>153.74</v>
      </c>
      <c r="K2427" s="181">
        <f>151+88</f>
        <v>239</v>
      </c>
    </row>
    <row r="2428" spans="1:11" x14ac:dyDescent="0.35">
      <c r="A2428" s="270">
        <f>A2426+1</f>
        <v>226</v>
      </c>
      <c r="B2428" s="270">
        <v>2570</v>
      </c>
      <c r="C2428" s="278" t="s">
        <v>141</v>
      </c>
      <c r="D2428" s="273">
        <v>628.4</v>
      </c>
      <c r="E2428" s="267" t="s">
        <v>74</v>
      </c>
      <c r="F2428" s="267">
        <v>3</v>
      </c>
      <c r="G2428" s="270" t="s">
        <v>84</v>
      </c>
      <c r="H2428" s="136" t="s">
        <v>72</v>
      </c>
      <c r="I2428" s="181">
        <f>I2429</f>
        <v>42731.199999999997</v>
      </c>
      <c r="J2428" s="181">
        <f>J2429</f>
        <v>68</v>
      </c>
      <c r="K2428" s="181">
        <f>K2429</f>
        <v>68</v>
      </c>
    </row>
    <row r="2429" spans="1:11" ht="46.5" x14ac:dyDescent="0.35">
      <c r="A2429" s="271"/>
      <c r="B2429" s="271"/>
      <c r="C2429" s="279"/>
      <c r="D2429" s="274"/>
      <c r="E2429" s="268"/>
      <c r="F2429" s="268"/>
      <c r="G2429" s="271"/>
      <c r="H2429" s="136" t="s">
        <v>673</v>
      </c>
      <c r="I2429" s="181">
        <f>D2428*K2429</f>
        <v>42731.199999999997</v>
      </c>
      <c r="J2429" s="181">
        <f>I2429/D2428</f>
        <v>68</v>
      </c>
      <c r="K2429" s="181">
        <f>41+27</f>
        <v>68</v>
      </c>
    </row>
    <row r="2430" spans="1:11" x14ac:dyDescent="0.35">
      <c r="A2430" s="277">
        <f>A2428+1</f>
        <v>227</v>
      </c>
      <c r="B2430" s="277">
        <v>2236</v>
      </c>
      <c r="C2430" s="286" t="s">
        <v>409</v>
      </c>
      <c r="D2430" s="287">
        <v>1767.2</v>
      </c>
      <c r="E2430" s="276" t="s">
        <v>74</v>
      </c>
      <c r="F2430" s="276">
        <v>6</v>
      </c>
      <c r="G2430" s="277" t="s">
        <v>76</v>
      </c>
      <c r="H2430" s="136" t="s">
        <v>72</v>
      </c>
      <c r="I2430" s="181">
        <f>I2431+I2432</f>
        <v>3983227.62</v>
      </c>
      <c r="J2430" s="181">
        <f>J2431+J2432</f>
        <v>2253.98</v>
      </c>
      <c r="K2430" s="181">
        <f>K2431+K2432</f>
        <v>2749</v>
      </c>
    </row>
    <row r="2431" spans="1:11" x14ac:dyDescent="0.35">
      <c r="A2431" s="277">
        <v>77</v>
      </c>
      <c r="B2431" s="277"/>
      <c r="C2431" s="286"/>
      <c r="D2431" s="287"/>
      <c r="E2431" s="276"/>
      <c r="F2431" s="276"/>
      <c r="G2431" s="277"/>
      <c r="H2431" s="136" t="s">
        <v>73</v>
      </c>
      <c r="I2431" s="181">
        <v>3899772.49</v>
      </c>
      <c r="J2431" s="181">
        <f>I2431/D2430+0.01</f>
        <v>2206.7600000000002</v>
      </c>
      <c r="K2431" s="181">
        <v>2691</v>
      </c>
    </row>
    <row r="2432" spans="1:11" x14ac:dyDescent="0.35">
      <c r="A2432" s="277">
        <v>78</v>
      </c>
      <c r="B2432" s="277"/>
      <c r="C2432" s="286"/>
      <c r="D2432" s="287"/>
      <c r="E2432" s="276"/>
      <c r="F2432" s="276"/>
      <c r="G2432" s="277"/>
      <c r="H2432" s="136" t="s">
        <v>75</v>
      </c>
      <c r="I2432" s="181">
        <f>3899772.49*0.0214</f>
        <v>83455.13</v>
      </c>
      <c r="J2432" s="181">
        <f>I2432/D2430</f>
        <v>47.22</v>
      </c>
      <c r="K2432" s="181">
        <v>58</v>
      </c>
    </row>
    <row r="2433" spans="1:213" x14ac:dyDescent="0.35">
      <c r="A2433" s="277">
        <f>A2430+1</f>
        <v>228</v>
      </c>
      <c r="B2433" s="277">
        <v>2412</v>
      </c>
      <c r="C2433" s="286" t="s">
        <v>142</v>
      </c>
      <c r="D2433" s="287">
        <v>1324.2</v>
      </c>
      <c r="E2433" s="276" t="s">
        <v>74</v>
      </c>
      <c r="F2433" s="276">
        <v>5</v>
      </c>
      <c r="G2433" s="277" t="s">
        <v>71</v>
      </c>
      <c r="H2433" s="136" t="s">
        <v>72</v>
      </c>
      <c r="I2433" s="181">
        <f>I2434</f>
        <v>195005.56</v>
      </c>
      <c r="J2433" s="181">
        <f>J2434</f>
        <v>147.26</v>
      </c>
      <c r="K2433" s="181">
        <f>K2434</f>
        <v>169</v>
      </c>
    </row>
    <row r="2434" spans="1:213" ht="46.5" x14ac:dyDescent="0.35">
      <c r="A2434" s="277"/>
      <c r="B2434" s="277"/>
      <c r="C2434" s="286"/>
      <c r="D2434" s="287"/>
      <c r="E2434" s="276"/>
      <c r="F2434" s="276"/>
      <c r="G2434" s="277"/>
      <c r="H2434" s="136" t="s">
        <v>673</v>
      </c>
      <c r="I2434" s="181">
        <f>181725.56+13280</f>
        <v>195005.56</v>
      </c>
      <c r="J2434" s="181">
        <f>I2434/D2433</f>
        <v>147.26</v>
      </c>
      <c r="K2434" s="181">
        <f>151+18</f>
        <v>169</v>
      </c>
    </row>
    <row r="2435" spans="1:213" x14ac:dyDescent="0.35">
      <c r="A2435" s="277">
        <f>A2433+1</f>
        <v>229</v>
      </c>
      <c r="B2435" s="277">
        <v>2416</v>
      </c>
      <c r="C2435" s="286" t="s">
        <v>143</v>
      </c>
      <c r="D2435" s="287">
        <v>3193.7</v>
      </c>
      <c r="E2435" s="276" t="s">
        <v>74</v>
      </c>
      <c r="F2435" s="276">
        <v>5</v>
      </c>
      <c r="G2435" s="277" t="s">
        <v>71</v>
      </c>
      <c r="H2435" s="136" t="s">
        <v>72</v>
      </c>
      <c r="I2435" s="181">
        <f>I2436</f>
        <v>274502.32</v>
      </c>
      <c r="J2435" s="181">
        <f>J2436</f>
        <v>85.95</v>
      </c>
      <c r="K2435" s="181">
        <f>K2436</f>
        <v>169</v>
      </c>
    </row>
    <row r="2436" spans="1:213" ht="46.5" x14ac:dyDescent="0.35">
      <c r="A2436" s="277"/>
      <c r="B2436" s="277"/>
      <c r="C2436" s="286"/>
      <c r="D2436" s="287"/>
      <c r="E2436" s="276"/>
      <c r="F2436" s="276"/>
      <c r="G2436" s="277"/>
      <c r="H2436" s="136" t="s">
        <v>673</v>
      </c>
      <c r="I2436" s="181">
        <f>217015.72+D2435*18</f>
        <v>274502.32</v>
      </c>
      <c r="J2436" s="181">
        <f>I2436/D2435</f>
        <v>85.95</v>
      </c>
      <c r="K2436" s="181">
        <f>151+18</f>
        <v>169</v>
      </c>
    </row>
    <row r="2437" spans="1:213" x14ac:dyDescent="0.35">
      <c r="A2437" s="277">
        <f>A2435+1</f>
        <v>230</v>
      </c>
      <c r="B2437" s="277">
        <v>2489</v>
      </c>
      <c r="C2437" s="286" t="s">
        <v>744</v>
      </c>
      <c r="D2437" s="287">
        <v>4049.2</v>
      </c>
      <c r="E2437" s="276" t="s">
        <v>74</v>
      </c>
      <c r="F2437" s="276">
        <v>9</v>
      </c>
      <c r="G2437" s="277" t="s">
        <v>71</v>
      </c>
      <c r="H2437" s="136" t="s">
        <v>72</v>
      </c>
      <c r="I2437" s="181">
        <f>I2438</f>
        <v>159247.78</v>
      </c>
      <c r="J2437" s="181">
        <f>J2438</f>
        <v>39.33</v>
      </c>
      <c r="K2437" s="181">
        <f>K2438</f>
        <v>164</v>
      </c>
    </row>
    <row r="2438" spans="1:213" ht="46.5" x14ac:dyDescent="0.35">
      <c r="A2438" s="277"/>
      <c r="B2438" s="277"/>
      <c r="C2438" s="286"/>
      <c r="D2438" s="287"/>
      <c r="E2438" s="276"/>
      <c r="F2438" s="276"/>
      <c r="G2438" s="277"/>
      <c r="H2438" s="136" t="s">
        <v>673</v>
      </c>
      <c r="I2438" s="181">
        <f>106608.18+D2437*13</f>
        <v>159247.78</v>
      </c>
      <c r="J2438" s="181">
        <f>I2438/D2437</f>
        <v>39.33</v>
      </c>
      <c r="K2438" s="181">
        <f>151+13</f>
        <v>164</v>
      </c>
    </row>
    <row r="2439" spans="1:213" x14ac:dyDescent="0.35">
      <c r="A2439" s="270">
        <f>A2437+1</f>
        <v>231</v>
      </c>
      <c r="B2439" s="270">
        <v>2239</v>
      </c>
      <c r="C2439" s="278" t="s">
        <v>745</v>
      </c>
      <c r="D2439" s="273">
        <v>4698.6000000000004</v>
      </c>
      <c r="E2439" s="273" t="s">
        <v>70</v>
      </c>
      <c r="F2439" s="282">
        <v>5</v>
      </c>
      <c r="G2439" s="165"/>
      <c r="H2439" s="136" t="s">
        <v>72</v>
      </c>
      <c r="I2439" s="181">
        <f>I2440+I2441+I2442</f>
        <v>1657515.01</v>
      </c>
      <c r="J2439" s="181">
        <f>J2440+J2441+J2442</f>
        <v>352.77</v>
      </c>
      <c r="K2439" s="181">
        <f>K2440+K2441+K2442</f>
        <v>428</v>
      </c>
    </row>
    <row r="2440" spans="1:213" ht="46.5" x14ac:dyDescent="0.35">
      <c r="A2440" s="271"/>
      <c r="B2440" s="271"/>
      <c r="C2440" s="279"/>
      <c r="D2440" s="274"/>
      <c r="E2440" s="274"/>
      <c r="F2440" s="283"/>
      <c r="G2440" s="141" t="s">
        <v>71</v>
      </c>
      <c r="H2440" s="136" t="s">
        <v>673</v>
      </c>
      <c r="I2440" s="181">
        <f>356002.81+D2439*18</f>
        <v>440577.61</v>
      </c>
      <c r="J2440" s="181">
        <f>I2440/D2439</f>
        <v>93.77</v>
      </c>
      <c r="K2440" s="181">
        <f>151+18</f>
        <v>169</v>
      </c>
    </row>
    <row r="2441" spans="1:213" ht="46.5" x14ac:dyDescent="0.35">
      <c r="A2441" s="271"/>
      <c r="B2441" s="271"/>
      <c r="C2441" s="279"/>
      <c r="D2441" s="274"/>
      <c r="E2441" s="274"/>
      <c r="F2441" s="283"/>
      <c r="G2441" s="270" t="s">
        <v>84</v>
      </c>
      <c r="H2441" s="136" t="s">
        <v>673</v>
      </c>
      <c r="I2441" s="181">
        <f>D2439*K2441</f>
        <v>352395</v>
      </c>
      <c r="J2441" s="181">
        <f>I2441/D2439</f>
        <v>75</v>
      </c>
      <c r="K2441" s="181">
        <f>63+12</f>
        <v>75</v>
      </c>
    </row>
    <row r="2442" spans="1:213" ht="46.5" x14ac:dyDescent="0.35">
      <c r="A2442" s="271"/>
      <c r="B2442" s="271"/>
      <c r="C2442" s="279"/>
      <c r="D2442" s="274"/>
      <c r="E2442" s="274"/>
      <c r="F2442" s="283"/>
      <c r="G2442" s="272"/>
      <c r="H2442" s="182" t="s">
        <v>674</v>
      </c>
      <c r="I2442" s="181">
        <f>D2439*K2442</f>
        <v>864542.4</v>
      </c>
      <c r="J2442" s="181">
        <f>I2442/D2439</f>
        <v>184</v>
      </c>
      <c r="K2442" s="181">
        <f>156+28</f>
        <v>184</v>
      </c>
    </row>
    <row r="2443" spans="1:213" x14ac:dyDescent="0.35">
      <c r="A2443" s="277">
        <f>A2439+1</f>
        <v>232</v>
      </c>
      <c r="B2443" s="277">
        <v>2422</v>
      </c>
      <c r="C2443" s="286" t="s">
        <v>746</v>
      </c>
      <c r="D2443" s="287">
        <v>6937.3</v>
      </c>
      <c r="E2443" s="276" t="s">
        <v>70</v>
      </c>
      <c r="F2443" s="276">
        <v>10</v>
      </c>
      <c r="G2443" s="277" t="s">
        <v>76</v>
      </c>
      <c r="H2443" s="136" t="s">
        <v>72</v>
      </c>
      <c r="I2443" s="181">
        <f>I2444</f>
        <v>631294.30000000005</v>
      </c>
      <c r="J2443" s="181">
        <f>J2444</f>
        <v>91</v>
      </c>
      <c r="K2443" s="181">
        <f>K2444</f>
        <v>91</v>
      </c>
    </row>
    <row r="2444" spans="1:213" s="152" customFormat="1" ht="61" customHeight="1" x14ac:dyDescent="0.35">
      <c r="A2444" s="277"/>
      <c r="B2444" s="277"/>
      <c r="C2444" s="286"/>
      <c r="D2444" s="287"/>
      <c r="E2444" s="276"/>
      <c r="F2444" s="276"/>
      <c r="G2444" s="277"/>
      <c r="H2444" s="136" t="s">
        <v>634</v>
      </c>
      <c r="I2444" s="181">
        <f>D2443*K2444</f>
        <v>631294.30000000005</v>
      </c>
      <c r="J2444" s="181">
        <f>I2444/D2443</f>
        <v>91</v>
      </c>
      <c r="K2444" s="181">
        <f>85+6</f>
        <v>91</v>
      </c>
      <c r="L2444" s="123"/>
      <c r="M2444" s="123"/>
      <c r="N2444" s="123"/>
      <c r="O2444" s="123"/>
      <c r="P2444" s="123"/>
      <c r="Q2444" s="123"/>
      <c r="R2444" s="123"/>
      <c r="S2444" s="123"/>
      <c r="T2444" s="123"/>
      <c r="U2444" s="123"/>
      <c r="V2444" s="123"/>
      <c r="W2444" s="123"/>
      <c r="X2444" s="123"/>
      <c r="Y2444" s="123"/>
      <c r="Z2444" s="123"/>
      <c r="AA2444" s="123"/>
      <c r="AB2444" s="123"/>
      <c r="AC2444" s="123"/>
      <c r="AD2444" s="123"/>
      <c r="AE2444" s="123"/>
      <c r="AF2444" s="123"/>
      <c r="AG2444" s="123"/>
      <c r="AH2444" s="123"/>
      <c r="AI2444" s="123"/>
      <c r="AJ2444" s="123"/>
      <c r="AK2444" s="123"/>
      <c r="AL2444" s="123"/>
      <c r="AM2444" s="123"/>
      <c r="AN2444" s="123"/>
      <c r="AO2444" s="123"/>
      <c r="AP2444" s="123"/>
      <c r="AQ2444" s="123"/>
      <c r="AR2444" s="123"/>
      <c r="AS2444" s="123"/>
      <c r="AT2444" s="123"/>
      <c r="AU2444" s="123"/>
      <c r="AV2444" s="123"/>
      <c r="AW2444" s="123"/>
      <c r="AX2444" s="123"/>
      <c r="AY2444" s="123"/>
      <c r="AZ2444" s="123"/>
      <c r="BA2444" s="123"/>
      <c r="BB2444" s="123"/>
      <c r="BC2444" s="123"/>
      <c r="BD2444" s="123"/>
      <c r="BE2444" s="123"/>
      <c r="BF2444" s="123"/>
      <c r="BG2444" s="123"/>
      <c r="BH2444" s="123"/>
      <c r="BI2444" s="123"/>
      <c r="BJ2444" s="123"/>
      <c r="BK2444" s="123"/>
      <c r="BL2444" s="123"/>
      <c r="BM2444" s="123"/>
      <c r="BN2444" s="123"/>
      <c r="BO2444" s="123"/>
      <c r="BP2444" s="123"/>
      <c r="BQ2444" s="123"/>
      <c r="BR2444" s="123"/>
      <c r="BS2444" s="123"/>
      <c r="BT2444" s="123"/>
      <c r="BU2444" s="123"/>
      <c r="BV2444" s="123"/>
      <c r="BW2444" s="123"/>
      <c r="BX2444" s="123"/>
      <c r="BY2444" s="123"/>
      <c r="BZ2444" s="123"/>
      <c r="CA2444" s="123"/>
      <c r="CB2444" s="123"/>
      <c r="CC2444" s="123"/>
      <c r="CD2444" s="123"/>
      <c r="CE2444" s="123"/>
      <c r="CF2444" s="123"/>
      <c r="CG2444" s="123"/>
      <c r="CH2444" s="123"/>
      <c r="CI2444" s="123"/>
      <c r="CJ2444" s="123"/>
      <c r="CK2444" s="123"/>
      <c r="CL2444" s="123"/>
      <c r="CM2444" s="123"/>
      <c r="CN2444" s="123"/>
      <c r="CO2444" s="123"/>
      <c r="CP2444" s="123"/>
      <c r="CQ2444" s="123"/>
      <c r="CR2444" s="123"/>
      <c r="CS2444" s="123"/>
      <c r="CT2444" s="123"/>
      <c r="CU2444" s="123"/>
      <c r="CV2444" s="123"/>
      <c r="CW2444" s="123"/>
      <c r="CX2444" s="123"/>
      <c r="CY2444" s="123"/>
      <c r="CZ2444" s="123"/>
      <c r="DA2444" s="123"/>
      <c r="DB2444" s="123"/>
      <c r="DC2444" s="123"/>
      <c r="DD2444" s="123"/>
      <c r="DE2444" s="123"/>
      <c r="DF2444" s="123"/>
      <c r="DG2444" s="123"/>
      <c r="DH2444" s="123"/>
      <c r="DI2444" s="123"/>
      <c r="DJ2444" s="123"/>
      <c r="DK2444" s="123"/>
      <c r="DL2444" s="123"/>
      <c r="DM2444" s="123"/>
      <c r="DN2444" s="123"/>
      <c r="DO2444" s="123"/>
      <c r="DP2444" s="123"/>
      <c r="DQ2444" s="123"/>
      <c r="DR2444" s="123"/>
      <c r="DS2444" s="123"/>
      <c r="DT2444" s="123"/>
      <c r="DU2444" s="123"/>
      <c r="DV2444" s="123"/>
      <c r="DW2444" s="123"/>
      <c r="DX2444" s="123"/>
      <c r="DY2444" s="123"/>
      <c r="DZ2444" s="123"/>
      <c r="EA2444" s="123"/>
      <c r="EB2444" s="123"/>
      <c r="EC2444" s="123"/>
      <c r="ED2444" s="123"/>
      <c r="EE2444" s="123"/>
      <c r="EF2444" s="123"/>
      <c r="EG2444" s="123"/>
      <c r="EH2444" s="123"/>
      <c r="EI2444" s="123"/>
      <c r="EJ2444" s="123"/>
      <c r="EK2444" s="123"/>
      <c r="EL2444" s="123"/>
      <c r="EM2444" s="123"/>
      <c r="EN2444" s="123"/>
      <c r="EO2444" s="123"/>
      <c r="EP2444" s="123"/>
      <c r="EQ2444" s="123"/>
      <c r="ER2444" s="123"/>
      <c r="ES2444" s="123"/>
      <c r="ET2444" s="123"/>
      <c r="EU2444" s="123"/>
      <c r="EV2444" s="123"/>
      <c r="EW2444" s="123"/>
      <c r="EX2444" s="123"/>
      <c r="EY2444" s="123"/>
      <c r="EZ2444" s="123"/>
      <c r="FA2444" s="123"/>
      <c r="FB2444" s="123"/>
      <c r="FC2444" s="123"/>
      <c r="FD2444" s="123"/>
      <c r="FE2444" s="123"/>
      <c r="FF2444" s="123"/>
      <c r="FG2444" s="123"/>
      <c r="FH2444" s="123"/>
      <c r="FI2444" s="123"/>
      <c r="FJ2444" s="123"/>
      <c r="FK2444" s="123"/>
      <c r="FL2444" s="123"/>
      <c r="FM2444" s="123"/>
      <c r="FN2444" s="123"/>
      <c r="FO2444" s="123"/>
      <c r="FP2444" s="123"/>
      <c r="FQ2444" s="123"/>
      <c r="FR2444" s="123"/>
      <c r="FS2444" s="123"/>
      <c r="FT2444" s="123"/>
      <c r="FU2444" s="123"/>
      <c r="FV2444" s="123"/>
      <c r="FW2444" s="123"/>
      <c r="FX2444" s="123"/>
      <c r="FY2444" s="123"/>
      <c r="FZ2444" s="123"/>
      <c r="GA2444" s="123"/>
      <c r="GB2444" s="123"/>
      <c r="GC2444" s="123"/>
      <c r="GD2444" s="123"/>
      <c r="GE2444" s="123"/>
      <c r="GF2444" s="123"/>
      <c r="GG2444" s="123"/>
      <c r="GH2444" s="123"/>
      <c r="GI2444" s="123"/>
      <c r="GJ2444" s="123"/>
      <c r="GK2444" s="123"/>
      <c r="GL2444" s="123"/>
      <c r="GM2444" s="123"/>
      <c r="GN2444" s="123"/>
      <c r="GO2444" s="123"/>
      <c r="GP2444" s="123"/>
      <c r="GQ2444" s="123"/>
      <c r="GR2444" s="123"/>
      <c r="GS2444" s="123"/>
      <c r="GT2444" s="123"/>
      <c r="GU2444" s="123"/>
      <c r="GV2444" s="123"/>
      <c r="GW2444" s="123"/>
      <c r="GX2444" s="123"/>
      <c r="GY2444" s="123"/>
      <c r="GZ2444" s="123"/>
      <c r="HA2444" s="123"/>
      <c r="HB2444" s="123"/>
      <c r="HC2444" s="123"/>
      <c r="HD2444" s="145"/>
      <c r="HE2444" s="145"/>
    </row>
    <row r="2445" spans="1:213" s="152" customFormat="1" x14ac:dyDescent="0.35">
      <c r="A2445" s="270">
        <f>A2443+1</f>
        <v>233</v>
      </c>
      <c r="B2445" s="270">
        <v>2432</v>
      </c>
      <c r="C2445" s="278" t="s">
        <v>144</v>
      </c>
      <c r="D2445" s="273">
        <v>1229.0999999999999</v>
      </c>
      <c r="E2445" s="267" t="s">
        <v>74</v>
      </c>
      <c r="F2445" s="267">
        <v>4</v>
      </c>
      <c r="G2445" s="270" t="s">
        <v>84</v>
      </c>
      <c r="H2445" s="136" t="s">
        <v>72</v>
      </c>
      <c r="I2445" s="181">
        <f>I2446+I2447</f>
        <v>318336.90000000002</v>
      </c>
      <c r="J2445" s="181">
        <f>J2446+J2447</f>
        <v>259</v>
      </c>
      <c r="K2445" s="181">
        <f>K2446+K2447</f>
        <v>259</v>
      </c>
      <c r="L2445" s="145"/>
      <c r="M2445" s="145"/>
      <c r="N2445" s="145"/>
      <c r="O2445" s="145"/>
      <c r="P2445" s="145"/>
      <c r="Q2445" s="145"/>
      <c r="R2445" s="145"/>
      <c r="S2445" s="145"/>
      <c r="T2445" s="145"/>
      <c r="U2445" s="145"/>
      <c r="V2445" s="145"/>
      <c r="W2445" s="145"/>
      <c r="X2445" s="145"/>
      <c r="Y2445" s="145"/>
      <c r="Z2445" s="145"/>
      <c r="AA2445" s="145"/>
      <c r="AB2445" s="145"/>
      <c r="AC2445" s="145"/>
      <c r="AD2445" s="145"/>
      <c r="AE2445" s="145"/>
      <c r="AF2445" s="145"/>
      <c r="AG2445" s="145"/>
      <c r="AH2445" s="145"/>
      <c r="AI2445" s="145"/>
      <c r="AJ2445" s="145"/>
      <c r="AK2445" s="145"/>
      <c r="AL2445" s="145"/>
      <c r="AM2445" s="145"/>
      <c r="AN2445" s="145"/>
      <c r="AO2445" s="145"/>
      <c r="AP2445" s="145"/>
      <c r="AQ2445" s="145"/>
      <c r="AR2445" s="145"/>
      <c r="AS2445" s="145"/>
      <c r="AT2445" s="145"/>
      <c r="AU2445" s="145"/>
      <c r="AV2445" s="145"/>
      <c r="AW2445" s="145"/>
      <c r="AX2445" s="145"/>
      <c r="AY2445" s="145"/>
      <c r="AZ2445" s="145"/>
      <c r="BA2445" s="145"/>
      <c r="BB2445" s="145"/>
      <c r="BC2445" s="145"/>
      <c r="BD2445" s="145"/>
      <c r="BE2445" s="145"/>
      <c r="BF2445" s="145"/>
      <c r="BG2445" s="145"/>
      <c r="BH2445" s="145"/>
      <c r="BI2445" s="145"/>
      <c r="BJ2445" s="145"/>
      <c r="BK2445" s="145"/>
      <c r="BL2445" s="145"/>
      <c r="BM2445" s="145"/>
      <c r="BN2445" s="145"/>
      <c r="BO2445" s="145"/>
      <c r="BP2445" s="145"/>
      <c r="BQ2445" s="145"/>
      <c r="BR2445" s="145"/>
      <c r="BS2445" s="145"/>
      <c r="BT2445" s="145"/>
      <c r="BU2445" s="145"/>
      <c r="BV2445" s="145"/>
      <c r="BW2445" s="145"/>
      <c r="BX2445" s="145"/>
      <c r="BY2445" s="145"/>
      <c r="BZ2445" s="145"/>
      <c r="CA2445" s="145"/>
      <c r="CB2445" s="145"/>
      <c r="CC2445" s="145"/>
      <c r="CD2445" s="145"/>
      <c r="CE2445" s="145"/>
      <c r="CF2445" s="145"/>
      <c r="CG2445" s="145"/>
      <c r="CH2445" s="145"/>
      <c r="CI2445" s="145"/>
      <c r="CJ2445" s="145"/>
      <c r="CK2445" s="145"/>
      <c r="CL2445" s="145"/>
      <c r="CM2445" s="145"/>
      <c r="CN2445" s="145"/>
      <c r="CO2445" s="145"/>
      <c r="CP2445" s="145"/>
      <c r="CQ2445" s="145"/>
      <c r="CR2445" s="145"/>
      <c r="CS2445" s="145"/>
      <c r="CT2445" s="145"/>
      <c r="CU2445" s="145"/>
      <c r="CV2445" s="145"/>
      <c r="CW2445" s="145"/>
      <c r="CX2445" s="145"/>
      <c r="CY2445" s="145"/>
      <c r="CZ2445" s="145"/>
      <c r="DA2445" s="145"/>
      <c r="DB2445" s="145"/>
      <c r="DC2445" s="145"/>
      <c r="DD2445" s="145"/>
      <c r="DE2445" s="145"/>
      <c r="DF2445" s="145"/>
      <c r="DG2445" s="145"/>
      <c r="DH2445" s="145"/>
      <c r="DI2445" s="145"/>
      <c r="DJ2445" s="145"/>
      <c r="DK2445" s="145"/>
      <c r="DL2445" s="145"/>
      <c r="DM2445" s="145"/>
      <c r="DN2445" s="145"/>
      <c r="DO2445" s="145"/>
      <c r="DP2445" s="145"/>
      <c r="DQ2445" s="145"/>
      <c r="DR2445" s="145"/>
      <c r="DS2445" s="145"/>
      <c r="DT2445" s="145"/>
      <c r="DU2445" s="145"/>
      <c r="DV2445" s="145"/>
      <c r="DW2445" s="145"/>
      <c r="DX2445" s="145"/>
      <c r="DY2445" s="145"/>
      <c r="DZ2445" s="145"/>
      <c r="EA2445" s="145"/>
      <c r="EB2445" s="145"/>
      <c r="EC2445" s="145"/>
      <c r="ED2445" s="145"/>
      <c r="EE2445" s="145"/>
      <c r="EF2445" s="145"/>
      <c r="EG2445" s="145"/>
      <c r="EH2445" s="145"/>
      <c r="EI2445" s="145"/>
      <c r="EJ2445" s="145"/>
      <c r="EK2445" s="145"/>
      <c r="EL2445" s="145"/>
      <c r="EM2445" s="145"/>
      <c r="EN2445" s="145"/>
      <c r="EO2445" s="145"/>
      <c r="EP2445" s="145"/>
      <c r="EQ2445" s="145"/>
      <c r="ER2445" s="145"/>
      <c r="ES2445" s="145"/>
      <c r="ET2445" s="145"/>
      <c r="EU2445" s="145"/>
      <c r="EV2445" s="145"/>
      <c r="EW2445" s="145"/>
      <c r="EX2445" s="145"/>
      <c r="EY2445" s="145"/>
      <c r="EZ2445" s="145"/>
      <c r="FA2445" s="145"/>
      <c r="FB2445" s="145"/>
      <c r="FC2445" s="145"/>
      <c r="FD2445" s="145"/>
      <c r="FE2445" s="145"/>
      <c r="FF2445" s="145"/>
      <c r="FG2445" s="145"/>
      <c r="FH2445" s="145"/>
      <c r="FI2445" s="145"/>
      <c r="FJ2445" s="145"/>
      <c r="FK2445" s="145"/>
      <c r="FL2445" s="145"/>
      <c r="FM2445" s="145"/>
      <c r="FN2445" s="145"/>
      <c r="FO2445" s="145"/>
      <c r="FP2445" s="145"/>
      <c r="FQ2445" s="145"/>
      <c r="FR2445" s="145"/>
      <c r="FS2445" s="145"/>
      <c r="FT2445" s="145"/>
      <c r="FU2445" s="145"/>
      <c r="FV2445" s="145"/>
      <c r="FW2445" s="145"/>
      <c r="FX2445" s="145"/>
      <c r="FY2445" s="145"/>
      <c r="FZ2445" s="145"/>
      <c r="GA2445" s="145"/>
      <c r="GB2445" s="145"/>
      <c r="GC2445" s="145"/>
      <c r="GD2445" s="145"/>
      <c r="GE2445" s="145"/>
      <c r="GF2445" s="145"/>
      <c r="GG2445" s="145"/>
      <c r="GH2445" s="145"/>
      <c r="GI2445" s="145"/>
      <c r="GJ2445" s="145"/>
      <c r="GK2445" s="145"/>
      <c r="GL2445" s="145"/>
      <c r="GM2445" s="145"/>
      <c r="GN2445" s="145"/>
      <c r="GO2445" s="145"/>
      <c r="GP2445" s="145"/>
      <c r="GQ2445" s="145"/>
      <c r="GR2445" s="145"/>
      <c r="GS2445" s="145"/>
      <c r="GT2445" s="145"/>
      <c r="GU2445" s="145"/>
      <c r="GV2445" s="145"/>
      <c r="GW2445" s="145"/>
      <c r="GX2445" s="145"/>
      <c r="GY2445" s="145"/>
      <c r="GZ2445" s="145"/>
      <c r="HA2445" s="145"/>
      <c r="HB2445" s="145"/>
      <c r="HC2445" s="145"/>
      <c r="HD2445" s="145"/>
      <c r="HE2445" s="145"/>
    </row>
    <row r="2446" spans="1:213" s="152" customFormat="1" ht="58" customHeight="1" x14ac:dyDescent="0.35">
      <c r="A2446" s="271"/>
      <c r="B2446" s="271"/>
      <c r="C2446" s="279"/>
      <c r="D2446" s="274"/>
      <c r="E2446" s="268"/>
      <c r="F2446" s="268"/>
      <c r="G2446" s="271"/>
      <c r="H2446" s="136" t="s">
        <v>673</v>
      </c>
      <c r="I2446" s="181">
        <f>D2445*K2446</f>
        <v>92182.5</v>
      </c>
      <c r="J2446" s="181">
        <f>I2446/D2445</f>
        <v>75</v>
      </c>
      <c r="K2446" s="181">
        <f>63+12</f>
        <v>75</v>
      </c>
      <c r="L2446" s="145"/>
      <c r="M2446" s="145"/>
      <c r="N2446" s="145"/>
      <c r="O2446" s="145"/>
      <c r="P2446" s="145"/>
      <c r="Q2446" s="145"/>
      <c r="R2446" s="145"/>
      <c r="S2446" s="145"/>
      <c r="T2446" s="145"/>
      <c r="U2446" s="145"/>
      <c r="V2446" s="145"/>
      <c r="W2446" s="145"/>
      <c r="X2446" s="145"/>
      <c r="Y2446" s="145"/>
      <c r="Z2446" s="145"/>
      <c r="AA2446" s="145"/>
      <c r="AB2446" s="145"/>
      <c r="AC2446" s="145"/>
      <c r="AD2446" s="145"/>
      <c r="AE2446" s="145"/>
      <c r="AF2446" s="145"/>
      <c r="AG2446" s="145"/>
      <c r="AH2446" s="145"/>
      <c r="AI2446" s="145"/>
      <c r="AJ2446" s="145"/>
      <c r="AK2446" s="145"/>
      <c r="AL2446" s="145"/>
      <c r="AM2446" s="145"/>
      <c r="AN2446" s="145"/>
      <c r="AO2446" s="145"/>
      <c r="AP2446" s="145"/>
      <c r="AQ2446" s="145"/>
      <c r="AR2446" s="145"/>
      <c r="AS2446" s="145"/>
      <c r="AT2446" s="145"/>
      <c r="AU2446" s="145"/>
      <c r="AV2446" s="145"/>
      <c r="AW2446" s="145"/>
      <c r="AX2446" s="145"/>
      <c r="AY2446" s="145"/>
      <c r="AZ2446" s="145"/>
      <c r="BA2446" s="145"/>
      <c r="BB2446" s="145"/>
      <c r="BC2446" s="145"/>
      <c r="BD2446" s="145"/>
      <c r="BE2446" s="145"/>
      <c r="BF2446" s="145"/>
      <c r="BG2446" s="145"/>
      <c r="BH2446" s="145"/>
      <c r="BI2446" s="145"/>
      <c r="BJ2446" s="145"/>
      <c r="BK2446" s="145"/>
      <c r="BL2446" s="145"/>
      <c r="BM2446" s="145"/>
      <c r="BN2446" s="145"/>
      <c r="BO2446" s="145"/>
      <c r="BP2446" s="145"/>
      <c r="BQ2446" s="145"/>
      <c r="BR2446" s="145"/>
      <c r="BS2446" s="145"/>
      <c r="BT2446" s="145"/>
      <c r="BU2446" s="145"/>
      <c r="BV2446" s="145"/>
      <c r="BW2446" s="145"/>
      <c r="BX2446" s="145"/>
      <c r="BY2446" s="145"/>
      <c r="BZ2446" s="145"/>
      <c r="CA2446" s="145"/>
      <c r="CB2446" s="145"/>
      <c r="CC2446" s="145"/>
      <c r="CD2446" s="145"/>
      <c r="CE2446" s="145"/>
      <c r="CF2446" s="145"/>
      <c r="CG2446" s="145"/>
      <c r="CH2446" s="145"/>
      <c r="CI2446" s="145"/>
      <c r="CJ2446" s="145"/>
      <c r="CK2446" s="145"/>
      <c r="CL2446" s="145"/>
      <c r="CM2446" s="145"/>
      <c r="CN2446" s="145"/>
      <c r="CO2446" s="145"/>
      <c r="CP2446" s="145"/>
      <c r="CQ2446" s="145"/>
      <c r="CR2446" s="145"/>
      <c r="CS2446" s="145"/>
      <c r="CT2446" s="145"/>
      <c r="CU2446" s="145"/>
      <c r="CV2446" s="145"/>
      <c r="CW2446" s="145"/>
      <c r="CX2446" s="145"/>
      <c r="CY2446" s="145"/>
      <c r="CZ2446" s="145"/>
      <c r="DA2446" s="145"/>
      <c r="DB2446" s="145"/>
      <c r="DC2446" s="145"/>
      <c r="DD2446" s="145"/>
      <c r="DE2446" s="145"/>
      <c r="DF2446" s="145"/>
      <c r="DG2446" s="145"/>
      <c r="DH2446" s="145"/>
      <c r="DI2446" s="145"/>
      <c r="DJ2446" s="145"/>
      <c r="DK2446" s="145"/>
      <c r="DL2446" s="145"/>
      <c r="DM2446" s="145"/>
      <c r="DN2446" s="145"/>
      <c r="DO2446" s="145"/>
      <c r="DP2446" s="145"/>
      <c r="DQ2446" s="145"/>
      <c r="DR2446" s="145"/>
      <c r="DS2446" s="145"/>
      <c r="DT2446" s="145"/>
      <c r="DU2446" s="145"/>
      <c r="DV2446" s="145"/>
      <c r="DW2446" s="145"/>
      <c r="DX2446" s="145"/>
      <c r="DY2446" s="145"/>
      <c r="DZ2446" s="145"/>
      <c r="EA2446" s="145"/>
      <c r="EB2446" s="145"/>
      <c r="EC2446" s="145"/>
      <c r="ED2446" s="145"/>
      <c r="EE2446" s="145"/>
      <c r="EF2446" s="145"/>
      <c r="EG2446" s="145"/>
      <c r="EH2446" s="145"/>
      <c r="EI2446" s="145"/>
      <c r="EJ2446" s="145"/>
      <c r="EK2446" s="145"/>
      <c r="EL2446" s="145"/>
      <c r="EM2446" s="145"/>
      <c r="EN2446" s="145"/>
      <c r="EO2446" s="145"/>
      <c r="EP2446" s="145"/>
      <c r="EQ2446" s="145"/>
      <c r="ER2446" s="145"/>
      <c r="ES2446" s="145"/>
      <c r="ET2446" s="145"/>
      <c r="EU2446" s="145"/>
      <c r="EV2446" s="145"/>
      <c r="EW2446" s="145"/>
      <c r="EX2446" s="145"/>
      <c r="EY2446" s="145"/>
      <c r="EZ2446" s="145"/>
      <c r="FA2446" s="145"/>
      <c r="FB2446" s="145"/>
      <c r="FC2446" s="145"/>
      <c r="FD2446" s="145"/>
      <c r="FE2446" s="145"/>
      <c r="FF2446" s="145"/>
      <c r="FG2446" s="145"/>
      <c r="FH2446" s="145"/>
      <c r="FI2446" s="145"/>
      <c r="FJ2446" s="145"/>
      <c r="FK2446" s="145"/>
      <c r="FL2446" s="145"/>
      <c r="FM2446" s="145"/>
      <c r="FN2446" s="145"/>
      <c r="FO2446" s="145"/>
      <c r="FP2446" s="145"/>
      <c r="FQ2446" s="145"/>
      <c r="FR2446" s="145"/>
      <c r="FS2446" s="145"/>
      <c r="FT2446" s="145"/>
      <c r="FU2446" s="145"/>
      <c r="FV2446" s="145"/>
      <c r="FW2446" s="145"/>
      <c r="FX2446" s="145"/>
      <c r="FY2446" s="145"/>
      <c r="FZ2446" s="145"/>
      <c r="GA2446" s="145"/>
      <c r="GB2446" s="145"/>
      <c r="GC2446" s="145"/>
      <c r="GD2446" s="145"/>
      <c r="GE2446" s="145"/>
      <c r="GF2446" s="145"/>
      <c r="GG2446" s="145"/>
      <c r="GH2446" s="145"/>
      <c r="GI2446" s="145"/>
      <c r="GJ2446" s="145"/>
      <c r="GK2446" s="145"/>
      <c r="GL2446" s="145"/>
      <c r="GM2446" s="145"/>
      <c r="GN2446" s="145"/>
      <c r="GO2446" s="145"/>
      <c r="GP2446" s="145"/>
      <c r="GQ2446" s="145"/>
      <c r="GR2446" s="145"/>
      <c r="GS2446" s="145"/>
      <c r="GT2446" s="145"/>
      <c r="GU2446" s="145"/>
      <c r="GV2446" s="145"/>
      <c r="GW2446" s="145"/>
      <c r="GX2446" s="145"/>
      <c r="GY2446" s="145"/>
      <c r="GZ2446" s="145"/>
      <c r="HA2446" s="145"/>
      <c r="HB2446" s="145"/>
      <c r="HC2446" s="145"/>
      <c r="HD2446" s="145"/>
      <c r="HE2446" s="145"/>
    </row>
    <row r="2447" spans="1:213" s="152" customFormat="1" ht="58.5" customHeight="1" x14ac:dyDescent="0.35">
      <c r="A2447" s="271"/>
      <c r="B2447" s="271"/>
      <c r="C2447" s="279"/>
      <c r="D2447" s="274"/>
      <c r="E2447" s="268"/>
      <c r="F2447" s="268"/>
      <c r="G2447" s="272"/>
      <c r="H2447" s="182" t="s">
        <v>674</v>
      </c>
      <c r="I2447" s="181">
        <f>D2445*K2447</f>
        <v>226154.4</v>
      </c>
      <c r="J2447" s="181">
        <f>I2447/D2445</f>
        <v>184</v>
      </c>
      <c r="K2447" s="181">
        <f>156+28</f>
        <v>184</v>
      </c>
      <c r="L2447" s="123"/>
      <c r="M2447" s="123"/>
      <c r="N2447" s="123"/>
      <c r="O2447" s="123"/>
      <c r="P2447" s="123"/>
      <c r="Q2447" s="123"/>
      <c r="R2447" s="123"/>
      <c r="S2447" s="123"/>
      <c r="T2447" s="123"/>
      <c r="U2447" s="123"/>
      <c r="V2447" s="123"/>
      <c r="W2447" s="123"/>
      <c r="X2447" s="123"/>
      <c r="Y2447" s="123"/>
      <c r="Z2447" s="123"/>
      <c r="AA2447" s="123"/>
      <c r="AB2447" s="123"/>
      <c r="AC2447" s="123"/>
      <c r="AD2447" s="123"/>
      <c r="AE2447" s="123"/>
      <c r="AF2447" s="123"/>
      <c r="AG2447" s="123"/>
      <c r="AH2447" s="123"/>
      <c r="AI2447" s="123"/>
      <c r="AJ2447" s="123"/>
      <c r="AK2447" s="123"/>
      <c r="AL2447" s="123"/>
      <c r="AM2447" s="123"/>
      <c r="AN2447" s="123"/>
      <c r="AO2447" s="123"/>
      <c r="AP2447" s="123"/>
      <c r="AQ2447" s="123"/>
      <c r="AR2447" s="123"/>
      <c r="AS2447" s="123"/>
      <c r="AT2447" s="123"/>
      <c r="AU2447" s="123"/>
      <c r="AV2447" s="123"/>
      <c r="AW2447" s="123"/>
      <c r="AX2447" s="123"/>
      <c r="AY2447" s="123"/>
      <c r="AZ2447" s="123"/>
      <c r="BA2447" s="123"/>
      <c r="BB2447" s="123"/>
      <c r="BC2447" s="123"/>
      <c r="BD2447" s="123"/>
      <c r="BE2447" s="123"/>
      <c r="BF2447" s="123"/>
      <c r="BG2447" s="123"/>
      <c r="BH2447" s="123"/>
      <c r="BI2447" s="123"/>
      <c r="BJ2447" s="123"/>
      <c r="BK2447" s="123"/>
      <c r="BL2447" s="123"/>
      <c r="BM2447" s="123"/>
      <c r="BN2447" s="123"/>
      <c r="BO2447" s="123"/>
      <c r="BP2447" s="123"/>
      <c r="BQ2447" s="123"/>
      <c r="BR2447" s="123"/>
      <c r="BS2447" s="123"/>
      <c r="BT2447" s="123"/>
      <c r="BU2447" s="123"/>
      <c r="BV2447" s="123"/>
      <c r="BW2447" s="123"/>
      <c r="BX2447" s="123"/>
      <c r="BY2447" s="123"/>
      <c r="BZ2447" s="123"/>
      <c r="CA2447" s="123"/>
      <c r="CB2447" s="123"/>
      <c r="CC2447" s="123"/>
      <c r="CD2447" s="123"/>
      <c r="CE2447" s="123"/>
      <c r="CF2447" s="123"/>
      <c r="CG2447" s="123"/>
      <c r="CH2447" s="123"/>
      <c r="CI2447" s="123"/>
      <c r="CJ2447" s="123"/>
      <c r="CK2447" s="123"/>
      <c r="CL2447" s="123"/>
      <c r="CM2447" s="123"/>
      <c r="CN2447" s="123"/>
      <c r="CO2447" s="123"/>
      <c r="CP2447" s="123"/>
      <c r="CQ2447" s="123"/>
      <c r="CR2447" s="123"/>
      <c r="CS2447" s="123"/>
      <c r="CT2447" s="123"/>
      <c r="CU2447" s="123"/>
      <c r="CV2447" s="123"/>
      <c r="CW2447" s="123"/>
      <c r="CX2447" s="123"/>
      <c r="CY2447" s="123"/>
      <c r="CZ2447" s="123"/>
      <c r="DA2447" s="123"/>
      <c r="DB2447" s="123"/>
      <c r="DC2447" s="123"/>
      <c r="DD2447" s="123"/>
      <c r="DE2447" s="123"/>
      <c r="DF2447" s="123"/>
      <c r="DG2447" s="123"/>
      <c r="DH2447" s="123"/>
      <c r="DI2447" s="123"/>
      <c r="DJ2447" s="123"/>
      <c r="DK2447" s="123"/>
      <c r="DL2447" s="123"/>
      <c r="DM2447" s="123"/>
      <c r="DN2447" s="123"/>
      <c r="DO2447" s="123"/>
      <c r="DP2447" s="123"/>
      <c r="DQ2447" s="123"/>
      <c r="DR2447" s="123"/>
      <c r="DS2447" s="123"/>
      <c r="DT2447" s="123"/>
      <c r="DU2447" s="123"/>
      <c r="DV2447" s="123"/>
      <c r="DW2447" s="123"/>
      <c r="DX2447" s="123"/>
      <c r="DY2447" s="123"/>
      <c r="DZ2447" s="123"/>
      <c r="EA2447" s="123"/>
      <c r="EB2447" s="123"/>
      <c r="EC2447" s="123"/>
      <c r="ED2447" s="123"/>
      <c r="EE2447" s="123"/>
      <c r="EF2447" s="123"/>
      <c r="EG2447" s="123"/>
      <c r="EH2447" s="123"/>
      <c r="EI2447" s="123"/>
      <c r="EJ2447" s="123"/>
      <c r="EK2447" s="123"/>
      <c r="EL2447" s="123"/>
      <c r="EM2447" s="123"/>
      <c r="EN2447" s="123"/>
      <c r="EO2447" s="123"/>
      <c r="EP2447" s="123"/>
      <c r="EQ2447" s="123"/>
      <c r="ER2447" s="123"/>
      <c r="ES2447" s="123"/>
      <c r="ET2447" s="123"/>
      <c r="EU2447" s="123"/>
      <c r="EV2447" s="123"/>
      <c r="EW2447" s="123"/>
      <c r="EX2447" s="123"/>
      <c r="EY2447" s="123"/>
      <c r="EZ2447" s="123"/>
      <c r="FA2447" s="123"/>
      <c r="FB2447" s="123"/>
      <c r="FC2447" s="123"/>
      <c r="FD2447" s="123"/>
      <c r="FE2447" s="123"/>
      <c r="FF2447" s="123"/>
      <c r="FG2447" s="123"/>
      <c r="FH2447" s="123"/>
      <c r="FI2447" s="123"/>
      <c r="FJ2447" s="123"/>
      <c r="FK2447" s="123"/>
      <c r="FL2447" s="123"/>
      <c r="FM2447" s="123"/>
      <c r="FN2447" s="123"/>
      <c r="FO2447" s="123"/>
      <c r="FP2447" s="123"/>
      <c r="FQ2447" s="123"/>
      <c r="FR2447" s="123"/>
      <c r="FS2447" s="123"/>
      <c r="FT2447" s="123"/>
      <c r="FU2447" s="123"/>
      <c r="FV2447" s="123"/>
      <c r="FW2447" s="123"/>
      <c r="FX2447" s="123"/>
      <c r="FY2447" s="123"/>
      <c r="FZ2447" s="123"/>
      <c r="GA2447" s="123"/>
      <c r="GB2447" s="123"/>
      <c r="GC2447" s="123"/>
      <c r="GD2447" s="123"/>
      <c r="GE2447" s="123"/>
      <c r="GF2447" s="123"/>
      <c r="GG2447" s="123"/>
      <c r="GH2447" s="123"/>
      <c r="GI2447" s="123"/>
      <c r="GJ2447" s="123"/>
      <c r="GK2447" s="123"/>
      <c r="GL2447" s="123"/>
      <c r="GM2447" s="123"/>
      <c r="GN2447" s="123"/>
      <c r="GO2447" s="123"/>
      <c r="GP2447" s="123"/>
      <c r="GQ2447" s="123"/>
      <c r="GR2447" s="123"/>
      <c r="GS2447" s="123"/>
      <c r="GT2447" s="123"/>
      <c r="GU2447" s="123"/>
      <c r="GV2447" s="123"/>
      <c r="GW2447" s="123"/>
      <c r="GX2447" s="123"/>
      <c r="GY2447" s="123"/>
      <c r="GZ2447" s="123"/>
      <c r="HA2447" s="123"/>
      <c r="HB2447" s="123"/>
      <c r="HC2447" s="123"/>
      <c r="HD2447" s="145"/>
      <c r="HE2447" s="145"/>
    </row>
    <row r="2448" spans="1:213" x14ac:dyDescent="0.35">
      <c r="A2448" s="277">
        <f>A2445+1</f>
        <v>234</v>
      </c>
      <c r="B2448" s="277">
        <v>2733</v>
      </c>
      <c r="C2448" s="286" t="s">
        <v>417</v>
      </c>
      <c r="D2448" s="287">
        <v>822.4</v>
      </c>
      <c r="E2448" s="276" t="s">
        <v>74</v>
      </c>
      <c r="F2448" s="276">
        <v>3</v>
      </c>
      <c r="G2448" s="277" t="s">
        <v>71</v>
      </c>
      <c r="H2448" s="136" t="s">
        <v>72</v>
      </c>
      <c r="I2448" s="181">
        <f>I2449+I2450</f>
        <v>3888307.2</v>
      </c>
      <c r="J2448" s="181">
        <f>J2449+J2450</f>
        <v>4728</v>
      </c>
      <c r="K2448" s="181">
        <f>K2449+K2450</f>
        <v>4728</v>
      </c>
      <c r="L2448" s="145"/>
      <c r="M2448" s="145"/>
      <c r="N2448" s="145"/>
      <c r="O2448" s="145"/>
      <c r="P2448" s="145"/>
      <c r="Q2448" s="145"/>
      <c r="R2448" s="145"/>
      <c r="S2448" s="145"/>
      <c r="T2448" s="145"/>
      <c r="U2448" s="145"/>
      <c r="V2448" s="145"/>
      <c r="W2448" s="145"/>
      <c r="X2448" s="145"/>
      <c r="Y2448" s="145"/>
      <c r="Z2448" s="145"/>
      <c r="AA2448" s="145"/>
      <c r="AB2448" s="145"/>
      <c r="AC2448" s="145"/>
      <c r="AD2448" s="145"/>
      <c r="AE2448" s="145"/>
      <c r="AF2448" s="145"/>
      <c r="AG2448" s="145"/>
      <c r="AH2448" s="145"/>
      <c r="AI2448" s="145"/>
      <c r="AJ2448" s="145"/>
      <c r="AK2448" s="145"/>
      <c r="AL2448" s="145"/>
      <c r="AM2448" s="145"/>
      <c r="AN2448" s="145"/>
      <c r="AO2448" s="145"/>
      <c r="AP2448" s="145"/>
      <c r="AQ2448" s="145"/>
      <c r="AR2448" s="145"/>
      <c r="AS2448" s="145"/>
      <c r="AT2448" s="145"/>
      <c r="AU2448" s="145"/>
      <c r="AV2448" s="145"/>
      <c r="AW2448" s="145"/>
      <c r="AX2448" s="145"/>
      <c r="AY2448" s="145"/>
      <c r="AZ2448" s="145"/>
      <c r="BA2448" s="145"/>
      <c r="BB2448" s="145"/>
      <c r="BC2448" s="145"/>
      <c r="BD2448" s="145"/>
      <c r="BE2448" s="145"/>
      <c r="BF2448" s="145"/>
      <c r="BG2448" s="145"/>
      <c r="BH2448" s="145"/>
      <c r="BI2448" s="145"/>
      <c r="BJ2448" s="145"/>
      <c r="BK2448" s="145"/>
      <c r="BL2448" s="145"/>
      <c r="BM2448" s="145"/>
      <c r="BN2448" s="145"/>
      <c r="BO2448" s="145"/>
      <c r="BP2448" s="145"/>
      <c r="BQ2448" s="145"/>
      <c r="BR2448" s="145"/>
      <c r="BS2448" s="145"/>
      <c r="BT2448" s="145"/>
      <c r="BU2448" s="145"/>
      <c r="BV2448" s="145"/>
      <c r="BW2448" s="145"/>
      <c r="BX2448" s="145"/>
      <c r="BY2448" s="145"/>
      <c r="BZ2448" s="145"/>
      <c r="CA2448" s="145"/>
      <c r="CB2448" s="145"/>
      <c r="CC2448" s="145"/>
      <c r="CD2448" s="145"/>
      <c r="CE2448" s="145"/>
      <c r="CF2448" s="145"/>
      <c r="CG2448" s="145"/>
      <c r="CH2448" s="145"/>
      <c r="CI2448" s="145"/>
      <c r="CJ2448" s="145"/>
      <c r="CK2448" s="145"/>
      <c r="CL2448" s="145"/>
      <c r="CM2448" s="145"/>
      <c r="CN2448" s="145"/>
      <c r="CO2448" s="145"/>
      <c r="CP2448" s="145"/>
      <c r="CQ2448" s="145"/>
      <c r="CR2448" s="145"/>
      <c r="CS2448" s="145"/>
      <c r="CT2448" s="145"/>
      <c r="CU2448" s="145"/>
      <c r="CV2448" s="145"/>
      <c r="CW2448" s="145"/>
      <c r="CX2448" s="145"/>
      <c r="CY2448" s="145"/>
      <c r="CZ2448" s="145"/>
      <c r="DA2448" s="145"/>
      <c r="DB2448" s="145"/>
      <c r="DC2448" s="145"/>
      <c r="DD2448" s="145"/>
      <c r="DE2448" s="145"/>
      <c r="DF2448" s="145"/>
      <c r="DG2448" s="145"/>
      <c r="DH2448" s="145"/>
      <c r="DI2448" s="145"/>
      <c r="DJ2448" s="145"/>
      <c r="DK2448" s="145"/>
      <c r="DL2448" s="145"/>
      <c r="DM2448" s="145"/>
      <c r="DN2448" s="145"/>
      <c r="DO2448" s="145"/>
      <c r="DP2448" s="145"/>
      <c r="DQ2448" s="145"/>
      <c r="DR2448" s="145"/>
      <c r="DS2448" s="145"/>
      <c r="DT2448" s="145"/>
      <c r="DU2448" s="145"/>
      <c r="DV2448" s="145"/>
      <c r="DW2448" s="145"/>
      <c r="DX2448" s="145"/>
      <c r="DY2448" s="145"/>
      <c r="DZ2448" s="145"/>
      <c r="EA2448" s="145"/>
      <c r="EB2448" s="145"/>
      <c r="EC2448" s="145"/>
      <c r="ED2448" s="145"/>
      <c r="EE2448" s="145"/>
      <c r="EF2448" s="145"/>
      <c r="EG2448" s="145"/>
      <c r="EH2448" s="145"/>
      <c r="EI2448" s="145"/>
      <c r="EJ2448" s="145"/>
      <c r="EK2448" s="145"/>
      <c r="EL2448" s="145"/>
      <c r="EM2448" s="145"/>
      <c r="EN2448" s="145"/>
      <c r="EO2448" s="145"/>
      <c r="EP2448" s="145"/>
      <c r="EQ2448" s="145"/>
      <c r="ER2448" s="145"/>
      <c r="ES2448" s="145"/>
      <c r="ET2448" s="145"/>
      <c r="EU2448" s="145"/>
      <c r="EV2448" s="145"/>
      <c r="EW2448" s="145"/>
      <c r="EX2448" s="145"/>
      <c r="EY2448" s="145"/>
      <c r="EZ2448" s="145"/>
      <c r="FA2448" s="145"/>
      <c r="FB2448" s="145"/>
      <c r="FC2448" s="145"/>
      <c r="FD2448" s="145"/>
      <c r="FE2448" s="145"/>
      <c r="FF2448" s="145"/>
      <c r="FG2448" s="145"/>
      <c r="FH2448" s="145"/>
      <c r="FI2448" s="145"/>
      <c r="FJ2448" s="145"/>
      <c r="FK2448" s="145"/>
      <c r="FL2448" s="145"/>
      <c r="FM2448" s="145"/>
      <c r="FN2448" s="145"/>
      <c r="FO2448" s="145"/>
      <c r="FP2448" s="145"/>
      <c r="FQ2448" s="145"/>
      <c r="FR2448" s="145"/>
      <c r="FS2448" s="145"/>
      <c r="FT2448" s="145"/>
      <c r="FU2448" s="145"/>
      <c r="FV2448" s="145"/>
      <c r="FW2448" s="145"/>
      <c r="FX2448" s="145"/>
      <c r="FY2448" s="145"/>
      <c r="FZ2448" s="145"/>
      <c r="GA2448" s="145"/>
      <c r="GB2448" s="145"/>
      <c r="GC2448" s="145"/>
      <c r="GD2448" s="145"/>
      <c r="GE2448" s="145"/>
      <c r="GF2448" s="145"/>
      <c r="GG2448" s="145"/>
      <c r="GH2448" s="145"/>
      <c r="GI2448" s="145"/>
      <c r="GJ2448" s="145"/>
      <c r="GK2448" s="145"/>
      <c r="GL2448" s="145"/>
      <c r="GM2448" s="145"/>
      <c r="GN2448" s="145"/>
      <c r="GO2448" s="145"/>
      <c r="GP2448" s="145"/>
      <c r="GQ2448" s="145"/>
      <c r="GR2448" s="145"/>
      <c r="GS2448" s="145"/>
      <c r="GT2448" s="145"/>
      <c r="GU2448" s="145"/>
      <c r="GV2448" s="145"/>
      <c r="GW2448" s="145"/>
      <c r="GX2448" s="145"/>
      <c r="GY2448" s="145"/>
      <c r="GZ2448" s="145"/>
      <c r="HA2448" s="145"/>
      <c r="HB2448" s="145"/>
      <c r="HC2448" s="145"/>
      <c r="HD2448" s="145"/>
      <c r="HE2448" s="145"/>
    </row>
    <row r="2449" spans="1:214" x14ac:dyDescent="0.35">
      <c r="A2449" s="277">
        <v>75</v>
      </c>
      <c r="B2449" s="277"/>
      <c r="C2449" s="286"/>
      <c r="D2449" s="287"/>
      <c r="E2449" s="276"/>
      <c r="F2449" s="276"/>
      <c r="G2449" s="277"/>
      <c r="H2449" s="136" t="s">
        <v>73</v>
      </c>
      <c r="I2449" s="181">
        <f>D2448*K2449</f>
        <v>3806889.6</v>
      </c>
      <c r="J2449" s="181">
        <f>I2449/D2448</f>
        <v>4629</v>
      </c>
      <c r="K2449" s="181">
        <v>4629</v>
      </c>
      <c r="L2449" s="145"/>
      <c r="M2449" s="145"/>
      <c r="N2449" s="145"/>
      <c r="O2449" s="145"/>
      <c r="P2449" s="145"/>
      <c r="Q2449" s="145"/>
      <c r="R2449" s="145"/>
      <c r="S2449" s="145"/>
      <c r="T2449" s="145"/>
      <c r="U2449" s="145"/>
      <c r="V2449" s="145"/>
      <c r="W2449" s="145"/>
      <c r="X2449" s="145"/>
      <c r="Y2449" s="145"/>
      <c r="Z2449" s="145"/>
      <c r="AA2449" s="145"/>
      <c r="AB2449" s="145"/>
      <c r="AC2449" s="145"/>
      <c r="AD2449" s="145"/>
      <c r="AE2449" s="145"/>
      <c r="AF2449" s="145"/>
      <c r="AG2449" s="145"/>
      <c r="AH2449" s="145"/>
      <c r="AI2449" s="145"/>
      <c r="AJ2449" s="145"/>
      <c r="AK2449" s="145"/>
      <c r="AL2449" s="145"/>
      <c r="AM2449" s="145"/>
      <c r="AN2449" s="145"/>
      <c r="AO2449" s="145"/>
      <c r="AP2449" s="145"/>
      <c r="AQ2449" s="145"/>
      <c r="AR2449" s="145"/>
      <c r="AS2449" s="145"/>
      <c r="AT2449" s="145"/>
      <c r="AU2449" s="145"/>
      <c r="AV2449" s="145"/>
      <c r="AW2449" s="145"/>
      <c r="AX2449" s="145"/>
      <c r="AY2449" s="145"/>
      <c r="AZ2449" s="145"/>
      <c r="BA2449" s="145"/>
      <c r="BB2449" s="145"/>
      <c r="BC2449" s="145"/>
      <c r="BD2449" s="145"/>
      <c r="BE2449" s="145"/>
      <c r="BF2449" s="145"/>
      <c r="BG2449" s="145"/>
      <c r="BH2449" s="145"/>
      <c r="BI2449" s="145"/>
      <c r="BJ2449" s="145"/>
      <c r="BK2449" s="145"/>
      <c r="BL2449" s="145"/>
      <c r="BM2449" s="145"/>
      <c r="BN2449" s="145"/>
      <c r="BO2449" s="145"/>
      <c r="BP2449" s="145"/>
      <c r="BQ2449" s="145"/>
      <c r="BR2449" s="145"/>
      <c r="BS2449" s="145"/>
      <c r="BT2449" s="145"/>
      <c r="BU2449" s="145"/>
      <c r="BV2449" s="145"/>
      <c r="BW2449" s="145"/>
      <c r="BX2449" s="145"/>
      <c r="BY2449" s="145"/>
      <c r="BZ2449" s="145"/>
      <c r="CA2449" s="145"/>
      <c r="CB2449" s="145"/>
      <c r="CC2449" s="145"/>
      <c r="CD2449" s="145"/>
      <c r="CE2449" s="145"/>
      <c r="CF2449" s="145"/>
      <c r="CG2449" s="145"/>
      <c r="CH2449" s="145"/>
      <c r="CI2449" s="145"/>
      <c r="CJ2449" s="145"/>
      <c r="CK2449" s="145"/>
      <c r="CL2449" s="145"/>
      <c r="CM2449" s="145"/>
      <c r="CN2449" s="145"/>
      <c r="CO2449" s="145"/>
      <c r="CP2449" s="145"/>
      <c r="CQ2449" s="145"/>
      <c r="CR2449" s="145"/>
      <c r="CS2449" s="145"/>
      <c r="CT2449" s="145"/>
      <c r="CU2449" s="145"/>
      <c r="CV2449" s="145"/>
      <c r="CW2449" s="145"/>
      <c r="CX2449" s="145"/>
      <c r="CY2449" s="145"/>
      <c r="CZ2449" s="145"/>
      <c r="DA2449" s="145"/>
      <c r="DB2449" s="145"/>
      <c r="DC2449" s="145"/>
      <c r="DD2449" s="145"/>
      <c r="DE2449" s="145"/>
      <c r="DF2449" s="145"/>
      <c r="DG2449" s="145"/>
      <c r="DH2449" s="145"/>
      <c r="DI2449" s="145"/>
      <c r="DJ2449" s="145"/>
      <c r="DK2449" s="145"/>
      <c r="DL2449" s="145"/>
      <c r="DM2449" s="145"/>
      <c r="DN2449" s="145"/>
      <c r="DO2449" s="145"/>
      <c r="DP2449" s="145"/>
      <c r="DQ2449" s="145"/>
      <c r="DR2449" s="145"/>
      <c r="DS2449" s="145"/>
      <c r="DT2449" s="145"/>
      <c r="DU2449" s="145"/>
      <c r="DV2449" s="145"/>
      <c r="DW2449" s="145"/>
      <c r="DX2449" s="145"/>
      <c r="DY2449" s="145"/>
      <c r="DZ2449" s="145"/>
      <c r="EA2449" s="145"/>
      <c r="EB2449" s="145"/>
      <c r="EC2449" s="145"/>
      <c r="ED2449" s="145"/>
      <c r="EE2449" s="145"/>
      <c r="EF2449" s="145"/>
      <c r="EG2449" s="145"/>
      <c r="EH2449" s="145"/>
      <c r="EI2449" s="145"/>
      <c r="EJ2449" s="145"/>
      <c r="EK2449" s="145"/>
      <c r="EL2449" s="145"/>
      <c r="EM2449" s="145"/>
      <c r="EN2449" s="145"/>
      <c r="EO2449" s="145"/>
      <c r="EP2449" s="145"/>
      <c r="EQ2449" s="145"/>
      <c r="ER2449" s="145"/>
      <c r="ES2449" s="145"/>
      <c r="ET2449" s="145"/>
      <c r="EU2449" s="145"/>
      <c r="EV2449" s="145"/>
      <c r="EW2449" s="145"/>
      <c r="EX2449" s="145"/>
      <c r="EY2449" s="145"/>
      <c r="EZ2449" s="145"/>
      <c r="FA2449" s="145"/>
      <c r="FB2449" s="145"/>
      <c r="FC2449" s="145"/>
      <c r="FD2449" s="145"/>
      <c r="FE2449" s="145"/>
      <c r="FF2449" s="145"/>
      <c r="FG2449" s="145"/>
      <c r="FH2449" s="145"/>
      <c r="FI2449" s="145"/>
      <c r="FJ2449" s="145"/>
      <c r="FK2449" s="145"/>
      <c r="FL2449" s="145"/>
      <c r="FM2449" s="145"/>
      <c r="FN2449" s="145"/>
      <c r="FO2449" s="145"/>
      <c r="FP2449" s="145"/>
      <c r="FQ2449" s="145"/>
      <c r="FR2449" s="145"/>
      <c r="FS2449" s="145"/>
      <c r="FT2449" s="145"/>
      <c r="FU2449" s="145"/>
      <c r="FV2449" s="145"/>
      <c r="FW2449" s="145"/>
      <c r="FX2449" s="145"/>
      <c r="FY2449" s="145"/>
      <c r="FZ2449" s="145"/>
      <c r="GA2449" s="145"/>
      <c r="GB2449" s="145"/>
      <c r="GC2449" s="145"/>
      <c r="GD2449" s="145"/>
      <c r="GE2449" s="145"/>
      <c r="GF2449" s="145"/>
      <c r="GG2449" s="145"/>
      <c r="GH2449" s="145"/>
      <c r="GI2449" s="145"/>
      <c r="GJ2449" s="145"/>
      <c r="GK2449" s="145"/>
      <c r="GL2449" s="145"/>
      <c r="GM2449" s="145"/>
      <c r="GN2449" s="145"/>
      <c r="GO2449" s="145"/>
      <c r="GP2449" s="145"/>
      <c r="GQ2449" s="145"/>
      <c r="GR2449" s="145"/>
      <c r="GS2449" s="145"/>
      <c r="GT2449" s="145"/>
      <c r="GU2449" s="145"/>
      <c r="GV2449" s="145"/>
      <c r="GW2449" s="145"/>
      <c r="GX2449" s="145"/>
      <c r="GY2449" s="145"/>
      <c r="GZ2449" s="145"/>
      <c r="HA2449" s="145"/>
      <c r="HB2449" s="145"/>
      <c r="HC2449" s="145"/>
      <c r="HD2449" s="145"/>
      <c r="HE2449" s="145"/>
    </row>
    <row r="2450" spans="1:214" x14ac:dyDescent="0.35">
      <c r="A2450" s="277"/>
      <c r="B2450" s="277"/>
      <c r="C2450" s="286"/>
      <c r="D2450" s="287"/>
      <c r="E2450" s="276"/>
      <c r="F2450" s="276"/>
      <c r="G2450" s="277"/>
      <c r="H2450" s="136" t="s">
        <v>75</v>
      </c>
      <c r="I2450" s="181">
        <f>D2448*K2450</f>
        <v>81417.600000000006</v>
      </c>
      <c r="J2450" s="181">
        <f>I2450/D2448</f>
        <v>99</v>
      </c>
      <c r="K2450" s="181">
        <v>99</v>
      </c>
      <c r="L2450" s="145"/>
      <c r="M2450" s="145"/>
      <c r="N2450" s="145"/>
      <c r="O2450" s="145"/>
      <c r="P2450" s="145"/>
      <c r="Q2450" s="145"/>
      <c r="R2450" s="145"/>
      <c r="S2450" s="145"/>
      <c r="T2450" s="145"/>
      <c r="U2450" s="145"/>
      <c r="V2450" s="145"/>
      <c r="W2450" s="145"/>
      <c r="X2450" s="145"/>
      <c r="Y2450" s="145"/>
      <c r="Z2450" s="145"/>
      <c r="AA2450" s="145"/>
      <c r="AB2450" s="145"/>
      <c r="AC2450" s="145"/>
      <c r="AD2450" s="145"/>
      <c r="AE2450" s="145"/>
      <c r="AF2450" s="145"/>
      <c r="AG2450" s="145"/>
      <c r="AH2450" s="145"/>
      <c r="AI2450" s="145"/>
      <c r="AJ2450" s="145"/>
      <c r="AK2450" s="145"/>
      <c r="AL2450" s="145"/>
      <c r="AM2450" s="145"/>
      <c r="AN2450" s="145"/>
      <c r="AO2450" s="145"/>
      <c r="AP2450" s="145"/>
      <c r="AQ2450" s="145"/>
      <c r="AR2450" s="145"/>
      <c r="AS2450" s="145"/>
      <c r="AT2450" s="145"/>
      <c r="AU2450" s="145"/>
      <c r="AV2450" s="145"/>
      <c r="AW2450" s="145"/>
      <c r="AX2450" s="145"/>
      <c r="AY2450" s="145"/>
      <c r="AZ2450" s="145"/>
      <c r="BA2450" s="145"/>
      <c r="BB2450" s="145"/>
      <c r="BC2450" s="145"/>
      <c r="BD2450" s="145"/>
      <c r="BE2450" s="145"/>
      <c r="BF2450" s="145"/>
      <c r="BG2450" s="145"/>
      <c r="BH2450" s="145"/>
      <c r="BI2450" s="145"/>
      <c r="BJ2450" s="145"/>
      <c r="BK2450" s="145"/>
      <c r="BL2450" s="145"/>
      <c r="BM2450" s="145"/>
      <c r="BN2450" s="145"/>
      <c r="BO2450" s="145"/>
      <c r="BP2450" s="145"/>
      <c r="BQ2450" s="145"/>
      <c r="BR2450" s="145"/>
      <c r="BS2450" s="145"/>
      <c r="BT2450" s="145"/>
      <c r="BU2450" s="145"/>
      <c r="BV2450" s="145"/>
      <c r="BW2450" s="145"/>
      <c r="BX2450" s="145"/>
      <c r="BY2450" s="145"/>
      <c r="BZ2450" s="145"/>
      <c r="CA2450" s="145"/>
      <c r="CB2450" s="145"/>
      <c r="CC2450" s="145"/>
      <c r="CD2450" s="145"/>
      <c r="CE2450" s="145"/>
      <c r="CF2450" s="145"/>
      <c r="CG2450" s="145"/>
      <c r="CH2450" s="145"/>
      <c r="CI2450" s="145"/>
      <c r="CJ2450" s="145"/>
      <c r="CK2450" s="145"/>
      <c r="CL2450" s="145"/>
      <c r="CM2450" s="145"/>
      <c r="CN2450" s="145"/>
      <c r="CO2450" s="145"/>
      <c r="CP2450" s="145"/>
      <c r="CQ2450" s="145"/>
      <c r="CR2450" s="145"/>
      <c r="CS2450" s="145"/>
      <c r="CT2450" s="145"/>
      <c r="CU2450" s="145"/>
      <c r="CV2450" s="145"/>
      <c r="CW2450" s="145"/>
      <c r="CX2450" s="145"/>
      <c r="CY2450" s="145"/>
      <c r="CZ2450" s="145"/>
      <c r="DA2450" s="145"/>
      <c r="DB2450" s="145"/>
      <c r="DC2450" s="145"/>
      <c r="DD2450" s="145"/>
      <c r="DE2450" s="145"/>
      <c r="DF2450" s="145"/>
      <c r="DG2450" s="145"/>
      <c r="DH2450" s="145"/>
      <c r="DI2450" s="145"/>
      <c r="DJ2450" s="145"/>
      <c r="DK2450" s="145"/>
      <c r="DL2450" s="145"/>
      <c r="DM2450" s="145"/>
      <c r="DN2450" s="145"/>
      <c r="DO2450" s="145"/>
      <c r="DP2450" s="145"/>
      <c r="DQ2450" s="145"/>
      <c r="DR2450" s="145"/>
      <c r="DS2450" s="145"/>
      <c r="DT2450" s="145"/>
      <c r="DU2450" s="145"/>
      <c r="DV2450" s="145"/>
      <c r="DW2450" s="145"/>
      <c r="DX2450" s="145"/>
      <c r="DY2450" s="145"/>
      <c r="DZ2450" s="145"/>
      <c r="EA2450" s="145"/>
      <c r="EB2450" s="145"/>
      <c r="EC2450" s="145"/>
      <c r="ED2450" s="145"/>
      <c r="EE2450" s="145"/>
      <c r="EF2450" s="145"/>
      <c r="EG2450" s="145"/>
      <c r="EH2450" s="145"/>
      <c r="EI2450" s="145"/>
      <c r="EJ2450" s="145"/>
      <c r="EK2450" s="145"/>
      <c r="EL2450" s="145"/>
      <c r="EM2450" s="145"/>
      <c r="EN2450" s="145"/>
      <c r="EO2450" s="145"/>
      <c r="EP2450" s="145"/>
      <c r="EQ2450" s="145"/>
      <c r="ER2450" s="145"/>
      <c r="ES2450" s="145"/>
      <c r="ET2450" s="145"/>
      <c r="EU2450" s="145"/>
      <c r="EV2450" s="145"/>
      <c r="EW2450" s="145"/>
      <c r="EX2450" s="145"/>
      <c r="EY2450" s="145"/>
      <c r="EZ2450" s="145"/>
      <c r="FA2450" s="145"/>
      <c r="FB2450" s="145"/>
      <c r="FC2450" s="145"/>
      <c r="FD2450" s="145"/>
      <c r="FE2450" s="145"/>
      <c r="FF2450" s="145"/>
      <c r="FG2450" s="145"/>
      <c r="FH2450" s="145"/>
      <c r="FI2450" s="145"/>
      <c r="FJ2450" s="145"/>
      <c r="FK2450" s="145"/>
      <c r="FL2450" s="145"/>
      <c r="FM2450" s="145"/>
      <c r="FN2450" s="145"/>
      <c r="FO2450" s="145"/>
      <c r="FP2450" s="145"/>
      <c r="FQ2450" s="145"/>
      <c r="FR2450" s="145"/>
      <c r="FS2450" s="145"/>
      <c r="FT2450" s="145"/>
      <c r="FU2450" s="145"/>
      <c r="FV2450" s="145"/>
      <c r="FW2450" s="145"/>
      <c r="FX2450" s="145"/>
      <c r="FY2450" s="145"/>
      <c r="FZ2450" s="145"/>
      <c r="GA2450" s="145"/>
      <c r="GB2450" s="145"/>
      <c r="GC2450" s="145"/>
      <c r="GD2450" s="145"/>
      <c r="GE2450" s="145"/>
      <c r="GF2450" s="145"/>
      <c r="GG2450" s="145"/>
      <c r="GH2450" s="145"/>
      <c r="GI2450" s="145"/>
      <c r="GJ2450" s="145"/>
      <c r="GK2450" s="145"/>
      <c r="GL2450" s="145"/>
      <c r="GM2450" s="145"/>
      <c r="GN2450" s="145"/>
      <c r="GO2450" s="145"/>
      <c r="GP2450" s="145"/>
      <c r="GQ2450" s="145"/>
      <c r="GR2450" s="145"/>
      <c r="GS2450" s="145"/>
      <c r="GT2450" s="145"/>
      <c r="GU2450" s="145"/>
      <c r="GV2450" s="145"/>
      <c r="GW2450" s="145"/>
      <c r="GX2450" s="145"/>
      <c r="GY2450" s="145"/>
      <c r="GZ2450" s="145"/>
      <c r="HA2450" s="145"/>
      <c r="HB2450" s="145"/>
      <c r="HC2450" s="145"/>
      <c r="HD2450" s="145"/>
      <c r="HE2450" s="145"/>
    </row>
    <row r="2451" spans="1:214" x14ac:dyDescent="0.35">
      <c r="A2451" s="277">
        <f>A2448+1</f>
        <v>235</v>
      </c>
      <c r="B2451" s="277">
        <v>2268</v>
      </c>
      <c r="C2451" s="286" t="s">
        <v>418</v>
      </c>
      <c r="D2451" s="287">
        <v>3547.2</v>
      </c>
      <c r="E2451" s="276" t="s">
        <v>70</v>
      </c>
      <c r="F2451" s="276">
        <v>5</v>
      </c>
      <c r="G2451" s="277" t="s">
        <v>71</v>
      </c>
      <c r="H2451" s="136" t="s">
        <v>72</v>
      </c>
      <c r="I2451" s="181">
        <f>I2452+I2453</f>
        <v>7188220.0899999999</v>
      </c>
      <c r="J2451" s="181">
        <f>J2452+J2453</f>
        <v>2026.45</v>
      </c>
      <c r="K2451" s="181">
        <f>K2452+K2453</f>
        <v>3449</v>
      </c>
      <c r="L2451" s="145"/>
      <c r="M2451" s="145"/>
      <c r="N2451" s="145"/>
      <c r="O2451" s="145"/>
      <c r="P2451" s="145"/>
      <c r="Q2451" s="145"/>
      <c r="R2451" s="145"/>
      <c r="S2451" s="145"/>
      <c r="T2451" s="145"/>
      <c r="U2451" s="145"/>
      <c r="V2451" s="145"/>
      <c r="W2451" s="145"/>
      <c r="X2451" s="145"/>
      <c r="Y2451" s="145"/>
      <c r="Z2451" s="145"/>
      <c r="AA2451" s="145"/>
      <c r="AB2451" s="145"/>
      <c r="AC2451" s="145"/>
      <c r="AD2451" s="145"/>
      <c r="AE2451" s="145"/>
      <c r="AF2451" s="145"/>
      <c r="AG2451" s="145"/>
      <c r="AH2451" s="145"/>
      <c r="AI2451" s="145"/>
      <c r="AJ2451" s="145"/>
      <c r="AK2451" s="145"/>
      <c r="AL2451" s="145"/>
      <c r="AM2451" s="145"/>
      <c r="AN2451" s="145"/>
      <c r="AO2451" s="145"/>
      <c r="AP2451" s="145"/>
      <c r="AQ2451" s="145"/>
      <c r="AR2451" s="145"/>
      <c r="AS2451" s="145"/>
      <c r="AT2451" s="145"/>
      <c r="AU2451" s="145"/>
      <c r="AV2451" s="145"/>
      <c r="AW2451" s="145"/>
      <c r="AX2451" s="145"/>
      <c r="AY2451" s="145"/>
      <c r="AZ2451" s="145"/>
      <c r="BA2451" s="145"/>
      <c r="BB2451" s="145"/>
      <c r="BC2451" s="145"/>
      <c r="BD2451" s="145"/>
      <c r="BE2451" s="145"/>
      <c r="BF2451" s="145"/>
      <c r="BG2451" s="145"/>
      <c r="BH2451" s="145"/>
      <c r="BI2451" s="145"/>
      <c r="BJ2451" s="145"/>
      <c r="BK2451" s="145"/>
      <c r="BL2451" s="145"/>
      <c r="BM2451" s="145"/>
      <c r="BN2451" s="145"/>
      <c r="BO2451" s="145"/>
      <c r="BP2451" s="145"/>
      <c r="BQ2451" s="145"/>
      <c r="BR2451" s="145"/>
      <c r="BS2451" s="145"/>
      <c r="BT2451" s="145"/>
      <c r="BU2451" s="145"/>
      <c r="BV2451" s="145"/>
      <c r="BW2451" s="145"/>
      <c r="BX2451" s="145"/>
      <c r="BY2451" s="145"/>
      <c r="BZ2451" s="145"/>
      <c r="CA2451" s="145"/>
      <c r="CB2451" s="145"/>
      <c r="CC2451" s="145"/>
      <c r="CD2451" s="145"/>
      <c r="CE2451" s="145"/>
      <c r="CF2451" s="145"/>
      <c r="CG2451" s="145"/>
      <c r="CH2451" s="145"/>
      <c r="CI2451" s="145"/>
      <c r="CJ2451" s="145"/>
      <c r="CK2451" s="145"/>
      <c r="CL2451" s="145"/>
      <c r="CM2451" s="145"/>
      <c r="CN2451" s="145"/>
      <c r="CO2451" s="145"/>
      <c r="CP2451" s="145"/>
      <c r="CQ2451" s="145"/>
      <c r="CR2451" s="145"/>
      <c r="CS2451" s="145"/>
      <c r="CT2451" s="145"/>
      <c r="CU2451" s="145"/>
      <c r="CV2451" s="145"/>
      <c r="CW2451" s="145"/>
      <c r="CX2451" s="145"/>
      <c r="CY2451" s="145"/>
      <c r="CZ2451" s="145"/>
      <c r="DA2451" s="145"/>
      <c r="DB2451" s="145"/>
      <c r="DC2451" s="145"/>
      <c r="DD2451" s="145"/>
      <c r="DE2451" s="145"/>
      <c r="DF2451" s="145"/>
      <c r="DG2451" s="145"/>
      <c r="DH2451" s="145"/>
      <c r="DI2451" s="145"/>
      <c r="DJ2451" s="145"/>
      <c r="DK2451" s="145"/>
      <c r="DL2451" s="145"/>
      <c r="DM2451" s="145"/>
      <c r="DN2451" s="145"/>
      <c r="DO2451" s="145"/>
      <c r="DP2451" s="145"/>
      <c r="DQ2451" s="145"/>
      <c r="DR2451" s="145"/>
      <c r="DS2451" s="145"/>
      <c r="DT2451" s="145"/>
      <c r="DU2451" s="145"/>
      <c r="DV2451" s="145"/>
      <c r="DW2451" s="145"/>
      <c r="DX2451" s="145"/>
      <c r="DY2451" s="145"/>
      <c r="DZ2451" s="145"/>
      <c r="EA2451" s="145"/>
      <c r="EB2451" s="145"/>
      <c r="EC2451" s="145"/>
      <c r="ED2451" s="145"/>
      <c r="EE2451" s="145"/>
      <c r="EF2451" s="145"/>
      <c r="EG2451" s="145"/>
      <c r="EH2451" s="145"/>
      <c r="EI2451" s="145"/>
      <c r="EJ2451" s="145"/>
      <c r="EK2451" s="145"/>
      <c r="EL2451" s="145"/>
      <c r="EM2451" s="145"/>
      <c r="EN2451" s="145"/>
      <c r="EO2451" s="145"/>
      <c r="EP2451" s="145"/>
      <c r="EQ2451" s="145"/>
      <c r="ER2451" s="145"/>
      <c r="ES2451" s="145"/>
      <c r="ET2451" s="145"/>
      <c r="EU2451" s="145"/>
      <c r="EV2451" s="145"/>
      <c r="EW2451" s="145"/>
      <c r="EX2451" s="145"/>
      <c r="EY2451" s="145"/>
      <c r="EZ2451" s="145"/>
      <c r="FA2451" s="145"/>
      <c r="FB2451" s="145"/>
      <c r="FC2451" s="145"/>
      <c r="FD2451" s="145"/>
      <c r="FE2451" s="145"/>
      <c r="FF2451" s="145"/>
      <c r="FG2451" s="145"/>
      <c r="FH2451" s="145"/>
      <c r="FI2451" s="145"/>
      <c r="FJ2451" s="145"/>
      <c r="FK2451" s="145"/>
      <c r="FL2451" s="145"/>
      <c r="FM2451" s="145"/>
      <c r="FN2451" s="145"/>
      <c r="FO2451" s="145"/>
      <c r="FP2451" s="145"/>
      <c r="FQ2451" s="145"/>
      <c r="FR2451" s="145"/>
      <c r="FS2451" s="145"/>
      <c r="FT2451" s="145"/>
      <c r="FU2451" s="145"/>
      <c r="FV2451" s="145"/>
      <c r="FW2451" s="145"/>
      <c r="FX2451" s="145"/>
      <c r="FY2451" s="145"/>
      <c r="FZ2451" s="145"/>
      <c r="GA2451" s="145"/>
      <c r="GB2451" s="145"/>
      <c r="GC2451" s="145"/>
      <c r="GD2451" s="145"/>
      <c r="GE2451" s="145"/>
      <c r="GF2451" s="145"/>
      <c r="GG2451" s="145"/>
      <c r="GH2451" s="145"/>
      <c r="GI2451" s="145"/>
      <c r="GJ2451" s="145"/>
      <c r="GK2451" s="145"/>
      <c r="GL2451" s="145"/>
      <c r="GM2451" s="145"/>
      <c r="GN2451" s="145"/>
      <c r="GO2451" s="145"/>
      <c r="GP2451" s="145"/>
      <c r="GQ2451" s="145"/>
      <c r="GR2451" s="145"/>
      <c r="GS2451" s="145"/>
      <c r="GT2451" s="145"/>
      <c r="GU2451" s="145"/>
      <c r="GV2451" s="145"/>
      <c r="GW2451" s="145"/>
      <c r="GX2451" s="145"/>
      <c r="GY2451" s="145"/>
      <c r="GZ2451" s="145"/>
      <c r="HA2451" s="145"/>
      <c r="HB2451" s="145"/>
      <c r="HC2451" s="145"/>
      <c r="HD2451" s="145"/>
      <c r="HE2451" s="145"/>
      <c r="HF2451" s="145"/>
    </row>
    <row r="2452" spans="1:214" ht="44" customHeight="1" x14ac:dyDescent="0.35">
      <c r="A2452" s="277">
        <v>77</v>
      </c>
      <c r="B2452" s="277"/>
      <c r="C2452" s="286"/>
      <c r="D2452" s="287"/>
      <c r="E2452" s="276"/>
      <c r="F2452" s="276"/>
      <c r="G2452" s="277"/>
      <c r="H2452" s="136" t="s">
        <v>85</v>
      </c>
      <c r="I2452" s="181">
        <v>6972087.5999999996</v>
      </c>
      <c r="J2452" s="181">
        <f>I2452/D2451</f>
        <v>1965.52</v>
      </c>
      <c r="K2452" s="181">
        <v>3377</v>
      </c>
      <c r="L2452" s="145"/>
      <c r="M2452" s="145"/>
      <c r="N2452" s="145"/>
      <c r="O2452" s="145"/>
      <c r="P2452" s="145"/>
      <c r="Q2452" s="145"/>
      <c r="R2452" s="145"/>
      <c r="S2452" s="145"/>
      <c r="T2452" s="145"/>
      <c r="U2452" s="145"/>
      <c r="V2452" s="145"/>
      <c r="W2452" s="145"/>
      <c r="X2452" s="145"/>
      <c r="Y2452" s="145"/>
      <c r="Z2452" s="145"/>
      <c r="AA2452" s="145"/>
      <c r="AB2452" s="145"/>
      <c r="AC2452" s="145"/>
      <c r="AD2452" s="145"/>
      <c r="AE2452" s="145"/>
      <c r="AF2452" s="145"/>
      <c r="AG2452" s="145"/>
      <c r="AH2452" s="145"/>
      <c r="AI2452" s="145"/>
      <c r="AJ2452" s="145"/>
      <c r="AK2452" s="145"/>
      <c r="AL2452" s="145"/>
      <c r="AM2452" s="145"/>
      <c r="AN2452" s="145"/>
      <c r="AO2452" s="145"/>
      <c r="AP2452" s="145"/>
      <c r="AQ2452" s="145"/>
      <c r="AR2452" s="145"/>
      <c r="AS2452" s="145"/>
      <c r="AT2452" s="145"/>
      <c r="AU2452" s="145"/>
      <c r="AV2452" s="145"/>
      <c r="AW2452" s="145"/>
      <c r="AX2452" s="145"/>
      <c r="AY2452" s="145"/>
      <c r="AZ2452" s="145"/>
      <c r="BA2452" s="145"/>
      <c r="BB2452" s="145"/>
      <c r="BC2452" s="145"/>
      <c r="BD2452" s="145"/>
      <c r="BE2452" s="145"/>
      <c r="BF2452" s="145"/>
      <c r="BG2452" s="145"/>
      <c r="BH2452" s="145"/>
      <c r="BI2452" s="145"/>
      <c r="BJ2452" s="145"/>
      <c r="BK2452" s="145"/>
      <c r="BL2452" s="145"/>
      <c r="BM2452" s="145"/>
      <c r="BN2452" s="145"/>
      <c r="BO2452" s="145"/>
      <c r="BP2452" s="145"/>
      <c r="BQ2452" s="145"/>
      <c r="BR2452" s="145"/>
      <c r="BS2452" s="145"/>
      <c r="BT2452" s="145"/>
      <c r="BU2452" s="145"/>
      <c r="BV2452" s="145"/>
      <c r="BW2452" s="145"/>
      <c r="BX2452" s="145"/>
      <c r="BY2452" s="145"/>
      <c r="BZ2452" s="145"/>
      <c r="CA2452" s="145"/>
      <c r="CB2452" s="145"/>
      <c r="CC2452" s="145"/>
      <c r="CD2452" s="145"/>
      <c r="CE2452" s="145"/>
      <c r="CF2452" s="145"/>
      <c r="CG2452" s="145"/>
      <c r="CH2452" s="145"/>
      <c r="CI2452" s="145"/>
      <c r="CJ2452" s="145"/>
      <c r="CK2452" s="145"/>
      <c r="CL2452" s="145"/>
      <c r="CM2452" s="145"/>
      <c r="CN2452" s="145"/>
      <c r="CO2452" s="145"/>
      <c r="CP2452" s="145"/>
      <c r="CQ2452" s="145"/>
      <c r="CR2452" s="145"/>
      <c r="CS2452" s="145"/>
      <c r="CT2452" s="145"/>
      <c r="CU2452" s="145"/>
      <c r="CV2452" s="145"/>
      <c r="CW2452" s="145"/>
      <c r="CX2452" s="145"/>
      <c r="CY2452" s="145"/>
      <c r="CZ2452" s="145"/>
      <c r="DA2452" s="145"/>
      <c r="DB2452" s="145"/>
      <c r="DC2452" s="145"/>
      <c r="DD2452" s="145"/>
      <c r="DE2452" s="145"/>
      <c r="DF2452" s="145"/>
      <c r="DG2452" s="145"/>
      <c r="DH2452" s="145"/>
      <c r="DI2452" s="145"/>
      <c r="DJ2452" s="145"/>
      <c r="DK2452" s="145"/>
      <c r="DL2452" s="145"/>
      <c r="DM2452" s="145"/>
      <c r="DN2452" s="145"/>
      <c r="DO2452" s="145"/>
      <c r="DP2452" s="145"/>
      <c r="DQ2452" s="145"/>
      <c r="DR2452" s="145"/>
      <c r="DS2452" s="145"/>
      <c r="DT2452" s="145"/>
      <c r="DU2452" s="145"/>
      <c r="DV2452" s="145"/>
      <c r="DW2452" s="145"/>
      <c r="DX2452" s="145"/>
      <c r="DY2452" s="145"/>
      <c r="DZ2452" s="145"/>
      <c r="EA2452" s="145"/>
      <c r="EB2452" s="145"/>
      <c r="EC2452" s="145"/>
      <c r="ED2452" s="145"/>
      <c r="EE2452" s="145"/>
      <c r="EF2452" s="145"/>
      <c r="EG2452" s="145"/>
      <c r="EH2452" s="145"/>
      <c r="EI2452" s="145"/>
      <c r="EJ2452" s="145"/>
      <c r="EK2452" s="145"/>
      <c r="EL2452" s="145"/>
      <c r="EM2452" s="145"/>
      <c r="EN2452" s="145"/>
      <c r="EO2452" s="145"/>
      <c r="EP2452" s="145"/>
      <c r="EQ2452" s="145"/>
      <c r="ER2452" s="145"/>
      <c r="ES2452" s="145"/>
      <c r="ET2452" s="145"/>
      <c r="EU2452" s="145"/>
      <c r="EV2452" s="145"/>
      <c r="EW2452" s="145"/>
      <c r="EX2452" s="145"/>
      <c r="EY2452" s="145"/>
      <c r="EZ2452" s="145"/>
      <c r="FA2452" s="145"/>
      <c r="FB2452" s="145"/>
      <c r="FC2452" s="145"/>
      <c r="FD2452" s="145"/>
      <c r="FE2452" s="145"/>
      <c r="FF2452" s="145"/>
      <c r="FG2452" s="145"/>
      <c r="FH2452" s="145"/>
      <c r="FI2452" s="145"/>
      <c r="FJ2452" s="145"/>
      <c r="FK2452" s="145"/>
      <c r="FL2452" s="145"/>
      <c r="FM2452" s="145"/>
      <c r="FN2452" s="145"/>
      <c r="FO2452" s="145"/>
      <c r="FP2452" s="145"/>
      <c r="FQ2452" s="145"/>
      <c r="FR2452" s="145"/>
      <c r="FS2452" s="145"/>
      <c r="FT2452" s="145"/>
      <c r="FU2452" s="145"/>
      <c r="FV2452" s="145"/>
      <c r="FW2452" s="145"/>
      <c r="FX2452" s="145"/>
      <c r="FY2452" s="145"/>
      <c r="FZ2452" s="145"/>
      <c r="GA2452" s="145"/>
      <c r="GB2452" s="145"/>
      <c r="GC2452" s="145"/>
      <c r="GD2452" s="145"/>
      <c r="GE2452" s="145"/>
      <c r="GF2452" s="145"/>
      <c r="GG2452" s="145"/>
      <c r="GH2452" s="145"/>
      <c r="GI2452" s="145"/>
      <c r="GJ2452" s="145"/>
      <c r="GK2452" s="145"/>
      <c r="GL2452" s="145"/>
      <c r="GM2452" s="145"/>
      <c r="GN2452" s="145"/>
      <c r="GO2452" s="145"/>
      <c r="GP2452" s="145"/>
      <c r="GQ2452" s="145"/>
      <c r="GR2452" s="145"/>
      <c r="GS2452" s="145"/>
      <c r="GT2452" s="145"/>
      <c r="GU2452" s="145"/>
      <c r="GV2452" s="145"/>
      <c r="GW2452" s="145"/>
      <c r="GX2452" s="145"/>
      <c r="GY2452" s="145"/>
      <c r="GZ2452" s="145"/>
      <c r="HA2452" s="145"/>
      <c r="HB2452" s="145"/>
      <c r="HC2452" s="145"/>
      <c r="HD2452" s="145"/>
      <c r="HE2452" s="145"/>
      <c r="HF2452" s="145"/>
    </row>
    <row r="2453" spans="1:214" x14ac:dyDescent="0.35">
      <c r="A2453" s="277">
        <v>78</v>
      </c>
      <c r="B2453" s="277"/>
      <c r="C2453" s="286"/>
      <c r="D2453" s="287"/>
      <c r="E2453" s="276"/>
      <c r="F2453" s="276"/>
      <c r="G2453" s="277"/>
      <c r="H2453" s="136" t="s">
        <v>75</v>
      </c>
      <c r="I2453" s="181">
        <v>216132.49</v>
      </c>
      <c r="J2453" s="181">
        <f>I2453/D2451</f>
        <v>60.93</v>
      </c>
      <c r="K2453" s="181">
        <v>72</v>
      </c>
      <c r="L2453" s="145"/>
      <c r="M2453" s="145"/>
      <c r="N2453" s="145"/>
      <c r="O2453" s="145"/>
      <c r="P2453" s="145"/>
      <c r="Q2453" s="145"/>
      <c r="R2453" s="145"/>
      <c r="S2453" s="145"/>
      <c r="T2453" s="145"/>
      <c r="U2453" s="145"/>
      <c r="V2453" s="145"/>
      <c r="W2453" s="145"/>
      <c r="X2453" s="145"/>
      <c r="Y2453" s="145"/>
      <c r="Z2453" s="145"/>
      <c r="AA2453" s="145"/>
      <c r="AB2453" s="145"/>
      <c r="AC2453" s="145"/>
      <c r="AD2453" s="145"/>
      <c r="AE2453" s="145"/>
      <c r="AF2453" s="145"/>
      <c r="AG2453" s="145"/>
      <c r="AH2453" s="145"/>
      <c r="AI2453" s="145"/>
      <c r="AJ2453" s="145"/>
      <c r="AK2453" s="145"/>
      <c r="AL2453" s="145"/>
      <c r="AM2453" s="145"/>
      <c r="AN2453" s="145"/>
      <c r="AO2453" s="145"/>
      <c r="AP2453" s="145"/>
      <c r="AQ2453" s="145"/>
      <c r="AR2453" s="145"/>
      <c r="AS2453" s="145"/>
      <c r="AT2453" s="145"/>
      <c r="AU2453" s="145"/>
      <c r="AV2453" s="145"/>
      <c r="AW2453" s="145"/>
      <c r="AX2453" s="145"/>
      <c r="AY2453" s="145"/>
      <c r="AZ2453" s="145"/>
      <c r="BA2453" s="145"/>
      <c r="BB2453" s="145"/>
      <c r="BC2453" s="145"/>
      <c r="BD2453" s="145"/>
      <c r="BE2453" s="145"/>
      <c r="BF2453" s="145"/>
      <c r="BG2453" s="145"/>
      <c r="BH2453" s="145"/>
      <c r="BI2453" s="145"/>
      <c r="BJ2453" s="145"/>
      <c r="BK2453" s="145"/>
      <c r="BL2453" s="145"/>
      <c r="BM2453" s="145"/>
      <c r="BN2453" s="145"/>
      <c r="BO2453" s="145"/>
      <c r="BP2453" s="145"/>
      <c r="BQ2453" s="145"/>
      <c r="BR2453" s="145"/>
      <c r="BS2453" s="145"/>
      <c r="BT2453" s="145"/>
      <c r="BU2453" s="145"/>
      <c r="BV2453" s="145"/>
      <c r="BW2453" s="145"/>
      <c r="BX2453" s="145"/>
      <c r="BY2453" s="145"/>
      <c r="BZ2453" s="145"/>
      <c r="CA2453" s="145"/>
      <c r="CB2453" s="145"/>
      <c r="CC2453" s="145"/>
      <c r="CD2453" s="145"/>
      <c r="CE2453" s="145"/>
      <c r="CF2453" s="145"/>
      <c r="CG2453" s="145"/>
      <c r="CH2453" s="145"/>
      <c r="CI2453" s="145"/>
      <c r="CJ2453" s="145"/>
      <c r="CK2453" s="145"/>
      <c r="CL2453" s="145"/>
      <c r="CM2453" s="145"/>
      <c r="CN2453" s="145"/>
      <c r="CO2453" s="145"/>
      <c r="CP2453" s="145"/>
      <c r="CQ2453" s="145"/>
      <c r="CR2453" s="145"/>
      <c r="CS2453" s="145"/>
      <c r="CT2453" s="145"/>
      <c r="CU2453" s="145"/>
      <c r="CV2453" s="145"/>
      <c r="CW2453" s="145"/>
      <c r="CX2453" s="145"/>
      <c r="CY2453" s="145"/>
      <c r="CZ2453" s="145"/>
      <c r="DA2453" s="145"/>
      <c r="DB2453" s="145"/>
      <c r="DC2453" s="145"/>
      <c r="DD2453" s="145"/>
      <c r="DE2453" s="145"/>
      <c r="DF2453" s="145"/>
      <c r="DG2453" s="145"/>
      <c r="DH2453" s="145"/>
      <c r="DI2453" s="145"/>
      <c r="DJ2453" s="145"/>
      <c r="DK2453" s="145"/>
      <c r="DL2453" s="145"/>
      <c r="DM2453" s="145"/>
      <c r="DN2453" s="145"/>
      <c r="DO2453" s="145"/>
      <c r="DP2453" s="145"/>
      <c r="DQ2453" s="145"/>
      <c r="DR2453" s="145"/>
      <c r="DS2453" s="145"/>
      <c r="DT2453" s="145"/>
      <c r="DU2453" s="145"/>
      <c r="DV2453" s="145"/>
      <c r="DW2453" s="145"/>
      <c r="DX2453" s="145"/>
      <c r="DY2453" s="145"/>
      <c r="DZ2453" s="145"/>
      <c r="EA2453" s="145"/>
      <c r="EB2453" s="145"/>
      <c r="EC2453" s="145"/>
      <c r="ED2453" s="145"/>
      <c r="EE2453" s="145"/>
      <c r="EF2453" s="145"/>
      <c r="EG2453" s="145"/>
      <c r="EH2453" s="145"/>
      <c r="EI2453" s="145"/>
      <c r="EJ2453" s="145"/>
      <c r="EK2453" s="145"/>
      <c r="EL2453" s="145"/>
      <c r="EM2453" s="145"/>
      <c r="EN2453" s="145"/>
      <c r="EO2453" s="145"/>
      <c r="EP2453" s="145"/>
      <c r="EQ2453" s="145"/>
      <c r="ER2453" s="145"/>
      <c r="ES2453" s="145"/>
      <c r="ET2453" s="145"/>
      <c r="EU2453" s="145"/>
      <c r="EV2453" s="145"/>
      <c r="EW2453" s="145"/>
      <c r="EX2453" s="145"/>
      <c r="EY2453" s="145"/>
      <c r="EZ2453" s="145"/>
      <c r="FA2453" s="145"/>
      <c r="FB2453" s="145"/>
      <c r="FC2453" s="145"/>
      <c r="FD2453" s="145"/>
      <c r="FE2453" s="145"/>
      <c r="FF2453" s="145"/>
      <c r="FG2453" s="145"/>
      <c r="FH2453" s="145"/>
      <c r="FI2453" s="145"/>
      <c r="FJ2453" s="145"/>
      <c r="FK2453" s="145"/>
      <c r="FL2453" s="145"/>
      <c r="FM2453" s="145"/>
      <c r="FN2453" s="145"/>
      <c r="FO2453" s="145"/>
      <c r="FP2453" s="145"/>
      <c r="FQ2453" s="145"/>
      <c r="FR2453" s="145"/>
      <c r="FS2453" s="145"/>
      <c r="FT2453" s="145"/>
      <c r="FU2453" s="145"/>
      <c r="FV2453" s="145"/>
      <c r="FW2453" s="145"/>
      <c r="FX2453" s="145"/>
      <c r="FY2453" s="145"/>
      <c r="FZ2453" s="145"/>
      <c r="GA2453" s="145"/>
      <c r="GB2453" s="145"/>
      <c r="GC2453" s="145"/>
      <c r="GD2453" s="145"/>
      <c r="GE2453" s="145"/>
      <c r="GF2453" s="145"/>
      <c r="GG2453" s="145"/>
      <c r="GH2453" s="145"/>
      <c r="GI2453" s="145"/>
      <c r="GJ2453" s="145"/>
      <c r="GK2453" s="145"/>
      <c r="GL2453" s="145"/>
      <c r="GM2453" s="145"/>
      <c r="GN2453" s="145"/>
      <c r="GO2453" s="145"/>
      <c r="GP2453" s="145"/>
      <c r="GQ2453" s="145"/>
      <c r="GR2453" s="145"/>
      <c r="GS2453" s="145"/>
      <c r="GT2453" s="145"/>
      <c r="GU2453" s="145"/>
      <c r="GV2453" s="145"/>
      <c r="GW2453" s="145"/>
      <c r="GX2453" s="145"/>
      <c r="GY2453" s="145"/>
      <c r="GZ2453" s="145"/>
      <c r="HA2453" s="145"/>
      <c r="HB2453" s="145"/>
      <c r="HC2453" s="145"/>
      <c r="HD2453" s="145"/>
      <c r="HE2453" s="145"/>
      <c r="HF2453" s="145"/>
    </row>
    <row r="2454" spans="1:214" x14ac:dyDescent="0.35">
      <c r="A2454" s="277">
        <f>A2451+1</f>
        <v>236</v>
      </c>
      <c r="B2454" s="277">
        <v>2269</v>
      </c>
      <c r="C2454" s="286" t="s">
        <v>419</v>
      </c>
      <c r="D2454" s="287">
        <v>3668.87</v>
      </c>
      <c r="E2454" s="276" t="s">
        <v>70</v>
      </c>
      <c r="F2454" s="276">
        <v>5</v>
      </c>
      <c r="G2454" s="277" t="s">
        <v>71</v>
      </c>
      <c r="H2454" s="136" t="s">
        <v>72</v>
      </c>
      <c r="I2454" s="181">
        <f>I2455+I2456</f>
        <v>4787487.09</v>
      </c>
      <c r="J2454" s="181">
        <f>J2455+J2456</f>
        <v>1304.8900000000001</v>
      </c>
      <c r="K2454" s="181">
        <f>K2455+K2456</f>
        <v>3242</v>
      </c>
      <c r="L2454" s="145"/>
      <c r="M2454" s="145"/>
      <c r="N2454" s="145"/>
      <c r="O2454" s="145"/>
      <c r="P2454" s="145"/>
      <c r="Q2454" s="145"/>
      <c r="R2454" s="145"/>
      <c r="S2454" s="145"/>
      <c r="T2454" s="145"/>
      <c r="U2454" s="145"/>
      <c r="V2454" s="145"/>
      <c r="W2454" s="145"/>
      <c r="X2454" s="145"/>
      <c r="Y2454" s="145"/>
      <c r="Z2454" s="145"/>
      <c r="AA2454" s="145"/>
      <c r="AB2454" s="145"/>
      <c r="AC2454" s="145"/>
      <c r="AD2454" s="145"/>
      <c r="AE2454" s="145"/>
      <c r="AF2454" s="145"/>
      <c r="AG2454" s="145"/>
      <c r="AH2454" s="145"/>
      <c r="AI2454" s="145"/>
      <c r="AJ2454" s="145"/>
      <c r="AK2454" s="145"/>
      <c r="AL2454" s="145"/>
      <c r="AM2454" s="145"/>
      <c r="AN2454" s="145"/>
      <c r="AO2454" s="145"/>
      <c r="AP2454" s="145"/>
      <c r="AQ2454" s="145"/>
      <c r="AR2454" s="145"/>
      <c r="AS2454" s="145"/>
      <c r="AT2454" s="145"/>
      <c r="AU2454" s="145"/>
      <c r="AV2454" s="145"/>
      <c r="AW2454" s="145"/>
      <c r="AX2454" s="145"/>
      <c r="AY2454" s="145"/>
      <c r="AZ2454" s="145"/>
      <c r="BA2454" s="145"/>
      <c r="BB2454" s="145"/>
      <c r="BC2454" s="145"/>
      <c r="BD2454" s="145"/>
      <c r="BE2454" s="145"/>
      <c r="BF2454" s="145"/>
      <c r="BG2454" s="145"/>
      <c r="BH2454" s="145"/>
      <c r="BI2454" s="145"/>
      <c r="BJ2454" s="145"/>
      <c r="BK2454" s="145"/>
      <c r="BL2454" s="145"/>
      <c r="BM2454" s="145"/>
      <c r="BN2454" s="145"/>
      <c r="BO2454" s="145"/>
      <c r="BP2454" s="145"/>
      <c r="BQ2454" s="145"/>
      <c r="BR2454" s="145"/>
      <c r="BS2454" s="145"/>
      <c r="BT2454" s="145"/>
      <c r="BU2454" s="145"/>
      <c r="BV2454" s="145"/>
      <c r="BW2454" s="145"/>
      <c r="BX2454" s="145"/>
      <c r="BY2454" s="145"/>
      <c r="BZ2454" s="145"/>
      <c r="CA2454" s="145"/>
      <c r="CB2454" s="145"/>
      <c r="CC2454" s="145"/>
      <c r="CD2454" s="145"/>
      <c r="CE2454" s="145"/>
      <c r="CF2454" s="145"/>
      <c r="CG2454" s="145"/>
      <c r="CH2454" s="145"/>
      <c r="CI2454" s="145"/>
      <c r="CJ2454" s="145"/>
      <c r="CK2454" s="145"/>
      <c r="CL2454" s="145"/>
      <c r="CM2454" s="145"/>
      <c r="CN2454" s="145"/>
      <c r="CO2454" s="145"/>
      <c r="CP2454" s="145"/>
      <c r="CQ2454" s="145"/>
      <c r="CR2454" s="145"/>
      <c r="CS2454" s="145"/>
      <c r="CT2454" s="145"/>
      <c r="CU2454" s="145"/>
      <c r="CV2454" s="145"/>
      <c r="CW2454" s="145"/>
      <c r="CX2454" s="145"/>
      <c r="CY2454" s="145"/>
      <c r="CZ2454" s="145"/>
      <c r="DA2454" s="145"/>
      <c r="DB2454" s="145"/>
      <c r="DC2454" s="145"/>
      <c r="DD2454" s="145"/>
      <c r="DE2454" s="145"/>
      <c r="DF2454" s="145"/>
      <c r="DG2454" s="145"/>
      <c r="DH2454" s="145"/>
      <c r="DI2454" s="145"/>
      <c r="DJ2454" s="145"/>
      <c r="DK2454" s="145"/>
      <c r="DL2454" s="145"/>
      <c r="DM2454" s="145"/>
      <c r="DN2454" s="145"/>
      <c r="DO2454" s="145"/>
      <c r="DP2454" s="145"/>
      <c r="DQ2454" s="145"/>
      <c r="DR2454" s="145"/>
      <c r="DS2454" s="145"/>
      <c r="DT2454" s="145"/>
      <c r="DU2454" s="145"/>
      <c r="DV2454" s="145"/>
      <c r="DW2454" s="145"/>
      <c r="DX2454" s="145"/>
      <c r="DY2454" s="145"/>
      <c r="DZ2454" s="145"/>
      <c r="EA2454" s="145"/>
      <c r="EB2454" s="145"/>
      <c r="EC2454" s="145"/>
      <c r="ED2454" s="145"/>
      <c r="EE2454" s="145"/>
      <c r="EF2454" s="145"/>
      <c r="EG2454" s="145"/>
      <c r="EH2454" s="145"/>
      <c r="EI2454" s="145"/>
      <c r="EJ2454" s="145"/>
      <c r="EK2454" s="145"/>
      <c r="EL2454" s="145"/>
      <c r="EM2454" s="145"/>
      <c r="EN2454" s="145"/>
      <c r="EO2454" s="145"/>
      <c r="EP2454" s="145"/>
      <c r="EQ2454" s="145"/>
      <c r="ER2454" s="145"/>
      <c r="ES2454" s="145"/>
      <c r="ET2454" s="145"/>
      <c r="EU2454" s="145"/>
      <c r="EV2454" s="145"/>
      <c r="EW2454" s="145"/>
      <c r="EX2454" s="145"/>
      <c r="EY2454" s="145"/>
      <c r="EZ2454" s="145"/>
      <c r="FA2454" s="145"/>
      <c r="FB2454" s="145"/>
      <c r="FC2454" s="145"/>
      <c r="FD2454" s="145"/>
      <c r="FE2454" s="145"/>
      <c r="FF2454" s="145"/>
      <c r="FG2454" s="145"/>
      <c r="FH2454" s="145"/>
      <c r="FI2454" s="145"/>
      <c r="FJ2454" s="145"/>
      <c r="FK2454" s="145"/>
      <c r="FL2454" s="145"/>
      <c r="FM2454" s="145"/>
      <c r="FN2454" s="145"/>
      <c r="FO2454" s="145"/>
      <c r="FP2454" s="145"/>
      <c r="FQ2454" s="145"/>
      <c r="FR2454" s="145"/>
      <c r="FS2454" s="145"/>
      <c r="FT2454" s="145"/>
      <c r="FU2454" s="145"/>
      <c r="FV2454" s="145"/>
      <c r="FW2454" s="145"/>
      <c r="FX2454" s="145"/>
      <c r="FY2454" s="145"/>
      <c r="FZ2454" s="145"/>
      <c r="GA2454" s="145"/>
      <c r="GB2454" s="145"/>
      <c r="GC2454" s="145"/>
      <c r="GD2454" s="145"/>
      <c r="GE2454" s="145"/>
      <c r="GF2454" s="145"/>
      <c r="GG2454" s="145"/>
      <c r="GH2454" s="145"/>
      <c r="GI2454" s="145"/>
      <c r="GJ2454" s="145"/>
      <c r="GK2454" s="145"/>
      <c r="GL2454" s="145"/>
      <c r="GM2454" s="145"/>
      <c r="GN2454" s="145"/>
      <c r="GO2454" s="145"/>
      <c r="GP2454" s="145"/>
      <c r="GQ2454" s="145"/>
      <c r="GR2454" s="145"/>
      <c r="GS2454" s="145"/>
      <c r="GT2454" s="145"/>
      <c r="GU2454" s="145"/>
      <c r="GV2454" s="145"/>
      <c r="GW2454" s="145"/>
      <c r="GX2454" s="145"/>
      <c r="GY2454" s="145"/>
      <c r="GZ2454" s="145"/>
      <c r="HA2454" s="145"/>
      <c r="HB2454" s="145"/>
      <c r="HC2454" s="145"/>
      <c r="HD2454" s="145"/>
      <c r="HE2454" s="145"/>
      <c r="HF2454" s="145"/>
    </row>
    <row r="2455" spans="1:214" x14ac:dyDescent="0.35">
      <c r="A2455" s="277">
        <v>77</v>
      </c>
      <c r="B2455" s="277"/>
      <c r="C2455" s="286"/>
      <c r="D2455" s="287"/>
      <c r="E2455" s="276"/>
      <c r="F2455" s="276"/>
      <c r="G2455" s="277"/>
      <c r="H2455" s="136" t="s">
        <v>73</v>
      </c>
      <c r="I2455" s="181">
        <v>4639687.0199999996</v>
      </c>
      <c r="J2455" s="181">
        <f>I2455/D2454</f>
        <v>1264.6099999999999</v>
      </c>
      <c r="K2455" s="181">
        <f>3174</f>
        <v>3174</v>
      </c>
      <c r="L2455" s="145"/>
      <c r="M2455" s="145"/>
      <c r="N2455" s="145"/>
      <c r="O2455" s="145"/>
      <c r="P2455" s="145"/>
      <c r="Q2455" s="145"/>
      <c r="R2455" s="145"/>
      <c r="S2455" s="145"/>
      <c r="T2455" s="145"/>
      <c r="U2455" s="145"/>
      <c r="V2455" s="145"/>
      <c r="W2455" s="145"/>
      <c r="X2455" s="145"/>
      <c r="Y2455" s="145"/>
      <c r="Z2455" s="145"/>
      <c r="AA2455" s="145"/>
      <c r="AB2455" s="145"/>
      <c r="AC2455" s="145"/>
      <c r="AD2455" s="145"/>
      <c r="AE2455" s="145"/>
      <c r="AF2455" s="145"/>
      <c r="AG2455" s="145"/>
      <c r="AH2455" s="145"/>
      <c r="AI2455" s="145"/>
      <c r="AJ2455" s="145"/>
      <c r="AK2455" s="145"/>
      <c r="AL2455" s="145"/>
      <c r="AM2455" s="145"/>
      <c r="AN2455" s="145"/>
      <c r="AO2455" s="145"/>
      <c r="AP2455" s="145"/>
      <c r="AQ2455" s="145"/>
      <c r="AR2455" s="145"/>
      <c r="AS2455" s="145"/>
      <c r="AT2455" s="145"/>
      <c r="AU2455" s="145"/>
      <c r="AV2455" s="145"/>
      <c r="AW2455" s="145"/>
      <c r="AX2455" s="145"/>
      <c r="AY2455" s="145"/>
      <c r="AZ2455" s="145"/>
      <c r="BA2455" s="145"/>
      <c r="BB2455" s="145"/>
      <c r="BC2455" s="145"/>
      <c r="BD2455" s="145"/>
      <c r="BE2455" s="145"/>
      <c r="BF2455" s="145"/>
      <c r="BG2455" s="145"/>
      <c r="BH2455" s="145"/>
      <c r="BI2455" s="145"/>
      <c r="BJ2455" s="145"/>
      <c r="BK2455" s="145"/>
      <c r="BL2455" s="145"/>
      <c r="BM2455" s="145"/>
      <c r="BN2455" s="145"/>
      <c r="BO2455" s="145"/>
      <c r="BP2455" s="145"/>
      <c r="BQ2455" s="145"/>
      <c r="BR2455" s="145"/>
      <c r="BS2455" s="145"/>
      <c r="BT2455" s="145"/>
      <c r="BU2455" s="145"/>
      <c r="BV2455" s="145"/>
      <c r="BW2455" s="145"/>
      <c r="BX2455" s="145"/>
      <c r="BY2455" s="145"/>
      <c r="BZ2455" s="145"/>
      <c r="CA2455" s="145"/>
      <c r="CB2455" s="145"/>
      <c r="CC2455" s="145"/>
      <c r="CD2455" s="145"/>
      <c r="CE2455" s="145"/>
      <c r="CF2455" s="145"/>
      <c r="CG2455" s="145"/>
      <c r="CH2455" s="145"/>
      <c r="CI2455" s="145"/>
      <c r="CJ2455" s="145"/>
      <c r="CK2455" s="145"/>
      <c r="CL2455" s="145"/>
      <c r="CM2455" s="145"/>
      <c r="CN2455" s="145"/>
      <c r="CO2455" s="145"/>
      <c r="CP2455" s="145"/>
      <c r="CQ2455" s="145"/>
      <c r="CR2455" s="145"/>
      <c r="CS2455" s="145"/>
      <c r="CT2455" s="145"/>
      <c r="CU2455" s="145"/>
      <c r="CV2455" s="145"/>
      <c r="CW2455" s="145"/>
      <c r="CX2455" s="145"/>
      <c r="CY2455" s="145"/>
      <c r="CZ2455" s="145"/>
      <c r="DA2455" s="145"/>
      <c r="DB2455" s="145"/>
      <c r="DC2455" s="145"/>
      <c r="DD2455" s="145"/>
      <c r="DE2455" s="145"/>
      <c r="DF2455" s="145"/>
      <c r="DG2455" s="145"/>
      <c r="DH2455" s="145"/>
      <c r="DI2455" s="145"/>
      <c r="DJ2455" s="145"/>
      <c r="DK2455" s="145"/>
      <c r="DL2455" s="145"/>
      <c r="DM2455" s="145"/>
      <c r="DN2455" s="145"/>
      <c r="DO2455" s="145"/>
      <c r="DP2455" s="145"/>
      <c r="DQ2455" s="145"/>
      <c r="DR2455" s="145"/>
      <c r="DS2455" s="145"/>
      <c r="DT2455" s="145"/>
      <c r="DU2455" s="145"/>
      <c r="DV2455" s="145"/>
      <c r="DW2455" s="145"/>
      <c r="DX2455" s="145"/>
      <c r="DY2455" s="145"/>
      <c r="DZ2455" s="145"/>
      <c r="EA2455" s="145"/>
      <c r="EB2455" s="145"/>
      <c r="EC2455" s="145"/>
      <c r="ED2455" s="145"/>
      <c r="EE2455" s="145"/>
      <c r="EF2455" s="145"/>
      <c r="EG2455" s="145"/>
      <c r="EH2455" s="145"/>
      <c r="EI2455" s="145"/>
      <c r="EJ2455" s="145"/>
      <c r="EK2455" s="145"/>
      <c r="EL2455" s="145"/>
      <c r="EM2455" s="145"/>
      <c r="EN2455" s="145"/>
      <c r="EO2455" s="145"/>
      <c r="EP2455" s="145"/>
      <c r="EQ2455" s="145"/>
      <c r="ER2455" s="145"/>
      <c r="ES2455" s="145"/>
      <c r="ET2455" s="145"/>
      <c r="EU2455" s="145"/>
      <c r="EV2455" s="145"/>
      <c r="EW2455" s="145"/>
      <c r="EX2455" s="145"/>
      <c r="EY2455" s="145"/>
      <c r="EZ2455" s="145"/>
      <c r="FA2455" s="145"/>
      <c r="FB2455" s="145"/>
      <c r="FC2455" s="145"/>
      <c r="FD2455" s="145"/>
      <c r="FE2455" s="145"/>
      <c r="FF2455" s="145"/>
      <c r="FG2455" s="145"/>
      <c r="FH2455" s="145"/>
      <c r="FI2455" s="145"/>
      <c r="FJ2455" s="145"/>
      <c r="FK2455" s="145"/>
      <c r="FL2455" s="145"/>
      <c r="FM2455" s="145"/>
      <c r="FN2455" s="145"/>
      <c r="FO2455" s="145"/>
      <c r="FP2455" s="145"/>
      <c r="FQ2455" s="145"/>
      <c r="FR2455" s="145"/>
      <c r="FS2455" s="145"/>
      <c r="FT2455" s="145"/>
      <c r="FU2455" s="145"/>
      <c r="FV2455" s="145"/>
      <c r="FW2455" s="145"/>
      <c r="FX2455" s="145"/>
      <c r="FY2455" s="145"/>
      <c r="FZ2455" s="145"/>
      <c r="GA2455" s="145"/>
      <c r="GB2455" s="145"/>
      <c r="GC2455" s="145"/>
      <c r="GD2455" s="145"/>
      <c r="GE2455" s="145"/>
      <c r="GF2455" s="145"/>
      <c r="GG2455" s="145"/>
      <c r="GH2455" s="145"/>
      <c r="GI2455" s="145"/>
      <c r="GJ2455" s="145"/>
      <c r="GK2455" s="145"/>
      <c r="GL2455" s="145"/>
      <c r="GM2455" s="145"/>
      <c r="GN2455" s="145"/>
      <c r="GO2455" s="145"/>
      <c r="GP2455" s="145"/>
      <c r="GQ2455" s="145"/>
      <c r="GR2455" s="145"/>
      <c r="GS2455" s="145"/>
      <c r="GT2455" s="145"/>
      <c r="GU2455" s="145"/>
      <c r="GV2455" s="145"/>
      <c r="GW2455" s="145"/>
      <c r="GX2455" s="145"/>
      <c r="GY2455" s="145"/>
      <c r="GZ2455" s="145"/>
      <c r="HA2455" s="145"/>
      <c r="HB2455" s="145"/>
      <c r="HC2455" s="145"/>
      <c r="HD2455" s="145"/>
      <c r="HE2455" s="145"/>
      <c r="HF2455" s="145"/>
    </row>
    <row r="2456" spans="1:214" x14ac:dyDescent="0.35">
      <c r="A2456" s="277">
        <v>78</v>
      </c>
      <c r="B2456" s="277"/>
      <c r="C2456" s="286"/>
      <c r="D2456" s="287"/>
      <c r="E2456" s="276"/>
      <c r="F2456" s="276"/>
      <c r="G2456" s="277"/>
      <c r="H2456" s="136" t="s">
        <v>75</v>
      </c>
      <c r="I2456" s="181">
        <f>6906545.33*0.0214</f>
        <v>147800.07</v>
      </c>
      <c r="J2456" s="181">
        <f>I2456/D2454</f>
        <v>40.28</v>
      </c>
      <c r="K2456" s="181">
        <v>68</v>
      </c>
      <c r="L2456" s="145"/>
      <c r="M2456" s="145"/>
      <c r="N2456" s="145"/>
      <c r="O2456" s="145"/>
      <c r="P2456" s="145"/>
      <c r="Q2456" s="145"/>
      <c r="R2456" s="145"/>
      <c r="S2456" s="145"/>
      <c r="T2456" s="145"/>
      <c r="U2456" s="145"/>
      <c r="V2456" s="145"/>
      <c r="W2456" s="145"/>
      <c r="X2456" s="145"/>
      <c r="Y2456" s="145"/>
      <c r="Z2456" s="145"/>
      <c r="AA2456" s="145"/>
      <c r="AB2456" s="145"/>
      <c r="AC2456" s="145"/>
      <c r="AD2456" s="145"/>
      <c r="AE2456" s="145"/>
      <c r="AF2456" s="145"/>
      <c r="AG2456" s="145"/>
      <c r="AH2456" s="145"/>
      <c r="AI2456" s="145"/>
      <c r="AJ2456" s="145"/>
      <c r="AK2456" s="145"/>
      <c r="AL2456" s="145"/>
      <c r="AM2456" s="145"/>
      <c r="AN2456" s="145"/>
      <c r="AO2456" s="145"/>
      <c r="AP2456" s="145"/>
      <c r="AQ2456" s="145"/>
      <c r="AR2456" s="145"/>
      <c r="AS2456" s="145"/>
      <c r="AT2456" s="145"/>
      <c r="AU2456" s="145"/>
      <c r="AV2456" s="145"/>
      <c r="AW2456" s="145"/>
      <c r="AX2456" s="145"/>
      <c r="AY2456" s="145"/>
      <c r="AZ2456" s="145"/>
      <c r="BA2456" s="145"/>
      <c r="BB2456" s="145"/>
      <c r="BC2456" s="145"/>
      <c r="BD2456" s="145"/>
      <c r="BE2456" s="145"/>
      <c r="BF2456" s="145"/>
      <c r="BG2456" s="145"/>
      <c r="BH2456" s="145"/>
      <c r="BI2456" s="145"/>
      <c r="BJ2456" s="145"/>
      <c r="BK2456" s="145"/>
      <c r="BL2456" s="145"/>
      <c r="BM2456" s="145"/>
      <c r="BN2456" s="145"/>
      <c r="BO2456" s="145"/>
      <c r="BP2456" s="145"/>
      <c r="BQ2456" s="145"/>
      <c r="BR2456" s="145"/>
      <c r="BS2456" s="145"/>
      <c r="BT2456" s="145"/>
      <c r="BU2456" s="145"/>
      <c r="BV2456" s="145"/>
      <c r="BW2456" s="145"/>
      <c r="BX2456" s="145"/>
      <c r="BY2456" s="145"/>
      <c r="BZ2456" s="145"/>
      <c r="CA2456" s="145"/>
      <c r="CB2456" s="145"/>
      <c r="CC2456" s="145"/>
      <c r="CD2456" s="145"/>
      <c r="CE2456" s="145"/>
      <c r="CF2456" s="145"/>
      <c r="CG2456" s="145"/>
      <c r="CH2456" s="145"/>
      <c r="CI2456" s="145"/>
      <c r="CJ2456" s="145"/>
      <c r="CK2456" s="145"/>
      <c r="CL2456" s="145"/>
      <c r="CM2456" s="145"/>
      <c r="CN2456" s="145"/>
      <c r="CO2456" s="145"/>
      <c r="CP2456" s="145"/>
      <c r="CQ2456" s="145"/>
      <c r="CR2456" s="145"/>
      <c r="CS2456" s="145"/>
      <c r="CT2456" s="145"/>
      <c r="CU2456" s="145"/>
      <c r="CV2456" s="145"/>
      <c r="CW2456" s="145"/>
      <c r="CX2456" s="145"/>
      <c r="CY2456" s="145"/>
      <c r="CZ2456" s="145"/>
      <c r="DA2456" s="145"/>
      <c r="DB2456" s="145"/>
      <c r="DC2456" s="145"/>
      <c r="DD2456" s="145"/>
      <c r="DE2456" s="145"/>
      <c r="DF2456" s="145"/>
      <c r="DG2456" s="145"/>
      <c r="DH2456" s="145"/>
      <c r="DI2456" s="145"/>
      <c r="DJ2456" s="145"/>
      <c r="DK2456" s="145"/>
      <c r="DL2456" s="145"/>
      <c r="DM2456" s="145"/>
      <c r="DN2456" s="145"/>
      <c r="DO2456" s="145"/>
      <c r="DP2456" s="145"/>
      <c r="DQ2456" s="145"/>
      <c r="DR2456" s="145"/>
      <c r="DS2456" s="145"/>
      <c r="DT2456" s="145"/>
      <c r="DU2456" s="145"/>
      <c r="DV2456" s="145"/>
      <c r="DW2456" s="145"/>
      <c r="DX2456" s="145"/>
      <c r="DY2456" s="145"/>
      <c r="DZ2456" s="145"/>
      <c r="EA2456" s="145"/>
      <c r="EB2456" s="145"/>
      <c r="EC2456" s="145"/>
      <c r="ED2456" s="145"/>
      <c r="EE2456" s="145"/>
      <c r="EF2456" s="145"/>
      <c r="EG2456" s="145"/>
      <c r="EH2456" s="145"/>
      <c r="EI2456" s="145"/>
      <c r="EJ2456" s="145"/>
      <c r="EK2456" s="145"/>
      <c r="EL2456" s="145"/>
      <c r="EM2456" s="145"/>
      <c r="EN2456" s="145"/>
      <c r="EO2456" s="145"/>
      <c r="EP2456" s="145"/>
      <c r="EQ2456" s="145"/>
      <c r="ER2456" s="145"/>
      <c r="ES2456" s="145"/>
      <c r="ET2456" s="145"/>
      <c r="EU2456" s="145"/>
      <c r="EV2456" s="145"/>
      <c r="EW2456" s="145"/>
      <c r="EX2456" s="145"/>
      <c r="EY2456" s="145"/>
      <c r="EZ2456" s="145"/>
      <c r="FA2456" s="145"/>
      <c r="FB2456" s="145"/>
      <c r="FC2456" s="145"/>
      <c r="FD2456" s="145"/>
      <c r="FE2456" s="145"/>
      <c r="FF2456" s="145"/>
      <c r="FG2456" s="145"/>
      <c r="FH2456" s="145"/>
      <c r="FI2456" s="145"/>
      <c r="FJ2456" s="145"/>
      <c r="FK2456" s="145"/>
      <c r="FL2456" s="145"/>
      <c r="FM2456" s="145"/>
      <c r="FN2456" s="145"/>
      <c r="FO2456" s="145"/>
      <c r="FP2456" s="145"/>
      <c r="FQ2456" s="145"/>
      <c r="FR2456" s="145"/>
      <c r="FS2456" s="145"/>
      <c r="FT2456" s="145"/>
      <c r="FU2456" s="145"/>
      <c r="FV2456" s="145"/>
      <c r="FW2456" s="145"/>
      <c r="FX2456" s="145"/>
      <c r="FY2456" s="145"/>
      <c r="FZ2456" s="145"/>
      <c r="GA2456" s="145"/>
      <c r="GB2456" s="145"/>
      <c r="GC2456" s="145"/>
      <c r="GD2456" s="145"/>
      <c r="GE2456" s="145"/>
      <c r="GF2456" s="145"/>
      <c r="GG2456" s="145"/>
      <c r="GH2456" s="145"/>
      <c r="GI2456" s="145"/>
      <c r="GJ2456" s="145"/>
      <c r="GK2456" s="145"/>
      <c r="GL2456" s="145"/>
      <c r="GM2456" s="145"/>
      <c r="GN2456" s="145"/>
      <c r="GO2456" s="145"/>
      <c r="GP2456" s="145"/>
      <c r="GQ2456" s="145"/>
      <c r="GR2456" s="145"/>
      <c r="GS2456" s="145"/>
      <c r="GT2456" s="145"/>
      <c r="GU2456" s="145"/>
      <c r="GV2456" s="145"/>
      <c r="GW2456" s="145"/>
      <c r="GX2456" s="145"/>
      <c r="GY2456" s="145"/>
      <c r="GZ2456" s="145"/>
      <c r="HA2456" s="145"/>
      <c r="HB2456" s="145"/>
      <c r="HC2456" s="145"/>
      <c r="HD2456" s="145"/>
      <c r="HE2456" s="145"/>
      <c r="HF2456" s="145"/>
    </row>
    <row r="2457" spans="1:214" x14ac:dyDescent="0.35">
      <c r="A2457" s="277">
        <f>A2454+1</f>
        <v>237</v>
      </c>
      <c r="B2457" s="277">
        <v>2434</v>
      </c>
      <c r="C2457" s="286" t="s">
        <v>145</v>
      </c>
      <c r="D2457" s="287">
        <v>3278.05</v>
      </c>
      <c r="E2457" s="276" t="s">
        <v>70</v>
      </c>
      <c r="F2457" s="276">
        <v>5</v>
      </c>
      <c r="G2457" s="277" t="s">
        <v>71</v>
      </c>
      <c r="H2457" s="136" t="s">
        <v>72</v>
      </c>
      <c r="I2457" s="181">
        <f>I2458</f>
        <v>550712.4</v>
      </c>
      <c r="J2457" s="181">
        <f>J2458</f>
        <v>168</v>
      </c>
      <c r="K2457" s="181">
        <f>K2458</f>
        <v>168</v>
      </c>
      <c r="L2457" s="145"/>
      <c r="M2457" s="145"/>
      <c r="N2457" s="145"/>
      <c r="O2457" s="145"/>
      <c r="P2457" s="145"/>
      <c r="Q2457" s="145"/>
      <c r="R2457" s="145"/>
      <c r="S2457" s="145"/>
      <c r="T2457" s="145"/>
      <c r="U2457" s="145"/>
      <c r="V2457" s="145"/>
      <c r="W2457" s="145"/>
      <c r="X2457" s="145"/>
      <c r="Y2457" s="145"/>
      <c r="Z2457" s="145"/>
      <c r="AA2457" s="145"/>
      <c r="AB2457" s="145"/>
      <c r="AC2457" s="145"/>
      <c r="AD2457" s="145"/>
      <c r="AE2457" s="145"/>
      <c r="AF2457" s="145"/>
      <c r="AG2457" s="145"/>
      <c r="AH2457" s="145"/>
      <c r="AI2457" s="145"/>
      <c r="AJ2457" s="145"/>
      <c r="AK2457" s="145"/>
      <c r="AL2457" s="145"/>
      <c r="AM2457" s="145"/>
      <c r="AN2457" s="145"/>
      <c r="AO2457" s="145"/>
      <c r="AP2457" s="145"/>
      <c r="AQ2457" s="145"/>
      <c r="AR2457" s="145"/>
      <c r="AS2457" s="145"/>
      <c r="AT2457" s="145"/>
      <c r="AU2457" s="145"/>
      <c r="AV2457" s="145"/>
      <c r="AW2457" s="145"/>
      <c r="AX2457" s="145"/>
      <c r="AY2457" s="145"/>
      <c r="AZ2457" s="145"/>
      <c r="BA2457" s="145"/>
      <c r="BB2457" s="145"/>
      <c r="BC2457" s="145"/>
      <c r="BD2457" s="145"/>
      <c r="BE2457" s="145"/>
      <c r="BF2457" s="145"/>
      <c r="BG2457" s="145"/>
      <c r="BH2457" s="145"/>
      <c r="BI2457" s="145"/>
      <c r="BJ2457" s="145"/>
      <c r="BK2457" s="145"/>
      <c r="BL2457" s="145"/>
      <c r="BM2457" s="145"/>
      <c r="BN2457" s="145"/>
      <c r="BO2457" s="145"/>
      <c r="BP2457" s="145"/>
      <c r="BQ2457" s="145"/>
      <c r="BR2457" s="145"/>
      <c r="BS2457" s="145"/>
      <c r="BT2457" s="145"/>
      <c r="BU2457" s="145"/>
      <c r="BV2457" s="145"/>
      <c r="BW2457" s="145"/>
      <c r="BX2457" s="145"/>
      <c r="BY2457" s="145"/>
      <c r="BZ2457" s="145"/>
      <c r="CA2457" s="145"/>
      <c r="CB2457" s="145"/>
      <c r="CC2457" s="145"/>
      <c r="CD2457" s="145"/>
      <c r="CE2457" s="145"/>
      <c r="CF2457" s="145"/>
      <c r="CG2457" s="145"/>
      <c r="CH2457" s="145"/>
      <c r="CI2457" s="145"/>
      <c r="CJ2457" s="145"/>
      <c r="CK2457" s="145"/>
      <c r="CL2457" s="145"/>
      <c r="CM2457" s="145"/>
      <c r="CN2457" s="145"/>
      <c r="CO2457" s="145"/>
      <c r="CP2457" s="145"/>
      <c r="CQ2457" s="145"/>
      <c r="CR2457" s="145"/>
      <c r="CS2457" s="145"/>
      <c r="CT2457" s="145"/>
      <c r="CU2457" s="145"/>
      <c r="CV2457" s="145"/>
      <c r="CW2457" s="145"/>
      <c r="CX2457" s="145"/>
      <c r="CY2457" s="145"/>
      <c r="CZ2457" s="145"/>
      <c r="DA2457" s="145"/>
      <c r="DB2457" s="145"/>
      <c r="DC2457" s="145"/>
      <c r="DD2457" s="145"/>
      <c r="DE2457" s="145"/>
      <c r="DF2457" s="145"/>
      <c r="DG2457" s="145"/>
      <c r="DH2457" s="145"/>
      <c r="DI2457" s="145"/>
      <c r="DJ2457" s="145"/>
      <c r="DK2457" s="145"/>
      <c r="DL2457" s="145"/>
      <c r="DM2457" s="145"/>
      <c r="DN2457" s="145"/>
      <c r="DO2457" s="145"/>
      <c r="DP2457" s="145"/>
      <c r="DQ2457" s="145"/>
      <c r="DR2457" s="145"/>
      <c r="DS2457" s="145"/>
      <c r="DT2457" s="145"/>
      <c r="DU2457" s="145"/>
      <c r="DV2457" s="145"/>
      <c r="DW2457" s="145"/>
      <c r="DX2457" s="145"/>
      <c r="DY2457" s="145"/>
      <c r="DZ2457" s="145"/>
      <c r="EA2457" s="145"/>
      <c r="EB2457" s="145"/>
      <c r="EC2457" s="145"/>
      <c r="ED2457" s="145"/>
      <c r="EE2457" s="145"/>
      <c r="EF2457" s="145"/>
      <c r="EG2457" s="145"/>
      <c r="EH2457" s="145"/>
      <c r="EI2457" s="145"/>
      <c r="EJ2457" s="145"/>
      <c r="EK2457" s="145"/>
      <c r="EL2457" s="145"/>
      <c r="EM2457" s="145"/>
      <c r="EN2457" s="145"/>
      <c r="EO2457" s="145"/>
      <c r="EP2457" s="145"/>
      <c r="EQ2457" s="145"/>
      <c r="ER2457" s="145"/>
      <c r="ES2457" s="145"/>
      <c r="ET2457" s="145"/>
      <c r="EU2457" s="145"/>
      <c r="EV2457" s="145"/>
      <c r="EW2457" s="145"/>
      <c r="EX2457" s="145"/>
      <c r="EY2457" s="145"/>
      <c r="EZ2457" s="145"/>
      <c r="FA2457" s="145"/>
      <c r="FB2457" s="145"/>
      <c r="FC2457" s="145"/>
      <c r="FD2457" s="145"/>
      <c r="FE2457" s="145"/>
      <c r="FF2457" s="145"/>
      <c r="FG2457" s="145"/>
      <c r="FH2457" s="145"/>
      <c r="FI2457" s="145"/>
      <c r="FJ2457" s="145"/>
      <c r="FK2457" s="145"/>
      <c r="FL2457" s="145"/>
      <c r="FM2457" s="145"/>
      <c r="FN2457" s="145"/>
      <c r="FO2457" s="145"/>
      <c r="FP2457" s="145"/>
      <c r="FQ2457" s="145"/>
      <c r="FR2457" s="145"/>
      <c r="FS2457" s="145"/>
      <c r="FT2457" s="145"/>
      <c r="FU2457" s="145"/>
      <c r="FV2457" s="145"/>
      <c r="FW2457" s="145"/>
      <c r="FX2457" s="145"/>
      <c r="FY2457" s="145"/>
      <c r="FZ2457" s="145"/>
      <c r="GA2457" s="145"/>
      <c r="GB2457" s="145"/>
      <c r="GC2457" s="145"/>
      <c r="GD2457" s="145"/>
      <c r="GE2457" s="145"/>
      <c r="GF2457" s="145"/>
      <c r="GG2457" s="145"/>
      <c r="GH2457" s="145"/>
      <c r="GI2457" s="145"/>
      <c r="GJ2457" s="145"/>
      <c r="GK2457" s="145"/>
      <c r="GL2457" s="145"/>
      <c r="GM2457" s="145"/>
      <c r="GN2457" s="145"/>
      <c r="GO2457" s="145"/>
      <c r="GP2457" s="145"/>
      <c r="GQ2457" s="145"/>
      <c r="GR2457" s="145"/>
      <c r="GS2457" s="145"/>
      <c r="GT2457" s="145"/>
      <c r="GU2457" s="145"/>
      <c r="GV2457" s="145"/>
      <c r="GW2457" s="145"/>
      <c r="GX2457" s="145"/>
      <c r="GY2457" s="145"/>
      <c r="GZ2457" s="145"/>
      <c r="HA2457" s="145"/>
      <c r="HB2457" s="145"/>
      <c r="HC2457" s="145"/>
      <c r="HD2457" s="145"/>
      <c r="HE2457" s="145"/>
      <c r="HF2457" s="145"/>
    </row>
    <row r="2458" spans="1:214" ht="62" x14ac:dyDescent="0.35">
      <c r="A2458" s="277"/>
      <c r="B2458" s="277"/>
      <c r="C2458" s="286"/>
      <c r="D2458" s="287"/>
      <c r="E2458" s="276"/>
      <c r="F2458" s="276"/>
      <c r="G2458" s="277"/>
      <c r="H2458" s="136" t="s">
        <v>761</v>
      </c>
      <c r="I2458" s="181">
        <f>442536.75+D2457*33</f>
        <v>550712.4</v>
      </c>
      <c r="J2458" s="181">
        <f>I2458/D2457</f>
        <v>168</v>
      </c>
      <c r="K2458" s="181">
        <f>135+33</f>
        <v>168</v>
      </c>
      <c r="L2458" s="145"/>
      <c r="M2458" s="145"/>
      <c r="N2458" s="145"/>
      <c r="O2458" s="145"/>
      <c r="P2458" s="145"/>
      <c r="Q2458" s="145"/>
      <c r="R2458" s="145"/>
      <c r="S2458" s="145"/>
      <c r="T2458" s="145"/>
      <c r="U2458" s="145"/>
      <c r="V2458" s="145"/>
      <c r="W2458" s="145"/>
      <c r="X2458" s="145"/>
      <c r="Y2458" s="145"/>
      <c r="Z2458" s="145"/>
      <c r="AA2458" s="145"/>
      <c r="AB2458" s="145"/>
      <c r="AC2458" s="145"/>
      <c r="AD2458" s="145"/>
      <c r="AE2458" s="145"/>
      <c r="AF2458" s="145"/>
      <c r="AG2458" s="145"/>
      <c r="AH2458" s="145"/>
      <c r="AI2458" s="145"/>
      <c r="AJ2458" s="145"/>
      <c r="AK2458" s="145"/>
      <c r="AL2458" s="145"/>
      <c r="AM2458" s="145"/>
      <c r="AN2458" s="145"/>
      <c r="AO2458" s="145"/>
      <c r="AP2458" s="145"/>
      <c r="AQ2458" s="145"/>
      <c r="AR2458" s="145"/>
      <c r="AS2458" s="145"/>
      <c r="AT2458" s="145"/>
      <c r="AU2458" s="145"/>
      <c r="AV2458" s="145"/>
      <c r="AW2458" s="145"/>
      <c r="AX2458" s="145"/>
      <c r="AY2458" s="145"/>
      <c r="AZ2458" s="145"/>
      <c r="BA2458" s="145"/>
      <c r="BB2458" s="145"/>
      <c r="BC2458" s="145"/>
      <c r="BD2458" s="145"/>
      <c r="BE2458" s="145"/>
      <c r="BF2458" s="145"/>
      <c r="BG2458" s="145"/>
      <c r="BH2458" s="145"/>
      <c r="BI2458" s="145"/>
      <c r="BJ2458" s="145"/>
      <c r="BK2458" s="145"/>
      <c r="BL2458" s="145"/>
      <c r="BM2458" s="145"/>
      <c r="BN2458" s="145"/>
      <c r="BO2458" s="145"/>
      <c r="BP2458" s="145"/>
      <c r="BQ2458" s="145"/>
      <c r="BR2458" s="145"/>
      <c r="BS2458" s="145"/>
      <c r="BT2458" s="145"/>
      <c r="BU2458" s="145"/>
      <c r="BV2458" s="145"/>
      <c r="BW2458" s="145"/>
      <c r="BX2458" s="145"/>
      <c r="BY2458" s="145"/>
      <c r="BZ2458" s="145"/>
      <c r="CA2458" s="145"/>
      <c r="CB2458" s="145"/>
      <c r="CC2458" s="145"/>
      <c r="CD2458" s="145"/>
      <c r="CE2458" s="145"/>
      <c r="CF2458" s="145"/>
      <c r="CG2458" s="145"/>
      <c r="CH2458" s="145"/>
      <c r="CI2458" s="145"/>
      <c r="CJ2458" s="145"/>
      <c r="CK2458" s="145"/>
      <c r="CL2458" s="145"/>
      <c r="CM2458" s="145"/>
      <c r="CN2458" s="145"/>
      <c r="CO2458" s="145"/>
      <c r="CP2458" s="145"/>
      <c r="CQ2458" s="145"/>
      <c r="CR2458" s="145"/>
      <c r="CS2458" s="145"/>
      <c r="CT2458" s="145"/>
      <c r="CU2458" s="145"/>
      <c r="CV2458" s="145"/>
      <c r="CW2458" s="145"/>
      <c r="CX2458" s="145"/>
      <c r="CY2458" s="145"/>
      <c r="CZ2458" s="145"/>
      <c r="DA2458" s="145"/>
      <c r="DB2458" s="145"/>
      <c r="DC2458" s="145"/>
      <c r="DD2458" s="145"/>
      <c r="DE2458" s="145"/>
      <c r="DF2458" s="145"/>
      <c r="DG2458" s="145"/>
      <c r="DH2458" s="145"/>
      <c r="DI2458" s="145"/>
      <c r="DJ2458" s="145"/>
      <c r="DK2458" s="145"/>
      <c r="DL2458" s="145"/>
      <c r="DM2458" s="145"/>
      <c r="DN2458" s="145"/>
      <c r="DO2458" s="145"/>
      <c r="DP2458" s="145"/>
      <c r="DQ2458" s="145"/>
      <c r="DR2458" s="145"/>
      <c r="DS2458" s="145"/>
      <c r="DT2458" s="145"/>
      <c r="DU2458" s="145"/>
      <c r="DV2458" s="145"/>
      <c r="DW2458" s="145"/>
      <c r="DX2458" s="145"/>
      <c r="DY2458" s="145"/>
      <c r="DZ2458" s="145"/>
      <c r="EA2458" s="145"/>
      <c r="EB2458" s="145"/>
      <c r="EC2458" s="145"/>
      <c r="ED2458" s="145"/>
      <c r="EE2458" s="145"/>
      <c r="EF2458" s="145"/>
      <c r="EG2458" s="145"/>
      <c r="EH2458" s="145"/>
      <c r="EI2458" s="145"/>
      <c r="EJ2458" s="145"/>
      <c r="EK2458" s="145"/>
      <c r="EL2458" s="145"/>
      <c r="EM2458" s="145"/>
      <c r="EN2458" s="145"/>
      <c r="EO2458" s="145"/>
      <c r="EP2458" s="145"/>
      <c r="EQ2458" s="145"/>
      <c r="ER2458" s="145"/>
      <c r="ES2458" s="145"/>
      <c r="ET2458" s="145"/>
      <c r="EU2458" s="145"/>
      <c r="EV2458" s="145"/>
      <c r="EW2458" s="145"/>
      <c r="EX2458" s="145"/>
      <c r="EY2458" s="145"/>
      <c r="EZ2458" s="145"/>
      <c r="FA2458" s="145"/>
      <c r="FB2458" s="145"/>
      <c r="FC2458" s="145"/>
      <c r="FD2458" s="145"/>
      <c r="FE2458" s="145"/>
      <c r="FF2458" s="145"/>
      <c r="FG2458" s="145"/>
      <c r="FH2458" s="145"/>
      <c r="FI2458" s="145"/>
      <c r="FJ2458" s="145"/>
      <c r="FK2458" s="145"/>
      <c r="FL2458" s="145"/>
      <c r="FM2458" s="145"/>
      <c r="FN2458" s="145"/>
      <c r="FO2458" s="145"/>
      <c r="FP2458" s="145"/>
      <c r="FQ2458" s="145"/>
      <c r="FR2458" s="145"/>
      <c r="FS2458" s="145"/>
      <c r="FT2458" s="145"/>
      <c r="FU2458" s="145"/>
      <c r="FV2458" s="145"/>
      <c r="FW2458" s="145"/>
      <c r="FX2458" s="145"/>
      <c r="FY2458" s="145"/>
      <c r="FZ2458" s="145"/>
      <c r="GA2458" s="145"/>
      <c r="GB2458" s="145"/>
      <c r="GC2458" s="145"/>
      <c r="GD2458" s="145"/>
      <c r="GE2458" s="145"/>
      <c r="GF2458" s="145"/>
      <c r="GG2458" s="145"/>
      <c r="GH2458" s="145"/>
      <c r="GI2458" s="145"/>
      <c r="GJ2458" s="145"/>
      <c r="GK2458" s="145"/>
      <c r="GL2458" s="145"/>
      <c r="GM2458" s="145"/>
      <c r="GN2458" s="145"/>
      <c r="GO2458" s="145"/>
      <c r="GP2458" s="145"/>
      <c r="GQ2458" s="145"/>
      <c r="GR2458" s="145"/>
      <c r="GS2458" s="145"/>
      <c r="GT2458" s="145"/>
      <c r="GU2458" s="145"/>
      <c r="GV2458" s="145"/>
      <c r="GW2458" s="145"/>
      <c r="GX2458" s="145"/>
      <c r="GY2458" s="145"/>
      <c r="GZ2458" s="145"/>
      <c r="HA2458" s="145"/>
      <c r="HB2458" s="145"/>
      <c r="HC2458" s="145"/>
      <c r="HD2458" s="145"/>
      <c r="HE2458" s="145"/>
      <c r="HF2458" s="145"/>
    </row>
    <row r="2459" spans="1:214" x14ac:dyDescent="0.35">
      <c r="A2459" s="270">
        <f>A2457+1</f>
        <v>238</v>
      </c>
      <c r="B2459" s="270">
        <v>2967</v>
      </c>
      <c r="C2459" s="278" t="s">
        <v>669</v>
      </c>
      <c r="D2459" s="273">
        <v>3510.7</v>
      </c>
      <c r="E2459" s="273" t="s">
        <v>70</v>
      </c>
      <c r="F2459" s="282">
        <v>5</v>
      </c>
      <c r="G2459" s="165"/>
      <c r="H2459" s="136" t="s">
        <v>72</v>
      </c>
      <c r="I2459" s="181">
        <f>I2460+I2461</f>
        <v>204322.73</v>
      </c>
      <c r="J2459" s="181">
        <f>J2460+J2461</f>
        <v>58.2</v>
      </c>
      <c r="K2459" s="181">
        <f>K2460+K2461</f>
        <v>173</v>
      </c>
      <c r="HE2459" s="145"/>
      <c r="HF2459" s="145"/>
    </row>
    <row r="2460" spans="1:214" ht="46.5" x14ac:dyDescent="0.35">
      <c r="A2460" s="271"/>
      <c r="B2460" s="271"/>
      <c r="C2460" s="279"/>
      <c r="D2460" s="274"/>
      <c r="E2460" s="274"/>
      <c r="F2460" s="283"/>
      <c r="G2460" s="270" t="s">
        <v>83</v>
      </c>
      <c r="H2460" s="136" t="s">
        <v>634</v>
      </c>
      <c r="I2460" s="181">
        <f>24574.89+2*D2459</f>
        <v>31596.29</v>
      </c>
      <c r="J2460" s="181">
        <f>I2460/D2459</f>
        <v>9</v>
      </c>
      <c r="K2460" s="181">
        <f>7+2</f>
        <v>9</v>
      </c>
      <c r="L2460" s="145"/>
      <c r="M2460" s="145"/>
      <c r="N2460" s="145"/>
      <c r="O2460" s="145"/>
      <c r="P2460" s="145"/>
      <c r="Q2460" s="145"/>
      <c r="R2460" s="145"/>
      <c r="S2460" s="145"/>
      <c r="T2460" s="145"/>
      <c r="U2460" s="145"/>
      <c r="V2460" s="145"/>
      <c r="W2460" s="145"/>
      <c r="X2460" s="145"/>
      <c r="Y2460" s="145"/>
      <c r="Z2460" s="145"/>
      <c r="AA2460" s="145"/>
      <c r="AB2460" s="145"/>
      <c r="AC2460" s="145"/>
      <c r="AD2460" s="145"/>
      <c r="AE2460" s="145"/>
      <c r="AF2460" s="145"/>
      <c r="AG2460" s="145"/>
      <c r="AH2460" s="145"/>
      <c r="AI2460" s="145"/>
      <c r="AJ2460" s="145"/>
      <c r="AK2460" s="145"/>
      <c r="AL2460" s="145"/>
      <c r="AM2460" s="145"/>
      <c r="AN2460" s="145"/>
      <c r="AO2460" s="145"/>
      <c r="AP2460" s="145"/>
      <c r="AQ2460" s="145"/>
      <c r="AR2460" s="145"/>
      <c r="AS2460" s="145"/>
      <c r="AT2460" s="145"/>
      <c r="AU2460" s="145"/>
      <c r="AV2460" s="145"/>
      <c r="AW2460" s="145"/>
      <c r="AX2460" s="145"/>
      <c r="AY2460" s="145"/>
      <c r="AZ2460" s="145"/>
      <c r="BA2460" s="145"/>
      <c r="BB2460" s="145"/>
      <c r="BC2460" s="145"/>
      <c r="BD2460" s="145"/>
      <c r="BE2460" s="145"/>
      <c r="BF2460" s="145"/>
      <c r="BG2460" s="145"/>
      <c r="BH2460" s="145"/>
      <c r="BI2460" s="145"/>
      <c r="BJ2460" s="145"/>
      <c r="BK2460" s="145"/>
      <c r="BL2460" s="145"/>
      <c r="BM2460" s="145"/>
      <c r="BN2460" s="145"/>
      <c r="BO2460" s="145"/>
      <c r="BP2460" s="145"/>
      <c r="BQ2460" s="145"/>
      <c r="BR2460" s="145"/>
      <c r="BS2460" s="145"/>
      <c r="BT2460" s="145"/>
      <c r="BU2460" s="145"/>
      <c r="BV2460" s="145"/>
      <c r="BW2460" s="145"/>
      <c r="BX2460" s="145"/>
      <c r="BY2460" s="145"/>
      <c r="BZ2460" s="145"/>
      <c r="CA2460" s="145"/>
      <c r="CB2460" s="145"/>
      <c r="CC2460" s="145"/>
      <c r="CD2460" s="145"/>
      <c r="CE2460" s="145"/>
      <c r="CF2460" s="145"/>
      <c r="CG2460" s="145"/>
      <c r="CH2460" s="145"/>
      <c r="CI2460" s="145"/>
      <c r="CJ2460" s="145"/>
      <c r="CK2460" s="145"/>
      <c r="CL2460" s="145"/>
      <c r="CM2460" s="145"/>
      <c r="CN2460" s="145"/>
      <c r="CO2460" s="145"/>
      <c r="CP2460" s="145"/>
      <c r="CQ2460" s="145"/>
      <c r="CR2460" s="145"/>
      <c r="CS2460" s="145"/>
      <c r="CT2460" s="145"/>
      <c r="CU2460" s="145"/>
      <c r="CV2460" s="145"/>
      <c r="CW2460" s="145"/>
      <c r="CX2460" s="145"/>
      <c r="CY2460" s="145"/>
      <c r="CZ2460" s="145"/>
      <c r="DA2460" s="145"/>
      <c r="DB2460" s="145"/>
      <c r="DC2460" s="145"/>
      <c r="DD2460" s="145"/>
      <c r="DE2460" s="145"/>
      <c r="DF2460" s="145"/>
      <c r="DG2460" s="145"/>
      <c r="DH2460" s="145"/>
      <c r="DI2460" s="145"/>
      <c r="DJ2460" s="145"/>
      <c r="DK2460" s="145"/>
      <c r="DL2460" s="145"/>
      <c r="DM2460" s="145"/>
      <c r="DN2460" s="145"/>
      <c r="DO2460" s="145"/>
      <c r="DP2460" s="145"/>
      <c r="DQ2460" s="145"/>
      <c r="DR2460" s="145"/>
      <c r="DS2460" s="145"/>
      <c r="DT2460" s="145"/>
      <c r="DU2460" s="145"/>
      <c r="DV2460" s="145"/>
      <c r="DW2460" s="145"/>
      <c r="DX2460" s="145"/>
      <c r="DY2460" s="145"/>
      <c r="DZ2460" s="145"/>
      <c r="EA2460" s="145"/>
      <c r="EB2460" s="145"/>
      <c r="EC2460" s="145"/>
      <c r="ED2460" s="145"/>
      <c r="EE2460" s="145"/>
      <c r="EF2460" s="145"/>
      <c r="EG2460" s="145"/>
      <c r="EH2460" s="145"/>
      <c r="EI2460" s="145"/>
      <c r="EJ2460" s="145"/>
      <c r="EK2460" s="145"/>
      <c r="EL2460" s="145"/>
      <c r="EM2460" s="145"/>
      <c r="EN2460" s="145"/>
      <c r="EO2460" s="145"/>
      <c r="EP2460" s="145"/>
      <c r="EQ2460" s="145"/>
      <c r="ER2460" s="145"/>
      <c r="ES2460" s="145"/>
      <c r="ET2460" s="145"/>
      <c r="EU2460" s="145"/>
      <c r="EV2460" s="145"/>
      <c r="EW2460" s="145"/>
      <c r="EX2460" s="145"/>
      <c r="EY2460" s="145"/>
      <c r="EZ2460" s="145"/>
      <c r="FA2460" s="145"/>
      <c r="FB2460" s="145"/>
      <c r="FC2460" s="145"/>
      <c r="FD2460" s="145"/>
      <c r="FE2460" s="145"/>
      <c r="FF2460" s="145"/>
      <c r="FG2460" s="145"/>
      <c r="FH2460" s="145"/>
      <c r="FI2460" s="145"/>
      <c r="FJ2460" s="145"/>
      <c r="FK2460" s="145"/>
      <c r="FL2460" s="145"/>
      <c r="FM2460" s="145"/>
      <c r="FN2460" s="145"/>
      <c r="FO2460" s="145"/>
      <c r="FP2460" s="145"/>
      <c r="FQ2460" s="145"/>
      <c r="FR2460" s="145"/>
      <c r="FS2460" s="145"/>
      <c r="FT2460" s="145"/>
      <c r="FU2460" s="145"/>
      <c r="FV2460" s="145"/>
      <c r="FW2460" s="145"/>
      <c r="FX2460" s="145"/>
      <c r="FY2460" s="145"/>
      <c r="FZ2460" s="145"/>
      <c r="GA2460" s="145"/>
      <c r="GB2460" s="145"/>
      <c r="GC2460" s="145"/>
      <c r="GD2460" s="145"/>
      <c r="GE2460" s="145"/>
      <c r="GF2460" s="145"/>
      <c r="GG2460" s="145"/>
      <c r="GH2460" s="145"/>
      <c r="GI2460" s="145"/>
      <c r="GJ2460" s="145"/>
      <c r="GK2460" s="145"/>
      <c r="GL2460" s="145"/>
      <c r="GM2460" s="145"/>
      <c r="GN2460" s="145"/>
      <c r="GO2460" s="145"/>
      <c r="GP2460" s="145"/>
      <c r="GQ2460" s="145"/>
      <c r="GR2460" s="145"/>
      <c r="GS2460" s="145"/>
      <c r="GT2460" s="145"/>
      <c r="GU2460" s="145"/>
      <c r="GV2460" s="145"/>
      <c r="GW2460" s="145"/>
      <c r="GX2460" s="145"/>
      <c r="GY2460" s="145"/>
      <c r="GZ2460" s="145"/>
      <c r="HA2460" s="145"/>
      <c r="HB2460" s="145"/>
      <c r="HC2460" s="145"/>
      <c r="HD2460" s="145"/>
      <c r="HE2460" s="145"/>
      <c r="HF2460" s="145"/>
    </row>
    <row r="2461" spans="1:214" x14ac:dyDescent="0.35">
      <c r="A2461" s="272"/>
      <c r="B2461" s="272"/>
      <c r="C2461" s="285"/>
      <c r="D2461" s="275"/>
      <c r="E2461" s="275"/>
      <c r="F2461" s="284"/>
      <c r="G2461" s="272"/>
      <c r="H2461" s="136" t="s">
        <v>73</v>
      </c>
      <c r="I2461" s="181">
        <f>K2461*D2459*0.3</f>
        <v>172726.44</v>
      </c>
      <c r="J2461" s="181">
        <f>I2461/D2459</f>
        <v>49.2</v>
      </c>
      <c r="K2461" s="181">
        <v>164</v>
      </c>
      <c r="L2461" s="145"/>
      <c r="M2461" s="145"/>
      <c r="N2461" s="145"/>
      <c r="O2461" s="145"/>
      <c r="P2461" s="145"/>
      <c r="Q2461" s="145"/>
      <c r="R2461" s="145"/>
      <c r="S2461" s="145"/>
      <c r="T2461" s="145"/>
      <c r="U2461" s="145"/>
      <c r="V2461" s="145"/>
      <c r="W2461" s="145"/>
      <c r="X2461" s="145"/>
      <c r="Y2461" s="145"/>
      <c r="Z2461" s="145"/>
      <c r="AA2461" s="145"/>
      <c r="AB2461" s="145"/>
      <c r="AC2461" s="145"/>
      <c r="AD2461" s="145"/>
      <c r="AE2461" s="145"/>
      <c r="AF2461" s="145"/>
      <c r="AG2461" s="145"/>
      <c r="AH2461" s="145"/>
      <c r="AI2461" s="145"/>
      <c r="AJ2461" s="145"/>
      <c r="AK2461" s="145"/>
      <c r="AL2461" s="145"/>
      <c r="AM2461" s="145"/>
      <c r="AN2461" s="145"/>
      <c r="AO2461" s="145"/>
      <c r="AP2461" s="145"/>
      <c r="AQ2461" s="145"/>
      <c r="AR2461" s="145"/>
      <c r="AS2461" s="145"/>
      <c r="AT2461" s="145"/>
      <c r="AU2461" s="145"/>
      <c r="AV2461" s="145"/>
      <c r="AW2461" s="145"/>
      <c r="AX2461" s="145"/>
      <c r="AY2461" s="145"/>
      <c r="AZ2461" s="145"/>
      <c r="BA2461" s="145"/>
      <c r="BB2461" s="145"/>
      <c r="BC2461" s="145"/>
      <c r="BD2461" s="145"/>
      <c r="BE2461" s="145"/>
      <c r="BF2461" s="145"/>
      <c r="BG2461" s="145"/>
      <c r="BH2461" s="145"/>
      <c r="BI2461" s="145"/>
      <c r="BJ2461" s="145"/>
      <c r="BK2461" s="145"/>
      <c r="BL2461" s="145"/>
      <c r="BM2461" s="145"/>
      <c r="BN2461" s="145"/>
      <c r="BO2461" s="145"/>
      <c r="BP2461" s="145"/>
      <c r="BQ2461" s="145"/>
      <c r="BR2461" s="145"/>
      <c r="BS2461" s="145"/>
      <c r="BT2461" s="145"/>
      <c r="BU2461" s="145"/>
      <c r="BV2461" s="145"/>
      <c r="BW2461" s="145"/>
      <c r="BX2461" s="145"/>
      <c r="BY2461" s="145"/>
      <c r="BZ2461" s="145"/>
      <c r="CA2461" s="145"/>
      <c r="CB2461" s="145"/>
      <c r="CC2461" s="145"/>
      <c r="CD2461" s="145"/>
      <c r="CE2461" s="145"/>
      <c r="CF2461" s="145"/>
      <c r="CG2461" s="145"/>
      <c r="CH2461" s="145"/>
      <c r="CI2461" s="145"/>
      <c r="CJ2461" s="145"/>
      <c r="CK2461" s="145"/>
      <c r="CL2461" s="145"/>
      <c r="CM2461" s="145"/>
      <c r="CN2461" s="145"/>
      <c r="CO2461" s="145"/>
      <c r="CP2461" s="145"/>
      <c r="CQ2461" s="145"/>
      <c r="CR2461" s="145"/>
      <c r="CS2461" s="145"/>
      <c r="CT2461" s="145"/>
      <c r="CU2461" s="145"/>
      <c r="CV2461" s="145"/>
      <c r="CW2461" s="145"/>
      <c r="CX2461" s="145"/>
      <c r="CY2461" s="145"/>
      <c r="CZ2461" s="145"/>
      <c r="DA2461" s="145"/>
      <c r="DB2461" s="145"/>
      <c r="DC2461" s="145"/>
      <c r="DD2461" s="145"/>
      <c r="DE2461" s="145"/>
      <c r="DF2461" s="145"/>
      <c r="DG2461" s="145"/>
      <c r="DH2461" s="145"/>
      <c r="DI2461" s="145"/>
      <c r="DJ2461" s="145"/>
      <c r="DK2461" s="145"/>
      <c r="DL2461" s="145"/>
      <c r="DM2461" s="145"/>
      <c r="DN2461" s="145"/>
      <c r="DO2461" s="145"/>
      <c r="DP2461" s="145"/>
      <c r="DQ2461" s="145"/>
      <c r="DR2461" s="145"/>
      <c r="DS2461" s="145"/>
      <c r="DT2461" s="145"/>
      <c r="DU2461" s="145"/>
      <c r="DV2461" s="145"/>
      <c r="DW2461" s="145"/>
      <c r="DX2461" s="145"/>
      <c r="DY2461" s="145"/>
      <c r="DZ2461" s="145"/>
      <c r="EA2461" s="145"/>
      <c r="EB2461" s="145"/>
      <c r="EC2461" s="145"/>
      <c r="ED2461" s="145"/>
      <c r="EE2461" s="145"/>
      <c r="EF2461" s="145"/>
      <c r="EG2461" s="145"/>
      <c r="EH2461" s="145"/>
      <c r="EI2461" s="145"/>
      <c r="EJ2461" s="145"/>
      <c r="EK2461" s="145"/>
      <c r="EL2461" s="145"/>
      <c r="EM2461" s="145"/>
      <c r="EN2461" s="145"/>
      <c r="EO2461" s="145"/>
      <c r="EP2461" s="145"/>
      <c r="EQ2461" s="145"/>
      <c r="ER2461" s="145"/>
      <c r="ES2461" s="145"/>
      <c r="ET2461" s="145"/>
      <c r="EU2461" s="145"/>
      <c r="EV2461" s="145"/>
      <c r="EW2461" s="145"/>
      <c r="EX2461" s="145"/>
      <c r="EY2461" s="145"/>
      <c r="EZ2461" s="145"/>
      <c r="FA2461" s="145"/>
      <c r="FB2461" s="145"/>
      <c r="FC2461" s="145"/>
      <c r="FD2461" s="145"/>
      <c r="FE2461" s="145"/>
      <c r="FF2461" s="145"/>
      <c r="FG2461" s="145"/>
      <c r="FH2461" s="145"/>
      <c r="FI2461" s="145"/>
      <c r="FJ2461" s="145"/>
      <c r="FK2461" s="145"/>
      <c r="FL2461" s="145"/>
      <c r="FM2461" s="145"/>
      <c r="FN2461" s="145"/>
      <c r="FO2461" s="145"/>
      <c r="FP2461" s="145"/>
      <c r="FQ2461" s="145"/>
      <c r="FR2461" s="145"/>
      <c r="FS2461" s="145"/>
      <c r="FT2461" s="145"/>
      <c r="FU2461" s="145"/>
      <c r="FV2461" s="145"/>
      <c r="FW2461" s="145"/>
      <c r="FX2461" s="145"/>
      <c r="FY2461" s="145"/>
      <c r="FZ2461" s="145"/>
      <c r="GA2461" s="145"/>
      <c r="GB2461" s="145"/>
      <c r="GC2461" s="145"/>
      <c r="GD2461" s="145"/>
      <c r="GE2461" s="145"/>
      <c r="GF2461" s="145"/>
      <c r="GG2461" s="145"/>
      <c r="GH2461" s="145"/>
      <c r="GI2461" s="145"/>
      <c r="GJ2461" s="145"/>
      <c r="GK2461" s="145"/>
      <c r="GL2461" s="145"/>
      <c r="GM2461" s="145"/>
      <c r="GN2461" s="145"/>
      <c r="GO2461" s="145"/>
      <c r="GP2461" s="145"/>
      <c r="GQ2461" s="145"/>
      <c r="GR2461" s="145"/>
      <c r="GS2461" s="145"/>
      <c r="GT2461" s="145"/>
      <c r="GU2461" s="145"/>
      <c r="GV2461" s="145"/>
      <c r="GW2461" s="145"/>
      <c r="GX2461" s="145"/>
      <c r="GY2461" s="145"/>
      <c r="GZ2461" s="145"/>
      <c r="HA2461" s="145"/>
      <c r="HB2461" s="145"/>
      <c r="HC2461" s="145"/>
      <c r="HD2461" s="145"/>
      <c r="HE2461" s="145"/>
      <c r="HF2461" s="145"/>
    </row>
    <row r="2462" spans="1:214" x14ac:dyDescent="0.35">
      <c r="A2462" s="277">
        <f>A2459+1</f>
        <v>239</v>
      </c>
      <c r="B2462" s="277">
        <v>2286</v>
      </c>
      <c r="C2462" s="286" t="s">
        <v>747</v>
      </c>
      <c r="D2462" s="287">
        <v>18477.8</v>
      </c>
      <c r="E2462" s="276" t="s">
        <v>70</v>
      </c>
      <c r="F2462" s="276">
        <v>9</v>
      </c>
      <c r="G2462" s="277" t="s">
        <v>71</v>
      </c>
      <c r="H2462" s="136" t="s">
        <v>72</v>
      </c>
      <c r="I2462" s="181">
        <f>I2463</f>
        <v>1614741.12</v>
      </c>
      <c r="J2462" s="181">
        <f>J2463</f>
        <v>87.39</v>
      </c>
      <c r="K2462" s="181">
        <f>K2463</f>
        <v>164</v>
      </c>
      <c r="L2462" s="145"/>
      <c r="M2462" s="145"/>
      <c r="N2462" s="145"/>
      <c r="O2462" s="145"/>
      <c r="P2462" s="145"/>
      <c r="Q2462" s="145"/>
      <c r="R2462" s="145"/>
      <c r="S2462" s="145"/>
      <c r="T2462" s="145"/>
      <c r="U2462" s="145"/>
      <c r="V2462" s="145"/>
      <c r="W2462" s="145"/>
      <c r="X2462" s="145"/>
      <c r="Y2462" s="145"/>
      <c r="Z2462" s="145"/>
      <c r="AA2462" s="145"/>
      <c r="AB2462" s="145"/>
      <c r="AC2462" s="145"/>
      <c r="AD2462" s="145"/>
      <c r="AE2462" s="145"/>
      <c r="AF2462" s="145"/>
      <c r="AG2462" s="145"/>
      <c r="AH2462" s="145"/>
      <c r="AI2462" s="145"/>
      <c r="AJ2462" s="145"/>
      <c r="AK2462" s="145"/>
      <c r="AL2462" s="145"/>
      <c r="AM2462" s="145"/>
      <c r="AN2462" s="145"/>
      <c r="AO2462" s="145"/>
      <c r="AP2462" s="145"/>
      <c r="AQ2462" s="145"/>
      <c r="AR2462" s="145"/>
      <c r="AS2462" s="145"/>
      <c r="AT2462" s="145"/>
      <c r="AU2462" s="145"/>
      <c r="AV2462" s="145"/>
      <c r="AW2462" s="145"/>
      <c r="AX2462" s="145"/>
      <c r="AY2462" s="145"/>
      <c r="AZ2462" s="145"/>
      <c r="BA2462" s="145"/>
      <c r="BB2462" s="145"/>
      <c r="BC2462" s="145"/>
      <c r="BD2462" s="145"/>
      <c r="BE2462" s="145"/>
      <c r="BF2462" s="145"/>
      <c r="BG2462" s="145"/>
      <c r="BH2462" s="145"/>
      <c r="BI2462" s="145"/>
      <c r="BJ2462" s="145"/>
      <c r="BK2462" s="145"/>
      <c r="BL2462" s="145"/>
      <c r="BM2462" s="145"/>
      <c r="BN2462" s="145"/>
      <c r="BO2462" s="145"/>
      <c r="BP2462" s="145"/>
      <c r="BQ2462" s="145"/>
      <c r="BR2462" s="145"/>
      <c r="BS2462" s="145"/>
      <c r="BT2462" s="145"/>
      <c r="BU2462" s="145"/>
      <c r="BV2462" s="145"/>
      <c r="BW2462" s="145"/>
      <c r="BX2462" s="145"/>
      <c r="BY2462" s="145"/>
      <c r="BZ2462" s="145"/>
      <c r="CA2462" s="145"/>
      <c r="CB2462" s="145"/>
      <c r="CC2462" s="145"/>
      <c r="CD2462" s="145"/>
      <c r="CE2462" s="145"/>
      <c r="CF2462" s="145"/>
      <c r="CG2462" s="145"/>
      <c r="CH2462" s="145"/>
      <c r="CI2462" s="145"/>
      <c r="CJ2462" s="145"/>
      <c r="CK2462" s="145"/>
      <c r="CL2462" s="145"/>
      <c r="CM2462" s="145"/>
      <c r="CN2462" s="145"/>
      <c r="CO2462" s="145"/>
      <c r="CP2462" s="145"/>
      <c r="CQ2462" s="145"/>
      <c r="CR2462" s="145"/>
      <c r="CS2462" s="145"/>
      <c r="CT2462" s="145"/>
      <c r="CU2462" s="145"/>
      <c r="CV2462" s="145"/>
      <c r="CW2462" s="145"/>
      <c r="CX2462" s="145"/>
      <c r="CY2462" s="145"/>
      <c r="CZ2462" s="145"/>
      <c r="DA2462" s="145"/>
      <c r="DB2462" s="145"/>
      <c r="DC2462" s="145"/>
      <c r="DD2462" s="145"/>
      <c r="DE2462" s="145"/>
      <c r="DF2462" s="145"/>
      <c r="DG2462" s="145"/>
      <c r="DH2462" s="145"/>
      <c r="DI2462" s="145"/>
      <c r="DJ2462" s="145"/>
      <c r="DK2462" s="145"/>
      <c r="DL2462" s="145"/>
      <c r="DM2462" s="145"/>
      <c r="DN2462" s="145"/>
      <c r="DO2462" s="145"/>
      <c r="DP2462" s="145"/>
      <c r="DQ2462" s="145"/>
      <c r="DR2462" s="145"/>
      <c r="DS2462" s="145"/>
      <c r="DT2462" s="145"/>
      <c r="DU2462" s="145"/>
      <c r="DV2462" s="145"/>
      <c r="DW2462" s="145"/>
      <c r="DX2462" s="145"/>
      <c r="DY2462" s="145"/>
      <c r="DZ2462" s="145"/>
      <c r="EA2462" s="145"/>
      <c r="EB2462" s="145"/>
      <c r="EC2462" s="145"/>
      <c r="ED2462" s="145"/>
      <c r="EE2462" s="145"/>
      <c r="EF2462" s="145"/>
      <c r="EG2462" s="145"/>
      <c r="EH2462" s="145"/>
      <c r="EI2462" s="145"/>
      <c r="EJ2462" s="145"/>
      <c r="EK2462" s="145"/>
      <c r="EL2462" s="145"/>
      <c r="EM2462" s="145"/>
      <c r="EN2462" s="145"/>
      <c r="EO2462" s="145"/>
      <c r="EP2462" s="145"/>
      <c r="EQ2462" s="145"/>
      <c r="ER2462" s="145"/>
      <c r="ES2462" s="145"/>
      <c r="ET2462" s="145"/>
      <c r="EU2462" s="145"/>
      <c r="EV2462" s="145"/>
      <c r="EW2462" s="145"/>
      <c r="EX2462" s="145"/>
      <c r="EY2462" s="145"/>
      <c r="EZ2462" s="145"/>
      <c r="FA2462" s="145"/>
      <c r="FB2462" s="145"/>
      <c r="FC2462" s="145"/>
      <c r="FD2462" s="145"/>
      <c r="FE2462" s="145"/>
      <c r="FF2462" s="145"/>
      <c r="FG2462" s="145"/>
      <c r="FH2462" s="145"/>
      <c r="FI2462" s="145"/>
      <c r="FJ2462" s="145"/>
      <c r="FK2462" s="145"/>
      <c r="FL2462" s="145"/>
      <c r="FM2462" s="145"/>
      <c r="FN2462" s="145"/>
      <c r="FO2462" s="145"/>
      <c r="FP2462" s="145"/>
      <c r="FQ2462" s="145"/>
      <c r="FR2462" s="145"/>
      <c r="FS2462" s="145"/>
      <c r="FT2462" s="145"/>
      <c r="FU2462" s="145"/>
      <c r="FV2462" s="145"/>
      <c r="FW2462" s="145"/>
      <c r="FX2462" s="145"/>
      <c r="FY2462" s="145"/>
      <c r="FZ2462" s="145"/>
      <c r="GA2462" s="145"/>
      <c r="GB2462" s="145"/>
      <c r="GC2462" s="145"/>
      <c r="GD2462" s="145"/>
      <c r="GE2462" s="145"/>
      <c r="GF2462" s="145"/>
      <c r="GG2462" s="145"/>
      <c r="GH2462" s="145"/>
      <c r="GI2462" s="145"/>
      <c r="GJ2462" s="145"/>
      <c r="GK2462" s="145"/>
      <c r="GL2462" s="145"/>
      <c r="GM2462" s="145"/>
      <c r="GN2462" s="145"/>
      <c r="GO2462" s="145"/>
      <c r="GP2462" s="145"/>
      <c r="GQ2462" s="145"/>
      <c r="GR2462" s="145"/>
      <c r="GS2462" s="145"/>
      <c r="GT2462" s="145"/>
      <c r="GU2462" s="145"/>
      <c r="GV2462" s="145"/>
      <c r="GW2462" s="145"/>
      <c r="GX2462" s="145"/>
      <c r="GY2462" s="145"/>
      <c r="GZ2462" s="145"/>
      <c r="HA2462" s="145"/>
      <c r="HB2462" s="145"/>
      <c r="HC2462" s="145"/>
      <c r="HD2462" s="145"/>
      <c r="HE2462" s="145"/>
      <c r="HF2462" s="145"/>
    </row>
    <row r="2463" spans="1:214" ht="46.5" x14ac:dyDescent="0.35">
      <c r="A2463" s="277"/>
      <c r="B2463" s="277"/>
      <c r="C2463" s="286"/>
      <c r="D2463" s="287"/>
      <c r="E2463" s="276"/>
      <c r="F2463" s="276"/>
      <c r="G2463" s="277"/>
      <c r="H2463" s="136" t="s">
        <v>673</v>
      </c>
      <c r="I2463" s="181">
        <f>1374529.72+D2462*13</f>
        <v>1614741.12</v>
      </c>
      <c r="J2463" s="181">
        <f>I2463/D2462</f>
        <v>87.39</v>
      </c>
      <c r="K2463" s="181">
        <f>151+13</f>
        <v>164</v>
      </c>
      <c r="L2463" s="145"/>
      <c r="M2463" s="145"/>
      <c r="N2463" s="145"/>
      <c r="O2463" s="145"/>
      <c r="P2463" s="145"/>
      <c r="Q2463" s="145"/>
      <c r="R2463" s="145"/>
      <c r="S2463" s="145"/>
      <c r="T2463" s="145"/>
      <c r="U2463" s="145"/>
      <c r="V2463" s="145"/>
      <c r="W2463" s="145"/>
      <c r="X2463" s="145"/>
      <c r="Y2463" s="145"/>
      <c r="Z2463" s="145"/>
      <c r="AA2463" s="145"/>
      <c r="AB2463" s="145"/>
      <c r="AC2463" s="145"/>
      <c r="AD2463" s="145"/>
      <c r="AE2463" s="145"/>
      <c r="AF2463" s="145"/>
      <c r="AG2463" s="145"/>
      <c r="AH2463" s="145"/>
      <c r="AI2463" s="145"/>
      <c r="AJ2463" s="145"/>
      <c r="AK2463" s="145"/>
      <c r="AL2463" s="145"/>
      <c r="AM2463" s="145"/>
      <c r="AN2463" s="145"/>
      <c r="AO2463" s="145"/>
      <c r="AP2463" s="145"/>
      <c r="AQ2463" s="145"/>
      <c r="AR2463" s="145"/>
      <c r="AS2463" s="145"/>
      <c r="AT2463" s="145"/>
      <c r="AU2463" s="145"/>
      <c r="AV2463" s="145"/>
      <c r="AW2463" s="145"/>
      <c r="AX2463" s="145"/>
      <c r="AY2463" s="145"/>
      <c r="AZ2463" s="145"/>
      <c r="BA2463" s="145"/>
      <c r="BB2463" s="145"/>
      <c r="BC2463" s="145"/>
      <c r="BD2463" s="145"/>
      <c r="BE2463" s="145"/>
      <c r="BF2463" s="145"/>
      <c r="BG2463" s="145"/>
      <c r="BH2463" s="145"/>
      <c r="BI2463" s="145"/>
      <c r="BJ2463" s="145"/>
      <c r="BK2463" s="145"/>
      <c r="BL2463" s="145"/>
      <c r="BM2463" s="145"/>
      <c r="BN2463" s="145"/>
      <c r="BO2463" s="145"/>
      <c r="BP2463" s="145"/>
      <c r="BQ2463" s="145"/>
      <c r="BR2463" s="145"/>
      <c r="BS2463" s="145"/>
      <c r="BT2463" s="145"/>
      <c r="BU2463" s="145"/>
      <c r="BV2463" s="145"/>
      <c r="BW2463" s="145"/>
      <c r="BX2463" s="145"/>
      <c r="BY2463" s="145"/>
      <c r="BZ2463" s="145"/>
      <c r="CA2463" s="145"/>
      <c r="CB2463" s="145"/>
      <c r="CC2463" s="145"/>
      <c r="CD2463" s="145"/>
      <c r="CE2463" s="145"/>
      <c r="CF2463" s="145"/>
      <c r="CG2463" s="145"/>
      <c r="CH2463" s="145"/>
      <c r="CI2463" s="145"/>
      <c r="CJ2463" s="145"/>
      <c r="CK2463" s="145"/>
      <c r="CL2463" s="145"/>
      <c r="CM2463" s="145"/>
      <c r="CN2463" s="145"/>
      <c r="CO2463" s="145"/>
      <c r="CP2463" s="145"/>
      <c r="CQ2463" s="145"/>
      <c r="CR2463" s="145"/>
      <c r="CS2463" s="145"/>
      <c r="CT2463" s="145"/>
      <c r="CU2463" s="145"/>
      <c r="CV2463" s="145"/>
      <c r="CW2463" s="145"/>
      <c r="CX2463" s="145"/>
      <c r="CY2463" s="145"/>
      <c r="CZ2463" s="145"/>
      <c r="DA2463" s="145"/>
      <c r="DB2463" s="145"/>
      <c r="DC2463" s="145"/>
      <c r="DD2463" s="145"/>
      <c r="DE2463" s="145"/>
      <c r="DF2463" s="145"/>
      <c r="DG2463" s="145"/>
      <c r="DH2463" s="145"/>
      <c r="DI2463" s="145"/>
      <c r="DJ2463" s="145"/>
      <c r="DK2463" s="145"/>
      <c r="DL2463" s="145"/>
      <c r="DM2463" s="145"/>
      <c r="DN2463" s="145"/>
      <c r="DO2463" s="145"/>
      <c r="DP2463" s="145"/>
      <c r="DQ2463" s="145"/>
      <c r="DR2463" s="145"/>
      <c r="DS2463" s="145"/>
      <c r="DT2463" s="145"/>
      <c r="DU2463" s="145"/>
      <c r="DV2463" s="145"/>
      <c r="DW2463" s="145"/>
      <c r="DX2463" s="145"/>
      <c r="DY2463" s="145"/>
      <c r="DZ2463" s="145"/>
      <c r="EA2463" s="145"/>
      <c r="EB2463" s="145"/>
      <c r="EC2463" s="145"/>
      <c r="ED2463" s="145"/>
      <c r="EE2463" s="145"/>
      <c r="EF2463" s="145"/>
      <c r="EG2463" s="145"/>
      <c r="EH2463" s="145"/>
      <c r="EI2463" s="145"/>
      <c r="EJ2463" s="145"/>
      <c r="EK2463" s="145"/>
      <c r="EL2463" s="145"/>
      <c r="EM2463" s="145"/>
      <c r="EN2463" s="145"/>
      <c r="EO2463" s="145"/>
      <c r="EP2463" s="145"/>
      <c r="EQ2463" s="145"/>
      <c r="ER2463" s="145"/>
      <c r="ES2463" s="145"/>
      <c r="ET2463" s="145"/>
      <c r="EU2463" s="145"/>
      <c r="EV2463" s="145"/>
      <c r="EW2463" s="145"/>
      <c r="EX2463" s="145"/>
      <c r="EY2463" s="145"/>
      <c r="EZ2463" s="145"/>
      <c r="FA2463" s="145"/>
      <c r="FB2463" s="145"/>
      <c r="FC2463" s="145"/>
      <c r="FD2463" s="145"/>
      <c r="FE2463" s="145"/>
      <c r="FF2463" s="145"/>
      <c r="FG2463" s="145"/>
      <c r="FH2463" s="145"/>
      <c r="FI2463" s="145"/>
      <c r="FJ2463" s="145"/>
      <c r="FK2463" s="145"/>
      <c r="FL2463" s="145"/>
      <c r="FM2463" s="145"/>
      <c r="FN2463" s="145"/>
      <c r="FO2463" s="145"/>
      <c r="FP2463" s="145"/>
      <c r="FQ2463" s="145"/>
      <c r="FR2463" s="145"/>
      <c r="FS2463" s="145"/>
      <c r="FT2463" s="145"/>
      <c r="FU2463" s="145"/>
      <c r="FV2463" s="145"/>
      <c r="FW2463" s="145"/>
      <c r="FX2463" s="145"/>
      <c r="FY2463" s="145"/>
      <c r="FZ2463" s="145"/>
      <c r="GA2463" s="145"/>
      <c r="GB2463" s="145"/>
      <c r="GC2463" s="145"/>
      <c r="GD2463" s="145"/>
      <c r="GE2463" s="145"/>
      <c r="GF2463" s="145"/>
      <c r="GG2463" s="145"/>
      <c r="GH2463" s="145"/>
      <c r="GI2463" s="145"/>
      <c r="GJ2463" s="145"/>
      <c r="GK2463" s="145"/>
      <c r="GL2463" s="145"/>
      <c r="GM2463" s="145"/>
      <c r="GN2463" s="145"/>
      <c r="GO2463" s="145"/>
      <c r="GP2463" s="145"/>
      <c r="GQ2463" s="145"/>
      <c r="GR2463" s="145"/>
      <c r="GS2463" s="145"/>
      <c r="GT2463" s="145"/>
      <c r="GU2463" s="145"/>
      <c r="GV2463" s="145"/>
      <c r="GW2463" s="145"/>
      <c r="GX2463" s="145"/>
      <c r="GY2463" s="145"/>
      <c r="GZ2463" s="145"/>
      <c r="HA2463" s="145"/>
      <c r="HB2463" s="145"/>
      <c r="HC2463" s="145"/>
      <c r="HD2463" s="145"/>
      <c r="HE2463" s="145"/>
      <c r="HF2463" s="145"/>
    </row>
    <row r="2464" spans="1:214" ht="15.5" customHeight="1" x14ac:dyDescent="0.35">
      <c r="A2464" s="270">
        <f>A2462+1</f>
        <v>240</v>
      </c>
      <c r="B2464" s="270">
        <v>2163</v>
      </c>
      <c r="C2464" s="270" t="s">
        <v>748</v>
      </c>
      <c r="D2464" s="273">
        <v>18241.8</v>
      </c>
      <c r="E2464" s="267" t="s">
        <v>74</v>
      </c>
      <c r="F2464" s="267">
        <v>10</v>
      </c>
      <c r="G2464" s="277" t="s">
        <v>76</v>
      </c>
      <c r="H2464" s="182" t="s">
        <v>72</v>
      </c>
      <c r="I2464" s="181">
        <f>I2465+I2466+I2467+I2468+I2469+I2470+I2471</f>
        <v>4540403.2</v>
      </c>
      <c r="J2464" s="181">
        <f t="shared" ref="J2464:K2464" si="4">J2465+J2466+J2467+J2468+J2469+J2470+J2471</f>
        <v>248.9</v>
      </c>
      <c r="K2464" s="181">
        <f t="shared" si="4"/>
        <v>248.9</v>
      </c>
      <c r="L2464" s="145"/>
      <c r="M2464" s="145"/>
      <c r="N2464" s="145"/>
      <c r="O2464" s="145"/>
      <c r="P2464" s="145"/>
      <c r="Q2464" s="145"/>
      <c r="R2464" s="145"/>
      <c r="S2464" s="145"/>
      <c r="T2464" s="145"/>
      <c r="U2464" s="145"/>
      <c r="V2464" s="145"/>
      <c r="W2464" s="145"/>
      <c r="X2464" s="145"/>
      <c r="Y2464" s="145"/>
      <c r="Z2464" s="145"/>
      <c r="AA2464" s="145"/>
      <c r="AB2464" s="145"/>
      <c r="AC2464" s="145"/>
      <c r="AD2464" s="145"/>
      <c r="AE2464" s="145"/>
      <c r="AF2464" s="145"/>
      <c r="AG2464" s="145"/>
      <c r="AH2464" s="145"/>
      <c r="AI2464" s="145"/>
      <c r="AJ2464" s="145"/>
      <c r="AK2464" s="145"/>
      <c r="AL2464" s="145"/>
      <c r="AM2464" s="145"/>
      <c r="AN2464" s="145"/>
      <c r="AO2464" s="145"/>
      <c r="AP2464" s="145"/>
      <c r="AQ2464" s="145"/>
      <c r="AR2464" s="145"/>
      <c r="AS2464" s="145"/>
      <c r="AT2464" s="145"/>
      <c r="AU2464" s="145"/>
      <c r="AV2464" s="145"/>
      <c r="AW2464" s="145"/>
      <c r="AX2464" s="145"/>
      <c r="AY2464" s="145"/>
      <c r="AZ2464" s="145"/>
      <c r="BA2464" s="145"/>
      <c r="BB2464" s="145"/>
      <c r="BC2464" s="145"/>
      <c r="BD2464" s="145"/>
      <c r="BE2464" s="145"/>
      <c r="BF2464" s="145"/>
      <c r="BG2464" s="145"/>
      <c r="BH2464" s="145"/>
      <c r="BI2464" s="145"/>
      <c r="BJ2464" s="145"/>
      <c r="BK2464" s="145"/>
      <c r="BL2464" s="145"/>
      <c r="BM2464" s="145"/>
      <c r="BN2464" s="145"/>
      <c r="BO2464" s="145"/>
      <c r="BP2464" s="145"/>
      <c r="BQ2464" s="145"/>
      <c r="BR2464" s="145"/>
      <c r="BS2464" s="145"/>
      <c r="BT2464" s="145"/>
      <c r="BU2464" s="145"/>
      <c r="BV2464" s="145"/>
      <c r="BW2464" s="145"/>
      <c r="BX2464" s="145"/>
      <c r="BY2464" s="145"/>
      <c r="BZ2464" s="145"/>
      <c r="CA2464" s="145"/>
      <c r="CB2464" s="145"/>
      <c r="CC2464" s="145"/>
      <c r="CD2464" s="145"/>
      <c r="CE2464" s="145"/>
      <c r="CF2464" s="145"/>
      <c r="CG2464" s="145"/>
      <c r="CH2464" s="145"/>
      <c r="CI2464" s="145"/>
      <c r="CJ2464" s="145"/>
      <c r="CK2464" s="145"/>
      <c r="CL2464" s="145"/>
      <c r="CM2464" s="145"/>
      <c r="CN2464" s="145"/>
      <c r="CO2464" s="145"/>
      <c r="CP2464" s="145"/>
      <c r="CQ2464" s="145"/>
      <c r="CR2464" s="145"/>
      <c r="CS2464" s="145"/>
      <c r="CT2464" s="145"/>
      <c r="CU2464" s="145"/>
      <c r="CV2464" s="145"/>
      <c r="CW2464" s="145"/>
      <c r="CX2464" s="145"/>
      <c r="CY2464" s="145"/>
      <c r="CZ2464" s="145"/>
      <c r="DA2464" s="145"/>
      <c r="DB2464" s="145"/>
      <c r="DC2464" s="145"/>
      <c r="DD2464" s="145"/>
      <c r="DE2464" s="145"/>
      <c r="DF2464" s="145"/>
      <c r="DG2464" s="145"/>
      <c r="DH2464" s="145"/>
      <c r="DI2464" s="145"/>
      <c r="DJ2464" s="145"/>
      <c r="DK2464" s="145"/>
      <c r="DL2464" s="145"/>
      <c r="DM2464" s="145"/>
      <c r="DN2464" s="145"/>
      <c r="DO2464" s="145"/>
      <c r="DP2464" s="145"/>
      <c r="DQ2464" s="145"/>
      <c r="DR2464" s="145"/>
      <c r="DS2464" s="145"/>
      <c r="DT2464" s="145"/>
      <c r="DU2464" s="145"/>
      <c r="DV2464" s="145"/>
      <c r="DW2464" s="145"/>
      <c r="DX2464" s="145"/>
      <c r="DY2464" s="145"/>
      <c r="DZ2464" s="145"/>
      <c r="EA2464" s="145"/>
      <c r="EB2464" s="145"/>
      <c r="EC2464" s="145"/>
      <c r="ED2464" s="145"/>
      <c r="EE2464" s="145"/>
      <c r="EF2464" s="145"/>
      <c r="EG2464" s="145"/>
      <c r="EH2464" s="145"/>
      <c r="EI2464" s="145"/>
      <c r="EJ2464" s="145"/>
      <c r="EK2464" s="145"/>
      <c r="EL2464" s="145"/>
      <c r="EM2464" s="145"/>
      <c r="EN2464" s="145"/>
      <c r="EO2464" s="145"/>
      <c r="EP2464" s="145"/>
      <c r="EQ2464" s="145"/>
      <c r="ER2464" s="145"/>
      <c r="ES2464" s="145"/>
      <c r="ET2464" s="145"/>
      <c r="EU2464" s="145"/>
      <c r="EV2464" s="145"/>
      <c r="EW2464" s="145"/>
      <c r="EX2464" s="145"/>
      <c r="EY2464" s="145"/>
      <c r="EZ2464" s="145"/>
      <c r="FA2464" s="145"/>
      <c r="FB2464" s="145"/>
      <c r="FC2464" s="145"/>
      <c r="FD2464" s="145"/>
      <c r="FE2464" s="145"/>
      <c r="FF2464" s="145"/>
      <c r="FG2464" s="145"/>
      <c r="FH2464" s="145"/>
      <c r="FI2464" s="145"/>
      <c r="FJ2464" s="145"/>
      <c r="FK2464" s="145"/>
      <c r="FL2464" s="145"/>
      <c r="FM2464" s="145"/>
      <c r="FN2464" s="145"/>
      <c r="FO2464" s="145"/>
      <c r="FP2464" s="145"/>
      <c r="FQ2464" s="145"/>
      <c r="FR2464" s="145"/>
      <c r="FS2464" s="145"/>
      <c r="FT2464" s="145"/>
      <c r="FU2464" s="145"/>
      <c r="FV2464" s="145"/>
      <c r="FW2464" s="145"/>
      <c r="FX2464" s="145"/>
      <c r="FY2464" s="145"/>
      <c r="FZ2464" s="145"/>
      <c r="GA2464" s="145"/>
      <c r="GB2464" s="145"/>
      <c r="GC2464" s="145"/>
      <c r="GD2464" s="145"/>
      <c r="GE2464" s="145"/>
      <c r="GF2464" s="145"/>
      <c r="GG2464" s="145"/>
      <c r="GH2464" s="145"/>
      <c r="GI2464" s="145"/>
      <c r="GJ2464" s="145"/>
      <c r="GK2464" s="145"/>
      <c r="GL2464" s="145"/>
      <c r="GM2464" s="145"/>
      <c r="GN2464" s="145"/>
      <c r="GO2464" s="145"/>
      <c r="GP2464" s="145"/>
      <c r="GQ2464" s="145"/>
      <c r="GR2464" s="145"/>
      <c r="GS2464" s="145"/>
      <c r="GT2464" s="145"/>
      <c r="GU2464" s="145"/>
      <c r="GV2464" s="145"/>
      <c r="GW2464" s="145"/>
      <c r="GX2464" s="145"/>
      <c r="GY2464" s="145"/>
      <c r="GZ2464" s="145"/>
      <c r="HA2464" s="145"/>
      <c r="HB2464" s="145"/>
      <c r="HC2464" s="145"/>
      <c r="HD2464" s="145"/>
      <c r="HE2464" s="145"/>
      <c r="HF2464" s="145"/>
    </row>
    <row r="2465" spans="1:214" ht="46.5" x14ac:dyDescent="0.35">
      <c r="A2465" s="271"/>
      <c r="B2465" s="271"/>
      <c r="C2465" s="271"/>
      <c r="D2465" s="274"/>
      <c r="E2465" s="268"/>
      <c r="F2465" s="268"/>
      <c r="G2465" s="277"/>
      <c r="H2465" s="182" t="s">
        <v>634</v>
      </c>
      <c r="I2465" s="181">
        <f>D2464*K2465</f>
        <v>985057.2</v>
      </c>
      <c r="J2465" s="181">
        <f>I2465/D2464</f>
        <v>54</v>
      </c>
      <c r="K2465" s="181">
        <f>50+4</f>
        <v>54</v>
      </c>
      <c r="L2465" s="145"/>
      <c r="M2465" s="145"/>
      <c r="N2465" s="145"/>
      <c r="O2465" s="145"/>
      <c r="P2465" s="145"/>
      <c r="Q2465" s="145"/>
      <c r="R2465" s="145"/>
      <c r="S2465" s="145"/>
      <c r="T2465" s="145"/>
      <c r="U2465" s="145"/>
      <c r="V2465" s="145"/>
      <c r="W2465" s="145"/>
      <c r="X2465" s="145"/>
      <c r="Y2465" s="145"/>
      <c r="Z2465" s="145"/>
      <c r="AA2465" s="145"/>
      <c r="AB2465" s="145"/>
      <c r="AC2465" s="145"/>
      <c r="AD2465" s="145"/>
      <c r="AE2465" s="145"/>
      <c r="AF2465" s="145"/>
      <c r="AG2465" s="145"/>
      <c r="AH2465" s="145"/>
      <c r="AI2465" s="145"/>
      <c r="AJ2465" s="145"/>
      <c r="AK2465" s="145"/>
      <c r="AL2465" s="145"/>
      <c r="AM2465" s="145"/>
      <c r="AN2465" s="145"/>
      <c r="AO2465" s="145"/>
      <c r="AP2465" s="145"/>
      <c r="AQ2465" s="145"/>
      <c r="AR2465" s="145"/>
      <c r="AS2465" s="145"/>
      <c r="AT2465" s="145"/>
      <c r="AU2465" s="145"/>
      <c r="AV2465" s="145"/>
      <c r="AW2465" s="145"/>
      <c r="AX2465" s="145"/>
      <c r="AY2465" s="145"/>
      <c r="AZ2465" s="145"/>
      <c r="BA2465" s="145"/>
      <c r="BB2465" s="145"/>
      <c r="BC2465" s="145"/>
      <c r="BD2465" s="145"/>
      <c r="BE2465" s="145"/>
      <c r="BF2465" s="145"/>
      <c r="BG2465" s="145"/>
      <c r="BH2465" s="145"/>
      <c r="BI2465" s="145"/>
      <c r="BJ2465" s="145"/>
      <c r="BK2465" s="145"/>
      <c r="BL2465" s="145"/>
      <c r="BM2465" s="145"/>
      <c r="BN2465" s="145"/>
      <c r="BO2465" s="145"/>
      <c r="BP2465" s="145"/>
      <c r="BQ2465" s="145"/>
      <c r="BR2465" s="145"/>
      <c r="BS2465" s="145"/>
      <c r="BT2465" s="145"/>
      <c r="BU2465" s="145"/>
      <c r="BV2465" s="145"/>
      <c r="BW2465" s="145"/>
      <c r="BX2465" s="145"/>
      <c r="BY2465" s="145"/>
      <c r="BZ2465" s="145"/>
      <c r="CA2465" s="145"/>
      <c r="CB2465" s="145"/>
      <c r="CC2465" s="145"/>
      <c r="CD2465" s="145"/>
      <c r="CE2465" s="145"/>
      <c r="CF2465" s="145"/>
      <c r="CG2465" s="145"/>
      <c r="CH2465" s="145"/>
      <c r="CI2465" s="145"/>
      <c r="CJ2465" s="145"/>
      <c r="CK2465" s="145"/>
      <c r="CL2465" s="145"/>
      <c r="CM2465" s="145"/>
      <c r="CN2465" s="145"/>
      <c r="CO2465" s="145"/>
      <c r="CP2465" s="145"/>
      <c r="CQ2465" s="145"/>
      <c r="CR2465" s="145"/>
      <c r="CS2465" s="145"/>
      <c r="CT2465" s="145"/>
      <c r="CU2465" s="145"/>
      <c r="CV2465" s="145"/>
      <c r="CW2465" s="145"/>
      <c r="CX2465" s="145"/>
      <c r="CY2465" s="145"/>
      <c r="CZ2465" s="145"/>
      <c r="DA2465" s="145"/>
      <c r="DB2465" s="145"/>
      <c r="DC2465" s="145"/>
      <c r="DD2465" s="145"/>
      <c r="DE2465" s="145"/>
      <c r="DF2465" s="145"/>
      <c r="DG2465" s="145"/>
      <c r="DH2465" s="145"/>
      <c r="DI2465" s="145"/>
      <c r="DJ2465" s="145"/>
      <c r="DK2465" s="145"/>
      <c r="DL2465" s="145"/>
      <c r="DM2465" s="145"/>
      <c r="DN2465" s="145"/>
      <c r="DO2465" s="145"/>
      <c r="DP2465" s="145"/>
      <c r="DQ2465" s="145"/>
      <c r="DR2465" s="145"/>
      <c r="DS2465" s="145"/>
      <c r="DT2465" s="145"/>
      <c r="DU2465" s="145"/>
      <c r="DV2465" s="145"/>
      <c r="DW2465" s="145"/>
      <c r="DX2465" s="145"/>
      <c r="DY2465" s="145"/>
      <c r="DZ2465" s="145"/>
      <c r="EA2465" s="145"/>
      <c r="EB2465" s="145"/>
      <c r="EC2465" s="145"/>
      <c r="ED2465" s="145"/>
      <c r="EE2465" s="145"/>
      <c r="EF2465" s="145"/>
      <c r="EG2465" s="145"/>
      <c r="EH2465" s="145"/>
      <c r="EI2465" s="145"/>
      <c r="EJ2465" s="145"/>
      <c r="EK2465" s="145"/>
      <c r="EL2465" s="145"/>
      <c r="EM2465" s="145"/>
      <c r="EN2465" s="145"/>
      <c r="EO2465" s="145"/>
      <c r="EP2465" s="145"/>
      <c r="EQ2465" s="145"/>
      <c r="ER2465" s="145"/>
      <c r="ES2465" s="145"/>
      <c r="ET2465" s="145"/>
      <c r="EU2465" s="145"/>
      <c r="EV2465" s="145"/>
      <c r="EW2465" s="145"/>
      <c r="EX2465" s="145"/>
      <c r="EY2465" s="145"/>
      <c r="EZ2465" s="145"/>
      <c r="FA2465" s="145"/>
      <c r="FB2465" s="145"/>
      <c r="FC2465" s="145"/>
      <c r="FD2465" s="145"/>
      <c r="FE2465" s="145"/>
      <c r="FF2465" s="145"/>
      <c r="FG2465" s="145"/>
      <c r="FH2465" s="145"/>
      <c r="FI2465" s="145"/>
      <c r="FJ2465" s="145"/>
      <c r="FK2465" s="145"/>
      <c r="FL2465" s="145"/>
      <c r="FM2465" s="145"/>
      <c r="FN2465" s="145"/>
      <c r="FO2465" s="145"/>
      <c r="FP2465" s="145"/>
      <c r="FQ2465" s="145"/>
      <c r="FR2465" s="145"/>
      <c r="FS2465" s="145"/>
      <c r="FT2465" s="145"/>
      <c r="FU2465" s="145"/>
      <c r="FV2465" s="145"/>
      <c r="FW2465" s="145"/>
      <c r="FX2465" s="145"/>
      <c r="FY2465" s="145"/>
      <c r="FZ2465" s="145"/>
      <c r="GA2465" s="145"/>
      <c r="GB2465" s="145"/>
      <c r="GC2465" s="145"/>
      <c r="GD2465" s="145"/>
      <c r="GE2465" s="145"/>
      <c r="GF2465" s="145"/>
      <c r="GG2465" s="145"/>
      <c r="GH2465" s="145"/>
      <c r="GI2465" s="145"/>
      <c r="GJ2465" s="145"/>
      <c r="GK2465" s="145"/>
      <c r="GL2465" s="145"/>
      <c r="GM2465" s="145"/>
      <c r="GN2465" s="145"/>
      <c r="GO2465" s="145"/>
      <c r="GP2465" s="145"/>
      <c r="GQ2465" s="145"/>
      <c r="GR2465" s="145"/>
      <c r="GS2465" s="145"/>
      <c r="GT2465" s="145"/>
      <c r="GU2465" s="145"/>
      <c r="GV2465" s="145"/>
      <c r="GW2465" s="145"/>
      <c r="GX2465" s="145"/>
      <c r="GY2465" s="145"/>
      <c r="GZ2465" s="145"/>
      <c r="HA2465" s="145"/>
      <c r="HB2465" s="145"/>
      <c r="HC2465" s="145"/>
      <c r="HD2465" s="145"/>
      <c r="HE2465" s="145"/>
      <c r="HF2465" s="145"/>
    </row>
    <row r="2466" spans="1:214" ht="46.5" x14ac:dyDescent="0.35">
      <c r="A2466" s="271"/>
      <c r="B2466" s="271"/>
      <c r="C2466" s="271"/>
      <c r="D2466" s="274"/>
      <c r="E2466" s="268"/>
      <c r="F2466" s="268"/>
      <c r="G2466" s="259" t="s">
        <v>641</v>
      </c>
      <c r="H2466" s="182" t="s">
        <v>634</v>
      </c>
      <c r="I2466" s="181">
        <v>32281</v>
      </c>
      <c r="J2466" s="181">
        <f>I2466/D2464</f>
        <v>1.77</v>
      </c>
      <c r="K2466" s="181">
        <f>32281/D2464</f>
        <v>1.77</v>
      </c>
      <c r="L2466" s="145"/>
      <c r="M2466" s="145"/>
      <c r="N2466" s="145"/>
      <c r="O2466" s="145"/>
      <c r="P2466" s="145"/>
      <c r="Q2466" s="145"/>
      <c r="R2466" s="145"/>
      <c r="S2466" s="145"/>
      <c r="T2466" s="145"/>
      <c r="U2466" s="145"/>
      <c r="V2466" s="145"/>
      <c r="W2466" s="145"/>
      <c r="X2466" s="145"/>
      <c r="Y2466" s="145"/>
      <c r="Z2466" s="145"/>
      <c r="AA2466" s="145"/>
      <c r="AB2466" s="145"/>
      <c r="AC2466" s="145"/>
      <c r="AD2466" s="145"/>
      <c r="AE2466" s="145"/>
      <c r="AF2466" s="145"/>
      <c r="AG2466" s="145"/>
      <c r="AH2466" s="145"/>
      <c r="AI2466" s="145"/>
      <c r="AJ2466" s="145"/>
      <c r="AK2466" s="145"/>
      <c r="AL2466" s="145"/>
      <c r="AM2466" s="145"/>
      <c r="AN2466" s="145"/>
      <c r="AO2466" s="145"/>
      <c r="AP2466" s="145"/>
      <c r="AQ2466" s="145"/>
      <c r="AR2466" s="145"/>
      <c r="AS2466" s="145"/>
      <c r="AT2466" s="145"/>
      <c r="AU2466" s="145"/>
      <c r="AV2466" s="145"/>
      <c r="AW2466" s="145"/>
      <c r="AX2466" s="145"/>
      <c r="AY2466" s="145"/>
      <c r="AZ2466" s="145"/>
      <c r="BA2466" s="145"/>
      <c r="BB2466" s="145"/>
      <c r="BC2466" s="145"/>
      <c r="BD2466" s="145"/>
      <c r="BE2466" s="145"/>
      <c r="BF2466" s="145"/>
      <c r="BG2466" s="145"/>
      <c r="BH2466" s="145"/>
      <c r="BI2466" s="145"/>
      <c r="BJ2466" s="145"/>
      <c r="BK2466" s="145"/>
      <c r="BL2466" s="145"/>
      <c r="BM2466" s="145"/>
      <c r="BN2466" s="145"/>
      <c r="BO2466" s="145"/>
      <c r="BP2466" s="145"/>
      <c r="BQ2466" s="145"/>
      <c r="BR2466" s="145"/>
      <c r="BS2466" s="145"/>
      <c r="BT2466" s="145"/>
      <c r="BU2466" s="145"/>
      <c r="BV2466" s="145"/>
      <c r="BW2466" s="145"/>
      <c r="BX2466" s="145"/>
      <c r="BY2466" s="145"/>
      <c r="BZ2466" s="145"/>
      <c r="CA2466" s="145"/>
      <c r="CB2466" s="145"/>
      <c r="CC2466" s="145"/>
      <c r="CD2466" s="145"/>
      <c r="CE2466" s="145"/>
      <c r="CF2466" s="145"/>
      <c r="CG2466" s="145"/>
      <c r="CH2466" s="145"/>
      <c r="CI2466" s="145"/>
      <c r="CJ2466" s="145"/>
      <c r="CK2466" s="145"/>
      <c r="CL2466" s="145"/>
      <c r="CM2466" s="145"/>
      <c r="CN2466" s="145"/>
      <c r="CO2466" s="145"/>
      <c r="CP2466" s="145"/>
      <c r="CQ2466" s="145"/>
      <c r="CR2466" s="145"/>
      <c r="CS2466" s="145"/>
      <c r="CT2466" s="145"/>
      <c r="CU2466" s="145"/>
      <c r="CV2466" s="145"/>
      <c r="CW2466" s="145"/>
      <c r="CX2466" s="145"/>
      <c r="CY2466" s="145"/>
      <c r="CZ2466" s="145"/>
      <c r="DA2466" s="145"/>
      <c r="DB2466" s="145"/>
      <c r="DC2466" s="145"/>
      <c r="DD2466" s="145"/>
      <c r="DE2466" s="145"/>
      <c r="DF2466" s="145"/>
      <c r="DG2466" s="145"/>
      <c r="DH2466" s="145"/>
      <c r="DI2466" s="145"/>
      <c r="DJ2466" s="145"/>
      <c r="DK2466" s="145"/>
      <c r="DL2466" s="145"/>
      <c r="DM2466" s="145"/>
      <c r="DN2466" s="145"/>
      <c r="DO2466" s="145"/>
      <c r="DP2466" s="145"/>
      <c r="DQ2466" s="145"/>
      <c r="DR2466" s="145"/>
      <c r="DS2466" s="145"/>
      <c r="DT2466" s="145"/>
      <c r="DU2466" s="145"/>
      <c r="DV2466" s="145"/>
      <c r="DW2466" s="145"/>
      <c r="DX2466" s="145"/>
      <c r="DY2466" s="145"/>
      <c r="DZ2466" s="145"/>
      <c r="EA2466" s="145"/>
      <c r="EB2466" s="145"/>
      <c r="EC2466" s="145"/>
      <c r="ED2466" s="145"/>
      <c r="EE2466" s="145"/>
      <c r="EF2466" s="145"/>
      <c r="EG2466" s="145"/>
      <c r="EH2466" s="145"/>
      <c r="EI2466" s="145"/>
      <c r="EJ2466" s="145"/>
      <c r="EK2466" s="145"/>
      <c r="EL2466" s="145"/>
      <c r="EM2466" s="145"/>
      <c r="EN2466" s="145"/>
      <c r="EO2466" s="145"/>
      <c r="EP2466" s="145"/>
      <c r="EQ2466" s="145"/>
      <c r="ER2466" s="145"/>
      <c r="ES2466" s="145"/>
      <c r="ET2466" s="145"/>
      <c r="EU2466" s="145"/>
      <c r="EV2466" s="145"/>
      <c r="EW2466" s="145"/>
      <c r="EX2466" s="145"/>
      <c r="EY2466" s="145"/>
      <c r="EZ2466" s="145"/>
      <c r="FA2466" s="145"/>
      <c r="FB2466" s="145"/>
      <c r="FC2466" s="145"/>
      <c r="FD2466" s="145"/>
      <c r="FE2466" s="145"/>
      <c r="FF2466" s="145"/>
      <c r="FG2466" s="145"/>
      <c r="FH2466" s="145"/>
      <c r="FI2466" s="145"/>
      <c r="FJ2466" s="145"/>
      <c r="FK2466" s="145"/>
      <c r="FL2466" s="145"/>
      <c r="FM2466" s="145"/>
      <c r="FN2466" s="145"/>
      <c r="FO2466" s="145"/>
      <c r="FP2466" s="145"/>
      <c r="FQ2466" s="145"/>
      <c r="FR2466" s="145"/>
      <c r="FS2466" s="145"/>
      <c r="FT2466" s="145"/>
      <c r="FU2466" s="145"/>
      <c r="FV2466" s="145"/>
      <c r="FW2466" s="145"/>
      <c r="FX2466" s="145"/>
      <c r="FY2466" s="145"/>
      <c r="FZ2466" s="145"/>
      <c r="GA2466" s="145"/>
      <c r="GB2466" s="145"/>
      <c r="GC2466" s="145"/>
      <c r="GD2466" s="145"/>
      <c r="GE2466" s="145"/>
      <c r="GF2466" s="145"/>
      <c r="GG2466" s="145"/>
      <c r="GH2466" s="145"/>
      <c r="GI2466" s="145"/>
      <c r="GJ2466" s="145"/>
      <c r="GK2466" s="145"/>
      <c r="GL2466" s="145"/>
      <c r="GM2466" s="145"/>
      <c r="GN2466" s="145"/>
      <c r="GO2466" s="145"/>
      <c r="GP2466" s="145"/>
      <c r="GQ2466" s="145"/>
      <c r="GR2466" s="145"/>
      <c r="GS2466" s="145"/>
      <c r="GT2466" s="145"/>
      <c r="GU2466" s="145"/>
      <c r="GV2466" s="145"/>
      <c r="GW2466" s="145"/>
      <c r="GX2466" s="145"/>
      <c r="GY2466" s="145"/>
      <c r="GZ2466" s="145"/>
      <c r="HA2466" s="145"/>
      <c r="HB2466" s="145"/>
      <c r="HC2466" s="145"/>
      <c r="HD2466" s="145"/>
      <c r="HE2466" s="145"/>
      <c r="HF2466" s="145"/>
    </row>
    <row r="2467" spans="1:214" x14ac:dyDescent="0.35">
      <c r="A2467" s="271"/>
      <c r="B2467" s="271"/>
      <c r="C2467" s="271"/>
      <c r="D2467" s="274"/>
      <c r="E2467" s="268"/>
      <c r="F2467" s="268"/>
      <c r="G2467" s="260"/>
      <c r="H2467" s="182" t="s">
        <v>642</v>
      </c>
      <c r="I2467" s="181">
        <v>1708823</v>
      </c>
      <c r="J2467" s="181">
        <f>I2467/D2464</f>
        <v>93.68</v>
      </c>
      <c r="K2467" s="181">
        <f>1708823/D2464</f>
        <v>93.68</v>
      </c>
      <c r="L2467" s="145"/>
      <c r="M2467" s="145"/>
      <c r="N2467" s="145"/>
      <c r="O2467" s="145"/>
      <c r="P2467" s="145"/>
      <c r="Q2467" s="145"/>
      <c r="R2467" s="145"/>
      <c r="S2467" s="145"/>
      <c r="T2467" s="145"/>
      <c r="U2467" s="145"/>
      <c r="V2467" s="145"/>
      <c r="W2467" s="145"/>
      <c r="X2467" s="145"/>
      <c r="Y2467" s="145"/>
      <c r="Z2467" s="145"/>
      <c r="AA2467" s="145"/>
      <c r="AB2467" s="145"/>
      <c r="AC2467" s="145"/>
      <c r="AD2467" s="145"/>
      <c r="AE2467" s="145"/>
      <c r="AF2467" s="145"/>
      <c r="AG2467" s="145"/>
      <c r="AH2467" s="145"/>
      <c r="AI2467" s="145"/>
      <c r="AJ2467" s="145"/>
      <c r="AK2467" s="145"/>
      <c r="AL2467" s="145"/>
      <c r="AM2467" s="145"/>
      <c r="AN2467" s="145"/>
      <c r="AO2467" s="145"/>
      <c r="AP2467" s="145"/>
      <c r="AQ2467" s="145"/>
      <c r="AR2467" s="145"/>
      <c r="AS2467" s="145"/>
      <c r="AT2467" s="145"/>
      <c r="AU2467" s="145"/>
      <c r="AV2467" s="145"/>
      <c r="AW2467" s="145"/>
      <c r="AX2467" s="145"/>
      <c r="AY2467" s="145"/>
      <c r="AZ2467" s="145"/>
      <c r="BA2467" s="145"/>
      <c r="BB2467" s="145"/>
      <c r="BC2467" s="145"/>
      <c r="BD2467" s="145"/>
      <c r="BE2467" s="145"/>
      <c r="BF2467" s="145"/>
      <c r="BG2467" s="145"/>
      <c r="BH2467" s="145"/>
      <c r="BI2467" s="145"/>
      <c r="BJ2467" s="145"/>
      <c r="BK2467" s="145"/>
      <c r="BL2467" s="145"/>
      <c r="BM2467" s="145"/>
      <c r="BN2467" s="145"/>
      <c r="BO2467" s="145"/>
      <c r="BP2467" s="145"/>
      <c r="BQ2467" s="145"/>
      <c r="BR2467" s="145"/>
      <c r="BS2467" s="145"/>
      <c r="BT2467" s="145"/>
      <c r="BU2467" s="145"/>
      <c r="BV2467" s="145"/>
      <c r="BW2467" s="145"/>
      <c r="BX2467" s="145"/>
      <c r="BY2467" s="145"/>
      <c r="BZ2467" s="145"/>
      <c r="CA2467" s="145"/>
      <c r="CB2467" s="145"/>
      <c r="CC2467" s="145"/>
      <c r="CD2467" s="145"/>
      <c r="CE2467" s="145"/>
      <c r="CF2467" s="145"/>
      <c r="CG2467" s="145"/>
      <c r="CH2467" s="145"/>
      <c r="CI2467" s="145"/>
      <c r="CJ2467" s="145"/>
      <c r="CK2467" s="145"/>
      <c r="CL2467" s="145"/>
      <c r="CM2467" s="145"/>
      <c r="CN2467" s="145"/>
      <c r="CO2467" s="145"/>
      <c r="CP2467" s="145"/>
      <c r="CQ2467" s="145"/>
      <c r="CR2467" s="145"/>
      <c r="CS2467" s="145"/>
      <c r="CT2467" s="145"/>
      <c r="CU2467" s="145"/>
      <c r="CV2467" s="145"/>
      <c r="CW2467" s="145"/>
      <c r="CX2467" s="145"/>
      <c r="CY2467" s="145"/>
      <c r="CZ2467" s="145"/>
      <c r="DA2467" s="145"/>
      <c r="DB2467" s="145"/>
      <c r="DC2467" s="145"/>
      <c r="DD2467" s="145"/>
      <c r="DE2467" s="145"/>
      <c r="DF2467" s="145"/>
      <c r="DG2467" s="145"/>
      <c r="DH2467" s="145"/>
      <c r="DI2467" s="145"/>
      <c r="DJ2467" s="145"/>
      <c r="DK2467" s="145"/>
      <c r="DL2467" s="145"/>
      <c r="DM2467" s="145"/>
      <c r="DN2467" s="145"/>
      <c r="DO2467" s="145"/>
      <c r="DP2467" s="145"/>
      <c r="DQ2467" s="145"/>
      <c r="DR2467" s="145"/>
      <c r="DS2467" s="145"/>
      <c r="DT2467" s="145"/>
      <c r="DU2467" s="145"/>
      <c r="DV2467" s="145"/>
      <c r="DW2467" s="145"/>
      <c r="DX2467" s="145"/>
      <c r="DY2467" s="145"/>
      <c r="DZ2467" s="145"/>
      <c r="EA2467" s="145"/>
      <c r="EB2467" s="145"/>
      <c r="EC2467" s="145"/>
      <c r="ED2467" s="145"/>
      <c r="EE2467" s="145"/>
      <c r="EF2467" s="145"/>
      <c r="EG2467" s="145"/>
      <c r="EH2467" s="145"/>
      <c r="EI2467" s="145"/>
      <c r="EJ2467" s="145"/>
      <c r="EK2467" s="145"/>
      <c r="EL2467" s="145"/>
      <c r="EM2467" s="145"/>
      <c r="EN2467" s="145"/>
      <c r="EO2467" s="145"/>
      <c r="EP2467" s="145"/>
      <c r="EQ2467" s="145"/>
      <c r="ER2467" s="145"/>
      <c r="ES2467" s="145"/>
      <c r="ET2467" s="145"/>
      <c r="EU2467" s="145"/>
      <c r="EV2467" s="145"/>
      <c r="EW2467" s="145"/>
      <c r="EX2467" s="145"/>
      <c r="EY2467" s="145"/>
      <c r="EZ2467" s="145"/>
      <c r="FA2467" s="145"/>
      <c r="FB2467" s="145"/>
      <c r="FC2467" s="145"/>
      <c r="FD2467" s="145"/>
      <c r="FE2467" s="145"/>
      <c r="FF2467" s="145"/>
      <c r="FG2467" s="145"/>
      <c r="FH2467" s="145"/>
      <c r="FI2467" s="145"/>
      <c r="FJ2467" s="145"/>
      <c r="FK2467" s="145"/>
      <c r="FL2467" s="145"/>
      <c r="FM2467" s="145"/>
      <c r="FN2467" s="145"/>
      <c r="FO2467" s="145"/>
      <c r="FP2467" s="145"/>
      <c r="FQ2467" s="145"/>
      <c r="FR2467" s="145"/>
      <c r="FS2467" s="145"/>
      <c r="FT2467" s="145"/>
      <c r="FU2467" s="145"/>
      <c r="FV2467" s="145"/>
      <c r="FW2467" s="145"/>
      <c r="FX2467" s="145"/>
      <c r="FY2467" s="145"/>
      <c r="FZ2467" s="145"/>
      <c r="GA2467" s="145"/>
      <c r="GB2467" s="145"/>
      <c r="GC2467" s="145"/>
      <c r="GD2467" s="145"/>
      <c r="GE2467" s="145"/>
      <c r="GF2467" s="145"/>
      <c r="GG2467" s="145"/>
      <c r="GH2467" s="145"/>
      <c r="GI2467" s="145"/>
      <c r="GJ2467" s="145"/>
      <c r="GK2467" s="145"/>
      <c r="GL2467" s="145"/>
      <c r="GM2467" s="145"/>
      <c r="GN2467" s="145"/>
      <c r="GO2467" s="145"/>
      <c r="GP2467" s="145"/>
      <c r="GQ2467" s="145"/>
      <c r="GR2467" s="145"/>
      <c r="GS2467" s="145"/>
      <c r="GT2467" s="145"/>
      <c r="GU2467" s="145"/>
      <c r="GV2467" s="145"/>
      <c r="GW2467" s="145"/>
      <c r="GX2467" s="145"/>
      <c r="GY2467" s="145"/>
      <c r="GZ2467" s="145"/>
      <c r="HA2467" s="145"/>
      <c r="HB2467" s="145"/>
      <c r="HC2467" s="145"/>
      <c r="HD2467" s="145"/>
      <c r="HE2467" s="145"/>
      <c r="HF2467" s="145"/>
    </row>
    <row r="2468" spans="1:214" x14ac:dyDescent="0.35">
      <c r="A2468" s="271"/>
      <c r="B2468" s="271"/>
      <c r="C2468" s="271"/>
      <c r="D2468" s="274"/>
      <c r="E2468" s="268"/>
      <c r="F2468" s="268"/>
      <c r="G2468" s="261"/>
      <c r="H2468" s="182" t="s">
        <v>75</v>
      </c>
      <c r="I2468" s="181">
        <v>36569</v>
      </c>
      <c r="J2468" s="181">
        <f>I2468/D2464</f>
        <v>2</v>
      </c>
      <c r="K2468" s="181">
        <f>36569/D2464</f>
        <v>2</v>
      </c>
      <c r="L2468" s="145"/>
      <c r="M2468" s="145"/>
      <c r="N2468" s="145"/>
      <c r="O2468" s="145"/>
      <c r="P2468" s="145"/>
      <c r="Q2468" s="145"/>
      <c r="R2468" s="145"/>
      <c r="S2468" s="145"/>
      <c r="T2468" s="145"/>
      <c r="U2468" s="145"/>
      <c r="V2468" s="145"/>
      <c r="W2468" s="145"/>
      <c r="X2468" s="145"/>
      <c r="Y2468" s="145"/>
      <c r="Z2468" s="145"/>
      <c r="AA2468" s="145"/>
      <c r="AB2468" s="145"/>
      <c r="AC2468" s="145"/>
      <c r="AD2468" s="145"/>
      <c r="AE2468" s="145"/>
      <c r="AF2468" s="145"/>
      <c r="AG2468" s="145"/>
      <c r="AH2468" s="145"/>
      <c r="AI2468" s="145"/>
      <c r="AJ2468" s="145"/>
      <c r="AK2468" s="145"/>
      <c r="AL2468" s="145"/>
      <c r="AM2468" s="145"/>
      <c r="AN2468" s="145"/>
      <c r="AO2468" s="145"/>
      <c r="AP2468" s="145"/>
      <c r="AQ2468" s="145"/>
      <c r="AR2468" s="145"/>
      <c r="AS2468" s="145"/>
      <c r="AT2468" s="145"/>
      <c r="AU2468" s="145"/>
      <c r="AV2468" s="145"/>
      <c r="AW2468" s="145"/>
      <c r="AX2468" s="145"/>
      <c r="AY2468" s="145"/>
      <c r="AZ2468" s="145"/>
      <c r="BA2468" s="145"/>
      <c r="BB2468" s="145"/>
      <c r="BC2468" s="145"/>
      <c r="BD2468" s="145"/>
      <c r="BE2468" s="145"/>
      <c r="BF2468" s="145"/>
      <c r="BG2468" s="145"/>
      <c r="BH2468" s="145"/>
      <c r="BI2468" s="145"/>
      <c r="BJ2468" s="145"/>
      <c r="BK2468" s="145"/>
      <c r="BL2468" s="145"/>
      <c r="BM2468" s="145"/>
      <c r="BN2468" s="145"/>
      <c r="BO2468" s="145"/>
      <c r="BP2468" s="145"/>
      <c r="BQ2468" s="145"/>
      <c r="BR2468" s="145"/>
      <c r="BS2468" s="145"/>
      <c r="BT2468" s="145"/>
      <c r="BU2468" s="145"/>
      <c r="BV2468" s="145"/>
      <c r="BW2468" s="145"/>
      <c r="BX2468" s="145"/>
      <c r="BY2468" s="145"/>
      <c r="BZ2468" s="145"/>
      <c r="CA2468" s="145"/>
      <c r="CB2468" s="145"/>
      <c r="CC2468" s="145"/>
      <c r="CD2468" s="145"/>
      <c r="CE2468" s="145"/>
      <c r="CF2468" s="145"/>
      <c r="CG2468" s="145"/>
      <c r="CH2468" s="145"/>
      <c r="CI2468" s="145"/>
      <c r="CJ2468" s="145"/>
      <c r="CK2468" s="145"/>
      <c r="CL2468" s="145"/>
      <c r="CM2468" s="145"/>
      <c r="CN2468" s="145"/>
      <c r="CO2468" s="145"/>
      <c r="CP2468" s="145"/>
      <c r="CQ2468" s="145"/>
      <c r="CR2468" s="145"/>
      <c r="CS2468" s="145"/>
      <c r="CT2468" s="145"/>
      <c r="CU2468" s="145"/>
      <c r="CV2468" s="145"/>
      <c r="CW2468" s="145"/>
      <c r="CX2468" s="145"/>
      <c r="CY2468" s="145"/>
      <c r="CZ2468" s="145"/>
      <c r="DA2468" s="145"/>
      <c r="DB2468" s="145"/>
      <c r="DC2468" s="145"/>
      <c r="DD2468" s="145"/>
      <c r="DE2468" s="145"/>
      <c r="DF2468" s="145"/>
      <c r="DG2468" s="145"/>
      <c r="DH2468" s="145"/>
      <c r="DI2468" s="145"/>
      <c r="DJ2468" s="145"/>
      <c r="DK2468" s="145"/>
      <c r="DL2468" s="145"/>
      <c r="DM2468" s="145"/>
      <c r="DN2468" s="145"/>
      <c r="DO2468" s="145"/>
      <c r="DP2468" s="145"/>
      <c r="DQ2468" s="145"/>
      <c r="DR2468" s="145"/>
      <c r="DS2468" s="145"/>
      <c r="DT2468" s="145"/>
      <c r="DU2468" s="145"/>
      <c r="DV2468" s="145"/>
      <c r="DW2468" s="145"/>
      <c r="DX2468" s="145"/>
      <c r="DY2468" s="145"/>
      <c r="DZ2468" s="145"/>
      <c r="EA2468" s="145"/>
      <c r="EB2468" s="145"/>
      <c r="EC2468" s="145"/>
      <c r="ED2468" s="145"/>
      <c r="EE2468" s="145"/>
      <c r="EF2468" s="145"/>
      <c r="EG2468" s="145"/>
      <c r="EH2468" s="145"/>
      <c r="EI2468" s="145"/>
      <c r="EJ2468" s="145"/>
      <c r="EK2468" s="145"/>
      <c r="EL2468" s="145"/>
      <c r="EM2468" s="145"/>
      <c r="EN2468" s="145"/>
      <c r="EO2468" s="145"/>
      <c r="EP2468" s="145"/>
      <c r="EQ2468" s="145"/>
      <c r="ER2468" s="145"/>
      <c r="ES2468" s="145"/>
      <c r="ET2468" s="145"/>
      <c r="EU2468" s="145"/>
      <c r="EV2468" s="145"/>
      <c r="EW2468" s="145"/>
      <c r="EX2468" s="145"/>
      <c r="EY2468" s="145"/>
      <c r="EZ2468" s="145"/>
      <c r="FA2468" s="145"/>
      <c r="FB2468" s="145"/>
      <c r="FC2468" s="145"/>
      <c r="FD2468" s="145"/>
      <c r="FE2468" s="145"/>
      <c r="FF2468" s="145"/>
      <c r="FG2468" s="145"/>
      <c r="FH2468" s="145"/>
      <c r="FI2468" s="145"/>
      <c r="FJ2468" s="145"/>
      <c r="FK2468" s="145"/>
      <c r="FL2468" s="145"/>
      <c r="FM2468" s="145"/>
      <c r="FN2468" s="145"/>
      <c r="FO2468" s="145"/>
      <c r="FP2468" s="145"/>
      <c r="FQ2468" s="145"/>
      <c r="FR2468" s="145"/>
      <c r="FS2468" s="145"/>
      <c r="FT2468" s="145"/>
      <c r="FU2468" s="145"/>
      <c r="FV2468" s="145"/>
      <c r="FW2468" s="145"/>
      <c r="FX2468" s="145"/>
      <c r="FY2468" s="145"/>
      <c r="FZ2468" s="145"/>
      <c r="GA2468" s="145"/>
      <c r="GB2468" s="145"/>
      <c r="GC2468" s="145"/>
      <c r="GD2468" s="145"/>
      <c r="GE2468" s="145"/>
      <c r="GF2468" s="145"/>
      <c r="GG2468" s="145"/>
      <c r="GH2468" s="145"/>
      <c r="GI2468" s="145"/>
      <c r="GJ2468" s="145"/>
      <c r="GK2468" s="145"/>
      <c r="GL2468" s="145"/>
      <c r="GM2468" s="145"/>
      <c r="GN2468" s="145"/>
      <c r="GO2468" s="145"/>
      <c r="GP2468" s="145"/>
      <c r="GQ2468" s="145"/>
      <c r="GR2468" s="145"/>
      <c r="GS2468" s="145"/>
      <c r="GT2468" s="145"/>
      <c r="GU2468" s="145"/>
      <c r="GV2468" s="145"/>
      <c r="GW2468" s="145"/>
      <c r="GX2468" s="145"/>
      <c r="GY2468" s="145"/>
      <c r="GZ2468" s="145"/>
      <c r="HA2468" s="145"/>
      <c r="HB2468" s="145"/>
      <c r="HC2468" s="145"/>
      <c r="HD2468" s="145"/>
      <c r="HE2468" s="145"/>
      <c r="HF2468" s="145"/>
    </row>
    <row r="2469" spans="1:214" ht="46.5" x14ac:dyDescent="0.35">
      <c r="A2469" s="271"/>
      <c r="B2469" s="271"/>
      <c r="C2469" s="271"/>
      <c r="D2469" s="274"/>
      <c r="E2469" s="268"/>
      <c r="F2469" s="268"/>
      <c r="G2469" s="259" t="s">
        <v>647</v>
      </c>
      <c r="H2469" s="182" t="s">
        <v>634</v>
      </c>
      <c r="I2469" s="181">
        <v>32281</v>
      </c>
      <c r="J2469" s="181">
        <f>I2469/D2464</f>
        <v>1.77</v>
      </c>
      <c r="K2469" s="181">
        <f>32281/D2464</f>
        <v>1.77</v>
      </c>
      <c r="L2469" s="145"/>
      <c r="M2469" s="145"/>
      <c r="N2469" s="145"/>
      <c r="O2469" s="145"/>
      <c r="P2469" s="145"/>
      <c r="Q2469" s="145"/>
      <c r="R2469" s="145"/>
      <c r="S2469" s="145"/>
      <c r="T2469" s="145"/>
      <c r="U2469" s="145"/>
      <c r="V2469" s="145"/>
      <c r="W2469" s="145"/>
      <c r="X2469" s="145"/>
      <c r="Y2469" s="145"/>
      <c r="Z2469" s="145"/>
      <c r="AA2469" s="145"/>
      <c r="AB2469" s="145"/>
      <c r="AC2469" s="145"/>
      <c r="AD2469" s="145"/>
      <c r="AE2469" s="145"/>
      <c r="AF2469" s="145"/>
      <c r="AG2469" s="145"/>
      <c r="AH2469" s="145"/>
      <c r="AI2469" s="145"/>
      <c r="AJ2469" s="145"/>
      <c r="AK2469" s="145"/>
      <c r="AL2469" s="145"/>
      <c r="AM2469" s="145"/>
      <c r="AN2469" s="145"/>
      <c r="AO2469" s="145"/>
      <c r="AP2469" s="145"/>
      <c r="AQ2469" s="145"/>
      <c r="AR2469" s="145"/>
      <c r="AS2469" s="145"/>
      <c r="AT2469" s="145"/>
      <c r="AU2469" s="145"/>
      <c r="AV2469" s="145"/>
      <c r="AW2469" s="145"/>
      <c r="AX2469" s="145"/>
      <c r="AY2469" s="145"/>
      <c r="AZ2469" s="145"/>
      <c r="BA2469" s="145"/>
      <c r="BB2469" s="145"/>
      <c r="BC2469" s="145"/>
      <c r="BD2469" s="145"/>
      <c r="BE2469" s="145"/>
      <c r="BF2469" s="145"/>
      <c r="BG2469" s="145"/>
      <c r="BH2469" s="145"/>
      <c r="BI2469" s="145"/>
      <c r="BJ2469" s="145"/>
      <c r="BK2469" s="145"/>
      <c r="BL2469" s="145"/>
      <c r="BM2469" s="145"/>
      <c r="BN2469" s="145"/>
      <c r="BO2469" s="145"/>
      <c r="BP2469" s="145"/>
      <c r="BQ2469" s="145"/>
      <c r="BR2469" s="145"/>
      <c r="BS2469" s="145"/>
      <c r="BT2469" s="145"/>
      <c r="BU2469" s="145"/>
      <c r="BV2469" s="145"/>
      <c r="BW2469" s="145"/>
      <c r="BX2469" s="145"/>
      <c r="BY2469" s="145"/>
      <c r="BZ2469" s="145"/>
      <c r="CA2469" s="145"/>
      <c r="CB2469" s="145"/>
      <c r="CC2469" s="145"/>
      <c r="CD2469" s="145"/>
      <c r="CE2469" s="145"/>
      <c r="CF2469" s="145"/>
      <c r="CG2469" s="145"/>
      <c r="CH2469" s="145"/>
      <c r="CI2469" s="145"/>
      <c r="CJ2469" s="145"/>
      <c r="CK2469" s="145"/>
      <c r="CL2469" s="145"/>
      <c r="CM2469" s="145"/>
      <c r="CN2469" s="145"/>
      <c r="CO2469" s="145"/>
      <c r="CP2469" s="145"/>
      <c r="CQ2469" s="145"/>
      <c r="CR2469" s="145"/>
      <c r="CS2469" s="145"/>
      <c r="CT2469" s="145"/>
      <c r="CU2469" s="145"/>
      <c r="CV2469" s="145"/>
      <c r="CW2469" s="145"/>
      <c r="CX2469" s="145"/>
      <c r="CY2469" s="145"/>
      <c r="CZ2469" s="145"/>
      <c r="DA2469" s="145"/>
      <c r="DB2469" s="145"/>
      <c r="DC2469" s="145"/>
      <c r="DD2469" s="145"/>
      <c r="DE2469" s="145"/>
      <c r="DF2469" s="145"/>
      <c r="DG2469" s="145"/>
      <c r="DH2469" s="145"/>
      <c r="DI2469" s="145"/>
      <c r="DJ2469" s="145"/>
      <c r="DK2469" s="145"/>
      <c r="DL2469" s="145"/>
      <c r="DM2469" s="145"/>
      <c r="DN2469" s="145"/>
      <c r="DO2469" s="145"/>
      <c r="DP2469" s="145"/>
      <c r="DQ2469" s="145"/>
      <c r="DR2469" s="145"/>
      <c r="DS2469" s="145"/>
      <c r="DT2469" s="145"/>
      <c r="DU2469" s="145"/>
      <c r="DV2469" s="145"/>
      <c r="DW2469" s="145"/>
      <c r="DX2469" s="145"/>
      <c r="DY2469" s="145"/>
      <c r="DZ2469" s="145"/>
      <c r="EA2469" s="145"/>
      <c r="EB2469" s="145"/>
      <c r="EC2469" s="145"/>
      <c r="ED2469" s="145"/>
      <c r="EE2469" s="145"/>
      <c r="EF2469" s="145"/>
      <c r="EG2469" s="145"/>
      <c r="EH2469" s="145"/>
      <c r="EI2469" s="145"/>
      <c r="EJ2469" s="145"/>
      <c r="EK2469" s="145"/>
      <c r="EL2469" s="145"/>
      <c r="EM2469" s="145"/>
      <c r="EN2469" s="145"/>
      <c r="EO2469" s="145"/>
      <c r="EP2469" s="145"/>
      <c r="EQ2469" s="145"/>
      <c r="ER2469" s="145"/>
      <c r="ES2469" s="145"/>
      <c r="ET2469" s="145"/>
      <c r="EU2469" s="145"/>
      <c r="EV2469" s="145"/>
      <c r="EW2469" s="145"/>
      <c r="EX2469" s="145"/>
      <c r="EY2469" s="145"/>
      <c r="EZ2469" s="145"/>
      <c r="FA2469" s="145"/>
      <c r="FB2469" s="145"/>
      <c r="FC2469" s="145"/>
      <c r="FD2469" s="145"/>
      <c r="FE2469" s="145"/>
      <c r="FF2469" s="145"/>
      <c r="FG2469" s="145"/>
      <c r="FH2469" s="145"/>
      <c r="FI2469" s="145"/>
      <c r="FJ2469" s="145"/>
      <c r="FK2469" s="145"/>
      <c r="FL2469" s="145"/>
      <c r="FM2469" s="145"/>
      <c r="FN2469" s="145"/>
      <c r="FO2469" s="145"/>
      <c r="FP2469" s="145"/>
      <c r="FQ2469" s="145"/>
      <c r="FR2469" s="145"/>
      <c r="FS2469" s="145"/>
      <c r="FT2469" s="145"/>
      <c r="FU2469" s="145"/>
      <c r="FV2469" s="145"/>
      <c r="FW2469" s="145"/>
      <c r="FX2469" s="145"/>
      <c r="FY2469" s="145"/>
      <c r="FZ2469" s="145"/>
      <c r="GA2469" s="145"/>
      <c r="GB2469" s="145"/>
      <c r="GC2469" s="145"/>
      <c r="GD2469" s="145"/>
      <c r="GE2469" s="145"/>
      <c r="GF2469" s="145"/>
      <c r="GG2469" s="145"/>
      <c r="GH2469" s="145"/>
      <c r="GI2469" s="145"/>
      <c r="GJ2469" s="145"/>
      <c r="GK2469" s="145"/>
      <c r="GL2469" s="145"/>
      <c r="GM2469" s="145"/>
      <c r="GN2469" s="145"/>
      <c r="GO2469" s="145"/>
      <c r="GP2469" s="145"/>
      <c r="GQ2469" s="145"/>
      <c r="GR2469" s="145"/>
      <c r="GS2469" s="145"/>
      <c r="GT2469" s="145"/>
      <c r="GU2469" s="145"/>
      <c r="GV2469" s="145"/>
      <c r="GW2469" s="145"/>
      <c r="GX2469" s="145"/>
      <c r="GY2469" s="145"/>
      <c r="GZ2469" s="145"/>
      <c r="HA2469" s="145"/>
      <c r="HB2469" s="145"/>
      <c r="HC2469" s="145"/>
      <c r="HD2469" s="145"/>
      <c r="HE2469" s="145"/>
      <c r="HF2469" s="145"/>
    </row>
    <row r="2470" spans="1:214" x14ac:dyDescent="0.35">
      <c r="A2470" s="271"/>
      <c r="B2470" s="271"/>
      <c r="C2470" s="271"/>
      <c r="D2470" s="274"/>
      <c r="E2470" s="268"/>
      <c r="F2470" s="268"/>
      <c r="G2470" s="260"/>
      <c r="H2470" s="182" t="s">
        <v>642</v>
      </c>
      <c r="I2470" s="181">
        <v>1708823</v>
      </c>
      <c r="J2470" s="181">
        <f>I2470/D2464</f>
        <v>93.68</v>
      </c>
      <c r="K2470" s="181">
        <f>1708823/D2464</f>
        <v>93.68</v>
      </c>
      <c r="L2470" s="145"/>
      <c r="M2470" s="145"/>
      <c r="N2470" s="145"/>
      <c r="O2470" s="145"/>
      <c r="P2470" s="145"/>
      <c r="Q2470" s="145"/>
      <c r="R2470" s="145"/>
      <c r="S2470" s="145"/>
      <c r="T2470" s="145"/>
      <c r="U2470" s="145"/>
      <c r="V2470" s="145"/>
      <c r="W2470" s="145"/>
      <c r="X2470" s="145"/>
      <c r="Y2470" s="145"/>
      <c r="Z2470" s="145"/>
      <c r="AA2470" s="145"/>
      <c r="AB2470" s="145"/>
      <c r="AC2470" s="145"/>
      <c r="AD2470" s="145"/>
      <c r="AE2470" s="145"/>
      <c r="AF2470" s="145"/>
      <c r="AG2470" s="145"/>
      <c r="AH2470" s="145"/>
      <c r="AI2470" s="145"/>
      <c r="AJ2470" s="145"/>
      <c r="AK2470" s="145"/>
      <c r="AL2470" s="145"/>
      <c r="AM2470" s="145"/>
      <c r="AN2470" s="145"/>
      <c r="AO2470" s="145"/>
      <c r="AP2470" s="145"/>
      <c r="AQ2470" s="145"/>
      <c r="AR2470" s="145"/>
      <c r="AS2470" s="145"/>
      <c r="AT2470" s="145"/>
      <c r="AU2470" s="145"/>
      <c r="AV2470" s="145"/>
      <c r="AW2470" s="145"/>
      <c r="AX2470" s="145"/>
      <c r="AY2470" s="145"/>
      <c r="AZ2470" s="145"/>
      <c r="BA2470" s="145"/>
      <c r="BB2470" s="145"/>
      <c r="BC2470" s="145"/>
      <c r="BD2470" s="145"/>
      <c r="BE2470" s="145"/>
      <c r="BF2470" s="145"/>
      <c r="BG2470" s="145"/>
      <c r="BH2470" s="145"/>
      <c r="BI2470" s="145"/>
      <c r="BJ2470" s="145"/>
      <c r="BK2470" s="145"/>
      <c r="BL2470" s="145"/>
      <c r="BM2470" s="145"/>
      <c r="BN2470" s="145"/>
      <c r="BO2470" s="145"/>
      <c r="BP2470" s="145"/>
      <c r="BQ2470" s="145"/>
      <c r="BR2470" s="145"/>
      <c r="BS2470" s="145"/>
      <c r="BT2470" s="145"/>
      <c r="BU2470" s="145"/>
      <c r="BV2470" s="145"/>
      <c r="BW2470" s="145"/>
      <c r="BX2470" s="145"/>
      <c r="BY2470" s="145"/>
      <c r="BZ2470" s="145"/>
      <c r="CA2470" s="145"/>
      <c r="CB2470" s="145"/>
      <c r="CC2470" s="145"/>
      <c r="CD2470" s="145"/>
      <c r="CE2470" s="145"/>
      <c r="CF2470" s="145"/>
      <c r="CG2470" s="145"/>
      <c r="CH2470" s="145"/>
      <c r="CI2470" s="145"/>
      <c r="CJ2470" s="145"/>
      <c r="CK2470" s="145"/>
      <c r="CL2470" s="145"/>
      <c r="CM2470" s="145"/>
      <c r="CN2470" s="145"/>
      <c r="CO2470" s="145"/>
      <c r="CP2470" s="145"/>
      <c r="CQ2470" s="145"/>
      <c r="CR2470" s="145"/>
      <c r="CS2470" s="145"/>
      <c r="CT2470" s="145"/>
      <c r="CU2470" s="145"/>
      <c r="CV2470" s="145"/>
      <c r="CW2470" s="145"/>
      <c r="CX2470" s="145"/>
      <c r="CY2470" s="145"/>
      <c r="CZ2470" s="145"/>
      <c r="DA2470" s="145"/>
      <c r="DB2470" s="145"/>
      <c r="DC2470" s="145"/>
      <c r="DD2470" s="145"/>
      <c r="DE2470" s="145"/>
      <c r="DF2470" s="145"/>
      <c r="DG2470" s="145"/>
      <c r="DH2470" s="145"/>
      <c r="DI2470" s="145"/>
      <c r="DJ2470" s="145"/>
      <c r="DK2470" s="145"/>
      <c r="DL2470" s="145"/>
      <c r="DM2470" s="145"/>
      <c r="DN2470" s="145"/>
      <c r="DO2470" s="145"/>
      <c r="DP2470" s="145"/>
      <c r="DQ2470" s="145"/>
      <c r="DR2470" s="145"/>
      <c r="DS2470" s="145"/>
      <c r="DT2470" s="145"/>
      <c r="DU2470" s="145"/>
      <c r="DV2470" s="145"/>
      <c r="DW2470" s="145"/>
      <c r="DX2470" s="145"/>
      <c r="DY2470" s="145"/>
      <c r="DZ2470" s="145"/>
      <c r="EA2470" s="145"/>
      <c r="EB2470" s="145"/>
      <c r="EC2470" s="145"/>
      <c r="ED2470" s="145"/>
      <c r="EE2470" s="145"/>
      <c r="EF2470" s="145"/>
      <c r="EG2470" s="145"/>
      <c r="EH2470" s="145"/>
      <c r="EI2470" s="145"/>
      <c r="EJ2470" s="145"/>
      <c r="EK2470" s="145"/>
      <c r="EL2470" s="145"/>
      <c r="EM2470" s="145"/>
      <c r="EN2470" s="145"/>
      <c r="EO2470" s="145"/>
      <c r="EP2470" s="145"/>
      <c r="EQ2470" s="145"/>
      <c r="ER2470" s="145"/>
      <c r="ES2470" s="145"/>
      <c r="ET2470" s="145"/>
      <c r="EU2470" s="145"/>
      <c r="EV2470" s="145"/>
      <c r="EW2470" s="145"/>
      <c r="EX2470" s="145"/>
      <c r="EY2470" s="145"/>
      <c r="EZ2470" s="145"/>
      <c r="FA2470" s="145"/>
      <c r="FB2470" s="145"/>
      <c r="FC2470" s="145"/>
      <c r="FD2470" s="145"/>
      <c r="FE2470" s="145"/>
      <c r="FF2470" s="145"/>
      <c r="FG2470" s="145"/>
      <c r="FH2470" s="145"/>
      <c r="FI2470" s="145"/>
      <c r="FJ2470" s="145"/>
      <c r="FK2470" s="145"/>
      <c r="FL2470" s="145"/>
      <c r="FM2470" s="145"/>
      <c r="FN2470" s="145"/>
      <c r="FO2470" s="145"/>
      <c r="FP2470" s="145"/>
      <c r="FQ2470" s="145"/>
      <c r="FR2470" s="145"/>
      <c r="FS2470" s="145"/>
      <c r="FT2470" s="145"/>
      <c r="FU2470" s="145"/>
      <c r="FV2470" s="145"/>
      <c r="FW2470" s="145"/>
      <c r="FX2470" s="145"/>
      <c r="FY2470" s="145"/>
      <c r="FZ2470" s="145"/>
      <c r="GA2470" s="145"/>
      <c r="GB2470" s="145"/>
      <c r="GC2470" s="145"/>
      <c r="GD2470" s="145"/>
      <c r="GE2470" s="145"/>
      <c r="GF2470" s="145"/>
      <c r="GG2470" s="145"/>
      <c r="GH2470" s="145"/>
      <c r="GI2470" s="145"/>
      <c r="GJ2470" s="145"/>
      <c r="GK2470" s="145"/>
      <c r="GL2470" s="145"/>
      <c r="GM2470" s="145"/>
      <c r="GN2470" s="145"/>
      <c r="GO2470" s="145"/>
      <c r="GP2470" s="145"/>
      <c r="GQ2470" s="145"/>
      <c r="GR2470" s="145"/>
      <c r="GS2470" s="145"/>
      <c r="GT2470" s="145"/>
      <c r="GU2470" s="145"/>
      <c r="GV2470" s="145"/>
      <c r="GW2470" s="145"/>
      <c r="GX2470" s="145"/>
      <c r="GY2470" s="145"/>
      <c r="GZ2470" s="145"/>
      <c r="HA2470" s="145"/>
      <c r="HB2470" s="145"/>
      <c r="HC2470" s="145"/>
      <c r="HD2470" s="145"/>
      <c r="HE2470" s="145"/>
      <c r="HF2470" s="145"/>
    </row>
    <row r="2471" spans="1:214" x14ac:dyDescent="0.35">
      <c r="A2471" s="272"/>
      <c r="B2471" s="272"/>
      <c r="C2471" s="272"/>
      <c r="D2471" s="275"/>
      <c r="E2471" s="269"/>
      <c r="F2471" s="269"/>
      <c r="G2471" s="261"/>
      <c r="H2471" s="182" t="s">
        <v>75</v>
      </c>
      <c r="I2471" s="181">
        <v>36569</v>
      </c>
      <c r="J2471" s="181">
        <f>I2471/D2464</f>
        <v>2</v>
      </c>
      <c r="K2471" s="181">
        <f>36569/D2464</f>
        <v>2</v>
      </c>
      <c r="L2471" s="145"/>
      <c r="M2471" s="145"/>
      <c r="N2471" s="145"/>
      <c r="O2471" s="145"/>
      <c r="P2471" s="145"/>
      <c r="Q2471" s="145"/>
      <c r="R2471" s="145"/>
      <c r="S2471" s="145"/>
      <c r="T2471" s="145"/>
      <c r="U2471" s="145"/>
      <c r="V2471" s="145"/>
      <c r="W2471" s="145"/>
      <c r="X2471" s="145"/>
      <c r="Y2471" s="145"/>
      <c r="Z2471" s="145"/>
      <c r="AA2471" s="145"/>
      <c r="AB2471" s="145"/>
      <c r="AC2471" s="145"/>
      <c r="AD2471" s="145"/>
      <c r="AE2471" s="145"/>
      <c r="AF2471" s="145"/>
      <c r="AG2471" s="145"/>
      <c r="AH2471" s="145"/>
      <c r="AI2471" s="145"/>
      <c r="AJ2471" s="145"/>
      <c r="AK2471" s="145"/>
      <c r="AL2471" s="145"/>
      <c r="AM2471" s="145"/>
      <c r="AN2471" s="145"/>
      <c r="AO2471" s="145"/>
      <c r="AP2471" s="145"/>
      <c r="AQ2471" s="145"/>
      <c r="AR2471" s="145"/>
      <c r="AS2471" s="145"/>
      <c r="AT2471" s="145"/>
      <c r="AU2471" s="145"/>
      <c r="AV2471" s="145"/>
      <c r="AW2471" s="145"/>
      <c r="AX2471" s="145"/>
      <c r="AY2471" s="145"/>
      <c r="AZ2471" s="145"/>
      <c r="BA2471" s="145"/>
      <c r="BB2471" s="145"/>
      <c r="BC2471" s="145"/>
      <c r="BD2471" s="145"/>
      <c r="BE2471" s="145"/>
      <c r="BF2471" s="145"/>
      <c r="BG2471" s="145"/>
      <c r="BH2471" s="145"/>
      <c r="BI2471" s="145"/>
      <c r="BJ2471" s="145"/>
      <c r="BK2471" s="145"/>
      <c r="BL2471" s="145"/>
      <c r="BM2471" s="145"/>
      <c r="BN2471" s="145"/>
      <c r="BO2471" s="145"/>
      <c r="BP2471" s="145"/>
      <c r="BQ2471" s="145"/>
      <c r="BR2471" s="145"/>
      <c r="BS2471" s="145"/>
      <c r="BT2471" s="145"/>
      <c r="BU2471" s="145"/>
      <c r="BV2471" s="145"/>
      <c r="BW2471" s="145"/>
      <c r="BX2471" s="145"/>
      <c r="BY2471" s="145"/>
      <c r="BZ2471" s="145"/>
      <c r="CA2471" s="145"/>
      <c r="CB2471" s="145"/>
      <c r="CC2471" s="145"/>
      <c r="CD2471" s="145"/>
      <c r="CE2471" s="145"/>
      <c r="CF2471" s="145"/>
      <c r="CG2471" s="145"/>
      <c r="CH2471" s="145"/>
      <c r="CI2471" s="145"/>
      <c r="CJ2471" s="145"/>
      <c r="CK2471" s="145"/>
      <c r="CL2471" s="145"/>
      <c r="CM2471" s="145"/>
      <c r="CN2471" s="145"/>
      <c r="CO2471" s="145"/>
      <c r="CP2471" s="145"/>
      <c r="CQ2471" s="145"/>
      <c r="CR2471" s="145"/>
      <c r="CS2471" s="145"/>
      <c r="CT2471" s="145"/>
      <c r="CU2471" s="145"/>
      <c r="CV2471" s="145"/>
      <c r="CW2471" s="145"/>
      <c r="CX2471" s="145"/>
      <c r="CY2471" s="145"/>
      <c r="CZ2471" s="145"/>
      <c r="DA2471" s="145"/>
      <c r="DB2471" s="145"/>
      <c r="DC2471" s="145"/>
      <c r="DD2471" s="145"/>
      <c r="DE2471" s="145"/>
      <c r="DF2471" s="145"/>
      <c r="DG2471" s="145"/>
      <c r="DH2471" s="145"/>
      <c r="DI2471" s="145"/>
      <c r="DJ2471" s="145"/>
      <c r="DK2471" s="145"/>
      <c r="DL2471" s="145"/>
      <c r="DM2471" s="145"/>
      <c r="DN2471" s="145"/>
      <c r="DO2471" s="145"/>
      <c r="DP2471" s="145"/>
      <c r="DQ2471" s="145"/>
      <c r="DR2471" s="145"/>
      <c r="DS2471" s="145"/>
      <c r="DT2471" s="145"/>
      <c r="DU2471" s="145"/>
      <c r="DV2471" s="145"/>
      <c r="DW2471" s="145"/>
      <c r="DX2471" s="145"/>
      <c r="DY2471" s="145"/>
      <c r="DZ2471" s="145"/>
      <c r="EA2471" s="145"/>
      <c r="EB2471" s="145"/>
      <c r="EC2471" s="145"/>
      <c r="ED2471" s="145"/>
      <c r="EE2471" s="145"/>
      <c r="EF2471" s="145"/>
      <c r="EG2471" s="145"/>
      <c r="EH2471" s="145"/>
      <c r="EI2471" s="145"/>
      <c r="EJ2471" s="145"/>
      <c r="EK2471" s="145"/>
      <c r="EL2471" s="145"/>
      <c r="EM2471" s="145"/>
      <c r="EN2471" s="145"/>
      <c r="EO2471" s="145"/>
      <c r="EP2471" s="145"/>
      <c r="EQ2471" s="145"/>
      <c r="ER2471" s="145"/>
      <c r="ES2471" s="145"/>
      <c r="ET2471" s="145"/>
      <c r="EU2471" s="145"/>
      <c r="EV2471" s="145"/>
      <c r="EW2471" s="145"/>
      <c r="EX2471" s="145"/>
      <c r="EY2471" s="145"/>
      <c r="EZ2471" s="145"/>
      <c r="FA2471" s="145"/>
      <c r="FB2471" s="145"/>
      <c r="FC2471" s="145"/>
      <c r="FD2471" s="145"/>
      <c r="FE2471" s="145"/>
      <c r="FF2471" s="145"/>
      <c r="FG2471" s="145"/>
      <c r="FH2471" s="145"/>
      <c r="FI2471" s="145"/>
      <c r="FJ2471" s="145"/>
      <c r="FK2471" s="145"/>
      <c r="FL2471" s="145"/>
      <c r="FM2471" s="145"/>
      <c r="FN2471" s="145"/>
      <c r="FO2471" s="145"/>
      <c r="FP2471" s="145"/>
      <c r="FQ2471" s="145"/>
      <c r="FR2471" s="145"/>
      <c r="FS2471" s="145"/>
      <c r="FT2471" s="145"/>
      <c r="FU2471" s="145"/>
      <c r="FV2471" s="145"/>
      <c r="FW2471" s="145"/>
      <c r="FX2471" s="145"/>
      <c r="FY2471" s="145"/>
      <c r="FZ2471" s="145"/>
      <c r="GA2471" s="145"/>
      <c r="GB2471" s="145"/>
      <c r="GC2471" s="145"/>
      <c r="GD2471" s="145"/>
      <c r="GE2471" s="145"/>
      <c r="GF2471" s="145"/>
      <c r="GG2471" s="145"/>
      <c r="GH2471" s="145"/>
      <c r="GI2471" s="145"/>
      <c r="GJ2471" s="145"/>
      <c r="GK2471" s="145"/>
      <c r="GL2471" s="145"/>
      <c r="GM2471" s="145"/>
      <c r="GN2471" s="145"/>
      <c r="GO2471" s="145"/>
      <c r="GP2471" s="145"/>
      <c r="GQ2471" s="145"/>
      <c r="GR2471" s="145"/>
      <c r="GS2471" s="145"/>
      <c r="GT2471" s="145"/>
      <c r="GU2471" s="145"/>
      <c r="GV2471" s="145"/>
      <c r="GW2471" s="145"/>
      <c r="GX2471" s="145"/>
      <c r="GY2471" s="145"/>
      <c r="GZ2471" s="145"/>
      <c r="HA2471" s="145"/>
      <c r="HB2471" s="145"/>
      <c r="HC2471" s="145"/>
      <c r="HD2471" s="145"/>
      <c r="HE2471" s="145"/>
      <c r="HF2471" s="145"/>
    </row>
    <row r="2472" spans="1:214" x14ac:dyDescent="0.35">
      <c r="A2472" s="277">
        <f>A2464+1</f>
        <v>241</v>
      </c>
      <c r="B2472" s="277">
        <v>2438</v>
      </c>
      <c r="C2472" s="286" t="s">
        <v>749</v>
      </c>
      <c r="D2472" s="287">
        <v>2393.4699999999998</v>
      </c>
      <c r="E2472" s="276" t="s">
        <v>70</v>
      </c>
      <c r="F2472" s="276">
        <v>5</v>
      </c>
      <c r="G2472" s="277" t="s">
        <v>71</v>
      </c>
      <c r="H2472" s="136" t="s">
        <v>72</v>
      </c>
      <c r="I2472" s="181">
        <f>I2473</f>
        <v>241734.03</v>
      </c>
      <c r="J2472" s="181">
        <f>J2473</f>
        <v>101</v>
      </c>
      <c r="K2472" s="181">
        <f>K2473</f>
        <v>168</v>
      </c>
      <c r="L2472" s="145"/>
      <c r="M2472" s="145"/>
      <c r="N2472" s="145"/>
      <c r="O2472" s="145"/>
      <c r="P2472" s="145"/>
      <c r="Q2472" s="145"/>
      <c r="R2472" s="145"/>
      <c r="S2472" s="145"/>
      <c r="T2472" s="145"/>
      <c r="U2472" s="145"/>
      <c r="V2472" s="145"/>
      <c r="W2472" s="145"/>
      <c r="X2472" s="145"/>
      <c r="Y2472" s="145"/>
      <c r="Z2472" s="145"/>
      <c r="AA2472" s="145"/>
      <c r="AB2472" s="145"/>
      <c r="AC2472" s="145"/>
      <c r="AD2472" s="145"/>
      <c r="AE2472" s="145"/>
      <c r="AF2472" s="145"/>
      <c r="AG2472" s="145"/>
      <c r="AH2472" s="145"/>
      <c r="AI2472" s="145"/>
      <c r="AJ2472" s="145"/>
      <c r="AK2472" s="145"/>
      <c r="AL2472" s="145"/>
      <c r="AM2472" s="145"/>
      <c r="AN2472" s="145"/>
      <c r="AO2472" s="145"/>
      <c r="AP2472" s="145"/>
      <c r="AQ2472" s="145"/>
      <c r="AR2472" s="145"/>
      <c r="AS2472" s="145"/>
      <c r="AT2472" s="145"/>
      <c r="AU2472" s="145"/>
      <c r="AV2472" s="145"/>
      <c r="AW2472" s="145"/>
      <c r="AX2472" s="145"/>
      <c r="AY2472" s="145"/>
      <c r="AZ2472" s="145"/>
      <c r="BA2472" s="145"/>
      <c r="BB2472" s="145"/>
      <c r="BC2472" s="145"/>
      <c r="BD2472" s="145"/>
      <c r="BE2472" s="145"/>
      <c r="BF2472" s="145"/>
      <c r="BG2472" s="145"/>
      <c r="BH2472" s="145"/>
      <c r="BI2472" s="145"/>
      <c r="BJ2472" s="145"/>
      <c r="BK2472" s="145"/>
      <c r="BL2472" s="145"/>
      <c r="BM2472" s="145"/>
      <c r="BN2472" s="145"/>
      <c r="BO2472" s="145"/>
      <c r="BP2472" s="145"/>
      <c r="BQ2472" s="145"/>
      <c r="BR2472" s="145"/>
      <c r="BS2472" s="145"/>
      <c r="BT2472" s="145"/>
      <c r="BU2472" s="145"/>
      <c r="BV2472" s="145"/>
      <c r="BW2472" s="145"/>
      <c r="BX2472" s="145"/>
      <c r="BY2472" s="145"/>
      <c r="BZ2472" s="145"/>
      <c r="CA2472" s="145"/>
      <c r="CB2472" s="145"/>
      <c r="CC2472" s="145"/>
      <c r="CD2472" s="145"/>
      <c r="CE2472" s="145"/>
      <c r="CF2472" s="145"/>
      <c r="CG2472" s="145"/>
      <c r="CH2472" s="145"/>
      <c r="CI2472" s="145"/>
      <c r="CJ2472" s="145"/>
      <c r="CK2472" s="145"/>
      <c r="CL2472" s="145"/>
      <c r="CM2472" s="145"/>
      <c r="CN2472" s="145"/>
      <c r="CO2472" s="145"/>
      <c r="CP2472" s="145"/>
      <c r="CQ2472" s="145"/>
      <c r="CR2472" s="145"/>
      <c r="CS2472" s="145"/>
      <c r="CT2472" s="145"/>
      <c r="CU2472" s="145"/>
      <c r="CV2472" s="145"/>
      <c r="CW2472" s="145"/>
      <c r="CX2472" s="145"/>
      <c r="CY2472" s="145"/>
      <c r="CZ2472" s="145"/>
      <c r="DA2472" s="145"/>
      <c r="DB2472" s="145"/>
      <c r="DC2472" s="145"/>
      <c r="DD2472" s="145"/>
      <c r="DE2472" s="145"/>
      <c r="DF2472" s="145"/>
      <c r="DG2472" s="145"/>
      <c r="DH2472" s="145"/>
      <c r="DI2472" s="145"/>
      <c r="DJ2472" s="145"/>
      <c r="DK2472" s="145"/>
      <c r="DL2472" s="145"/>
      <c r="DM2472" s="145"/>
      <c r="DN2472" s="145"/>
      <c r="DO2472" s="145"/>
      <c r="DP2472" s="145"/>
      <c r="DQ2472" s="145"/>
      <c r="DR2472" s="145"/>
      <c r="DS2472" s="145"/>
      <c r="DT2472" s="145"/>
      <c r="DU2472" s="145"/>
      <c r="DV2472" s="145"/>
      <c r="DW2472" s="145"/>
      <c r="DX2472" s="145"/>
      <c r="DY2472" s="145"/>
      <c r="DZ2472" s="145"/>
      <c r="EA2472" s="145"/>
      <c r="EB2472" s="145"/>
      <c r="EC2472" s="145"/>
      <c r="ED2472" s="145"/>
      <c r="EE2472" s="145"/>
      <c r="EF2472" s="145"/>
      <c r="EG2472" s="145"/>
      <c r="EH2472" s="145"/>
      <c r="EI2472" s="145"/>
      <c r="EJ2472" s="145"/>
      <c r="EK2472" s="145"/>
      <c r="EL2472" s="145"/>
      <c r="EM2472" s="145"/>
      <c r="EN2472" s="145"/>
      <c r="EO2472" s="145"/>
      <c r="EP2472" s="145"/>
      <c r="EQ2472" s="145"/>
      <c r="ER2472" s="145"/>
      <c r="ES2472" s="145"/>
      <c r="ET2472" s="145"/>
      <c r="EU2472" s="145"/>
      <c r="EV2472" s="145"/>
      <c r="EW2472" s="145"/>
      <c r="EX2472" s="145"/>
      <c r="EY2472" s="145"/>
      <c r="EZ2472" s="145"/>
      <c r="FA2472" s="145"/>
      <c r="FB2472" s="145"/>
      <c r="FC2472" s="145"/>
      <c r="FD2472" s="145"/>
      <c r="FE2472" s="145"/>
      <c r="FF2472" s="145"/>
      <c r="FG2472" s="145"/>
      <c r="FH2472" s="145"/>
      <c r="FI2472" s="145"/>
      <c r="FJ2472" s="145"/>
      <c r="FK2472" s="145"/>
      <c r="FL2472" s="145"/>
      <c r="FM2472" s="145"/>
      <c r="FN2472" s="145"/>
      <c r="FO2472" s="145"/>
      <c r="FP2472" s="145"/>
      <c r="FQ2472" s="145"/>
      <c r="FR2472" s="145"/>
      <c r="FS2472" s="145"/>
      <c r="FT2472" s="145"/>
      <c r="FU2472" s="145"/>
      <c r="FV2472" s="145"/>
      <c r="FW2472" s="145"/>
      <c r="FX2472" s="145"/>
      <c r="FY2472" s="145"/>
      <c r="FZ2472" s="145"/>
      <c r="GA2472" s="145"/>
      <c r="GB2472" s="145"/>
      <c r="GC2472" s="145"/>
      <c r="GD2472" s="145"/>
      <c r="GE2472" s="145"/>
      <c r="GF2472" s="145"/>
      <c r="GG2472" s="145"/>
      <c r="GH2472" s="145"/>
      <c r="GI2472" s="145"/>
      <c r="GJ2472" s="145"/>
      <c r="GK2472" s="145"/>
      <c r="GL2472" s="145"/>
      <c r="GM2472" s="145"/>
      <c r="GN2472" s="145"/>
      <c r="GO2472" s="145"/>
      <c r="GP2472" s="145"/>
      <c r="GQ2472" s="145"/>
      <c r="GR2472" s="145"/>
      <c r="GS2472" s="145"/>
      <c r="GT2472" s="145"/>
      <c r="GU2472" s="145"/>
      <c r="GV2472" s="145"/>
      <c r="GW2472" s="145"/>
      <c r="GX2472" s="145"/>
      <c r="GY2472" s="145"/>
      <c r="GZ2472" s="145"/>
      <c r="HA2472" s="145"/>
      <c r="HB2472" s="145"/>
      <c r="HC2472" s="145"/>
      <c r="HD2472" s="145"/>
      <c r="HE2472" s="145"/>
      <c r="HF2472" s="145"/>
    </row>
    <row r="2473" spans="1:214" ht="62" x14ac:dyDescent="0.35">
      <c r="A2473" s="277"/>
      <c r="B2473" s="277"/>
      <c r="C2473" s="286"/>
      <c r="D2473" s="287"/>
      <c r="E2473" s="276"/>
      <c r="F2473" s="276"/>
      <c r="G2473" s="277"/>
      <c r="H2473" s="136" t="s">
        <v>761</v>
      </c>
      <c r="I2473" s="181">
        <f>162749.52+D2472*33</f>
        <v>241734.03</v>
      </c>
      <c r="J2473" s="181">
        <f>I2473/D2472</f>
        <v>101</v>
      </c>
      <c r="K2473" s="181">
        <f>135+33</f>
        <v>168</v>
      </c>
      <c r="L2473" s="145"/>
      <c r="M2473" s="145"/>
      <c r="N2473" s="145"/>
      <c r="O2473" s="145"/>
      <c r="P2473" s="145"/>
      <c r="Q2473" s="145"/>
      <c r="R2473" s="145"/>
      <c r="S2473" s="145"/>
      <c r="T2473" s="145"/>
      <c r="U2473" s="145"/>
      <c r="V2473" s="145"/>
      <c r="W2473" s="145"/>
      <c r="X2473" s="145"/>
      <c r="Y2473" s="145"/>
      <c r="Z2473" s="145"/>
      <c r="AA2473" s="145"/>
      <c r="AB2473" s="145"/>
      <c r="AC2473" s="145"/>
      <c r="AD2473" s="145"/>
      <c r="AE2473" s="145"/>
      <c r="AF2473" s="145"/>
      <c r="AG2473" s="145"/>
      <c r="AH2473" s="145"/>
      <c r="AI2473" s="145"/>
      <c r="AJ2473" s="145"/>
      <c r="AK2473" s="145"/>
      <c r="AL2473" s="145"/>
      <c r="AM2473" s="145"/>
      <c r="AN2473" s="145"/>
      <c r="AO2473" s="145"/>
      <c r="AP2473" s="145"/>
      <c r="AQ2473" s="145"/>
      <c r="AR2473" s="145"/>
      <c r="AS2473" s="145"/>
      <c r="AT2473" s="145"/>
      <c r="AU2473" s="145"/>
      <c r="AV2473" s="145"/>
      <c r="AW2473" s="145"/>
      <c r="AX2473" s="145"/>
      <c r="AY2473" s="145"/>
      <c r="AZ2473" s="145"/>
      <c r="BA2473" s="145"/>
      <c r="BB2473" s="145"/>
      <c r="BC2473" s="145"/>
      <c r="BD2473" s="145"/>
      <c r="BE2473" s="145"/>
      <c r="BF2473" s="145"/>
      <c r="BG2473" s="145"/>
      <c r="BH2473" s="145"/>
      <c r="BI2473" s="145"/>
      <c r="BJ2473" s="145"/>
      <c r="BK2473" s="145"/>
      <c r="BL2473" s="145"/>
      <c r="BM2473" s="145"/>
      <c r="BN2473" s="145"/>
      <c r="BO2473" s="145"/>
      <c r="BP2473" s="145"/>
      <c r="BQ2473" s="145"/>
      <c r="BR2473" s="145"/>
      <c r="BS2473" s="145"/>
      <c r="BT2473" s="145"/>
      <c r="BU2473" s="145"/>
      <c r="BV2473" s="145"/>
      <c r="BW2473" s="145"/>
      <c r="BX2473" s="145"/>
      <c r="BY2473" s="145"/>
      <c r="BZ2473" s="145"/>
      <c r="CA2473" s="145"/>
      <c r="CB2473" s="145"/>
      <c r="CC2473" s="145"/>
      <c r="CD2473" s="145"/>
      <c r="CE2473" s="145"/>
      <c r="CF2473" s="145"/>
      <c r="CG2473" s="145"/>
      <c r="CH2473" s="145"/>
      <c r="CI2473" s="145"/>
      <c r="CJ2473" s="145"/>
      <c r="CK2473" s="145"/>
      <c r="CL2473" s="145"/>
      <c r="CM2473" s="145"/>
      <c r="CN2473" s="145"/>
      <c r="CO2473" s="145"/>
      <c r="CP2473" s="145"/>
      <c r="CQ2473" s="145"/>
      <c r="CR2473" s="145"/>
      <c r="CS2473" s="145"/>
      <c r="CT2473" s="145"/>
      <c r="CU2473" s="145"/>
      <c r="CV2473" s="145"/>
      <c r="CW2473" s="145"/>
      <c r="CX2473" s="145"/>
      <c r="CY2473" s="145"/>
      <c r="CZ2473" s="145"/>
      <c r="DA2473" s="145"/>
      <c r="DB2473" s="145"/>
      <c r="DC2473" s="145"/>
      <c r="DD2473" s="145"/>
      <c r="DE2473" s="145"/>
      <c r="DF2473" s="145"/>
      <c r="DG2473" s="145"/>
      <c r="DH2473" s="145"/>
      <c r="DI2473" s="145"/>
      <c r="DJ2473" s="145"/>
      <c r="DK2473" s="145"/>
      <c r="DL2473" s="145"/>
      <c r="DM2473" s="145"/>
      <c r="DN2473" s="145"/>
      <c r="DO2473" s="145"/>
      <c r="DP2473" s="145"/>
      <c r="DQ2473" s="145"/>
      <c r="DR2473" s="145"/>
      <c r="DS2473" s="145"/>
      <c r="DT2473" s="145"/>
      <c r="DU2473" s="145"/>
      <c r="DV2473" s="145"/>
      <c r="DW2473" s="145"/>
      <c r="DX2473" s="145"/>
      <c r="DY2473" s="145"/>
      <c r="DZ2473" s="145"/>
      <c r="EA2473" s="145"/>
      <c r="EB2473" s="145"/>
      <c r="EC2473" s="145"/>
      <c r="ED2473" s="145"/>
      <c r="EE2473" s="145"/>
      <c r="EF2473" s="145"/>
      <c r="EG2473" s="145"/>
      <c r="EH2473" s="145"/>
      <c r="EI2473" s="145"/>
      <c r="EJ2473" s="145"/>
      <c r="EK2473" s="145"/>
      <c r="EL2473" s="145"/>
      <c r="EM2473" s="145"/>
      <c r="EN2473" s="145"/>
      <c r="EO2473" s="145"/>
      <c r="EP2473" s="145"/>
      <c r="EQ2473" s="145"/>
      <c r="ER2473" s="145"/>
      <c r="ES2473" s="145"/>
      <c r="ET2473" s="145"/>
      <c r="EU2473" s="145"/>
      <c r="EV2473" s="145"/>
      <c r="EW2473" s="145"/>
      <c r="EX2473" s="145"/>
      <c r="EY2473" s="145"/>
      <c r="EZ2473" s="145"/>
      <c r="FA2473" s="145"/>
      <c r="FB2473" s="145"/>
      <c r="FC2473" s="145"/>
      <c r="FD2473" s="145"/>
      <c r="FE2473" s="145"/>
      <c r="FF2473" s="145"/>
      <c r="FG2473" s="145"/>
      <c r="FH2473" s="145"/>
      <c r="FI2473" s="145"/>
      <c r="FJ2473" s="145"/>
      <c r="FK2473" s="145"/>
      <c r="FL2473" s="145"/>
      <c r="FM2473" s="145"/>
      <c r="FN2473" s="145"/>
      <c r="FO2473" s="145"/>
      <c r="FP2473" s="145"/>
      <c r="FQ2473" s="145"/>
      <c r="FR2473" s="145"/>
      <c r="FS2473" s="145"/>
      <c r="FT2473" s="145"/>
      <c r="FU2473" s="145"/>
      <c r="FV2473" s="145"/>
      <c r="FW2473" s="145"/>
      <c r="FX2473" s="145"/>
      <c r="FY2473" s="145"/>
      <c r="FZ2473" s="145"/>
      <c r="GA2473" s="145"/>
      <c r="GB2473" s="145"/>
      <c r="GC2473" s="145"/>
      <c r="GD2473" s="145"/>
      <c r="GE2473" s="145"/>
      <c r="GF2473" s="145"/>
      <c r="GG2473" s="145"/>
      <c r="GH2473" s="145"/>
      <c r="GI2473" s="145"/>
      <c r="GJ2473" s="145"/>
      <c r="GK2473" s="145"/>
      <c r="GL2473" s="145"/>
      <c r="GM2473" s="145"/>
      <c r="GN2473" s="145"/>
      <c r="GO2473" s="145"/>
      <c r="GP2473" s="145"/>
      <c r="GQ2473" s="145"/>
      <c r="GR2473" s="145"/>
      <c r="GS2473" s="145"/>
      <c r="GT2473" s="145"/>
      <c r="GU2473" s="145"/>
      <c r="GV2473" s="145"/>
      <c r="GW2473" s="145"/>
      <c r="GX2473" s="145"/>
      <c r="GY2473" s="145"/>
      <c r="GZ2473" s="145"/>
      <c r="HA2473" s="145"/>
      <c r="HB2473" s="145"/>
      <c r="HC2473" s="145"/>
      <c r="HD2473" s="145"/>
      <c r="HE2473" s="145"/>
      <c r="HF2473" s="145"/>
    </row>
    <row r="2474" spans="1:214" x14ac:dyDescent="0.35">
      <c r="A2474" s="277">
        <f>A2472+1</f>
        <v>242</v>
      </c>
      <c r="B2474" s="277">
        <v>2291</v>
      </c>
      <c r="C2474" s="286" t="s">
        <v>146</v>
      </c>
      <c r="D2474" s="287">
        <v>1274.0999999999999</v>
      </c>
      <c r="E2474" s="276" t="s">
        <v>74</v>
      </c>
      <c r="F2474" s="276">
        <v>4</v>
      </c>
      <c r="G2474" s="277" t="s">
        <v>71</v>
      </c>
      <c r="H2474" s="136" t="s">
        <v>72</v>
      </c>
      <c r="I2474" s="181">
        <f>I2475</f>
        <v>145305.42000000001</v>
      </c>
      <c r="J2474" s="181">
        <f>J2475</f>
        <v>114.05</v>
      </c>
      <c r="K2474" s="181">
        <f>K2475</f>
        <v>239</v>
      </c>
      <c r="L2474" s="145"/>
      <c r="M2474" s="145"/>
      <c r="N2474" s="145"/>
      <c r="O2474" s="145"/>
      <c r="P2474" s="145"/>
      <c r="Q2474" s="145"/>
      <c r="R2474" s="145"/>
      <c r="S2474" s="145"/>
      <c r="T2474" s="145"/>
      <c r="U2474" s="145"/>
      <c r="V2474" s="145"/>
      <c r="W2474" s="145"/>
      <c r="X2474" s="145"/>
      <c r="Y2474" s="145"/>
      <c r="Z2474" s="145"/>
      <c r="AA2474" s="145"/>
      <c r="AB2474" s="145"/>
      <c r="AC2474" s="145"/>
      <c r="AD2474" s="145"/>
      <c r="AE2474" s="145"/>
      <c r="AF2474" s="145"/>
      <c r="AG2474" s="145"/>
      <c r="AH2474" s="145"/>
      <c r="AI2474" s="145"/>
      <c r="AJ2474" s="145"/>
      <c r="AK2474" s="145"/>
      <c r="AL2474" s="145"/>
      <c r="AM2474" s="145"/>
      <c r="AN2474" s="145"/>
      <c r="AO2474" s="145"/>
      <c r="AP2474" s="145"/>
      <c r="AQ2474" s="145"/>
      <c r="AR2474" s="145"/>
      <c r="AS2474" s="145"/>
      <c r="AT2474" s="145"/>
      <c r="AU2474" s="145"/>
      <c r="AV2474" s="145"/>
      <c r="AW2474" s="145"/>
      <c r="AX2474" s="145"/>
      <c r="AY2474" s="145"/>
      <c r="AZ2474" s="145"/>
      <c r="BA2474" s="145"/>
      <c r="BB2474" s="145"/>
      <c r="BC2474" s="145"/>
      <c r="BD2474" s="145"/>
      <c r="BE2474" s="145"/>
      <c r="BF2474" s="145"/>
      <c r="BG2474" s="145"/>
      <c r="BH2474" s="145"/>
      <c r="BI2474" s="145"/>
      <c r="BJ2474" s="145"/>
      <c r="BK2474" s="145"/>
      <c r="BL2474" s="145"/>
      <c r="BM2474" s="145"/>
      <c r="BN2474" s="145"/>
      <c r="BO2474" s="145"/>
      <c r="BP2474" s="145"/>
      <c r="BQ2474" s="145"/>
      <c r="BR2474" s="145"/>
      <c r="BS2474" s="145"/>
      <c r="BT2474" s="145"/>
      <c r="BU2474" s="145"/>
      <c r="BV2474" s="145"/>
      <c r="BW2474" s="145"/>
      <c r="BX2474" s="145"/>
      <c r="BY2474" s="145"/>
      <c r="BZ2474" s="145"/>
      <c r="CA2474" s="145"/>
      <c r="CB2474" s="145"/>
      <c r="CC2474" s="145"/>
      <c r="CD2474" s="145"/>
      <c r="CE2474" s="145"/>
      <c r="CF2474" s="145"/>
      <c r="CG2474" s="145"/>
      <c r="CH2474" s="145"/>
      <c r="CI2474" s="145"/>
      <c r="CJ2474" s="145"/>
      <c r="CK2474" s="145"/>
      <c r="CL2474" s="145"/>
      <c r="CM2474" s="145"/>
      <c r="CN2474" s="145"/>
      <c r="CO2474" s="145"/>
      <c r="CP2474" s="145"/>
      <c r="CQ2474" s="145"/>
      <c r="CR2474" s="145"/>
      <c r="CS2474" s="145"/>
      <c r="CT2474" s="145"/>
      <c r="CU2474" s="145"/>
      <c r="CV2474" s="145"/>
      <c r="CW2474" s="145"/>
      <c r="CX2474" s="145"/>
      <c r="CY2474" s="145"/>
      <c r="CZ2474" s="145"/>
      <c r="DA2474" s="145"/>
      <c r="DB2474" s="145"/>
      <c r="DC2474" s="145"/>
      <c r="DD2474" s="145"/>
      <c r="DE2474" s="145"/>
      <c r="DF2474" s="145"/>
      <c r="DG2474" s="145"/>
      <c r="DH2474" s="145"/>
      <c r="DI2474" s="145"/>
      <c r="DJ2474" s="145"/>
      <c r="DK2474" s="145"/>
      <c r="DL2474" s="145"/>
      <c r="DM2474" s="145"/>
      <c r="DN2474" s="145"/>
      <c r="DO2474" s="145"/>
      <c r="DP2474" s="145"/>
      <c r="DQ2474" s="145"/>
      <c r="DR2474" s="145"/>
      <c r="DS2474" s="145"/>
      <c r="DT2474" s="145"/>
      <c r="DU2474" s="145"/>
      <c r="DV2474" s="145"/>
      <c r="DW2474" s="145"/>
      <c r="DX2474" s="145"/>
      <c r="DY2474" s="145"/>
      <c r="DZ2474" s="145"/>
      <c r="EA2474" s="145"/>
      <c r="EB2474" s="145"/>
      <c r="EC2474" s="145"/>
      <c r="ED2474" s="145"/>
      <c r="EE2474" s="145"/>
      <c r="EF2474" s="145"/>
      <c r="EG2474" s="145"/>
      <c r="EH2474" s="145"/>
      <c r="EI2474" s="145"/>
      <c r="EJ2474" s="145"/>
      <c r="EK2474" s="145"/>
      <c r="EL2474" s="145"/>
      <c r="EM2474" s="145"/>
      <c r="EN2474" s="145"/>
      <c r="EO2474" s="145"/>
      <c r="EP2474" s="145"/>
      <c r="EQ2474" s="145"/>
      <c r="ER2474" s="145"/>
      <c r="ES2474" s="145"/>
      <c r="ET2474" s="145"/>
      <c r="EU2474" s="145"/>
      <c r="EV2474" s="145"/>
      <c r="EW2474" s="145"/>
      <c r="EX2474" s="145"/>
      <c r="EY2474" s="145"/>
      <c r="EZ2474" s="145"/>
      <c r="FA2474" s="145"/>
      <c r="FB2474" s="145"/>
      <c r="FC2474" s="145"/>
      <c r="FD2474" s="145"/>
      <c r="FE2474" s="145"/>
      <c r="FF2474" s="145"/>
      <c r="FG2474" s="145"/>
      <c r="FH2474" s="145"/>
      <c r="FI2474" s="145"/>
      <c r="FJ2474" s="145"/>
      <c r="FK2474" s="145"/>
      <c r="FL2474" s="145"/>
      <c r="FM2474" s="145"/>
      <c r="FN2474" s="145"/>
      <c r="FO2474" s="145"/>
      <c r="FP2474" s="145"/>
      <c r="FQ2474" s="145"/>
      <c r="FR2474" s="145"/>
      <c r="FS2474" s="145"/>
      <c r="FT2474" s="145"/>
      <c r="FU2474" s="145"/>
      <c r="FV2474" s="145"/>
      <c r="FW2474" s="145"/>
      <c r="FX2474" s="145"/>
      <c r="FY2474" s="145"/>
      <c r="FZ2474" s="145"/>
      <c r="GA2474" s="145"/>
      <c r="GB2474" s="145"/>
      <c r="GC2474" s="145"/>
      <c r="GD2474" s="145"/>
      <c r="GE2474" s="145"/>
      <c r="GF2474" s="145"/>
      <c r="GG2474" s="145"/>
      <c r="GH2474" s="145"/>
      <c r="GI2474" s="145"/>
      <c r="GJ2474" s="145"/>
      <c r="GK2474" s="145"/>
      <c r="GL2474" s="145"/>
      <c r="GM2474" s="145"/>
      <c r="GN2474" s="145"/>
      <c r="GO2474" s="145"/>
      <c r="GP2474" s="145"/>
      <c r="GQ2474" s="145"/>
      <c r="GR2474" s="145"/>
      <c r="GS2474" s="145"/>
      <c r="GT2474" s="145"/>
      <c r="GU2474" s="145"/>
      <c r="GV2474" s="145"/>
      <c r="GW2474" s="145"/>
      <c r="GX2474" s="145"/>
      <c r="GY2474" s="145"/>
      <c r="GZ2474" s="145"/>
      <c r="HA2474" s="145"/>
      <c r="HB2474" s="145"/>
      <c r="HC2474" s="145"/>
      <c r="HD2474" s="145"/>
      <c r="HE2474" s="145"/>
      <c r="HF2474" s="145"/>
    </row>
    <row r="2475" spans="1:214" ht="46.5" x14ac:dyDescent="0.35">
      <c r="A2475" s="277"/>
      <c r="B2475" s="277"/>
      <c r="C2475" s="286"/>
      <c r="D2475" s="287"/>
      <c r="E2475" s="276"/>
      <c r="F2475" s="276"/>
      <c r="G2475" s="277"/>
      <c r="H2475" s="136" t="s">
        <v>673</v>
      </c>
      <c r="I2475" s="181">
        <v>145305.42000000001</v>
      </c>
      <c r="J2475" s="181">
        <f>I2475/D2474</f>
        <v>114.05</v>
      </c>
      <c r="K2475" s="181">
        <f>151+88</f>
        <v>239</v>
      </c>
      <c r="HE2475" s="145"/>
      <c r="HF2475" s="145"/>
    </row>
    <row r="2476" spans="1:214" x14ac:dyDescent="0.35">
      <c r="A2476" s="277">
        <f>A2474+1</f>
        <v>243</v>
      </c>
      <c r="B2476" s="277">
        <v>2449</v>
      </c>
      <c r="C2476" s="286" t="s">
        <v>422</v>
      </c>
      <c r="D2476" s="287">
        <v>2723.4</v>
      </c>
      <c r="E2476" s="276" t="s">
        <v>74</v>
      </c>
      <c r="F2476" s="276">
        <v>5</v>
      </c>
      <c r="G2476" s="277" t="s">
        <v>71</v>
      </c>
      <c r="H2476" s="136" t="s">
        <v>72</v>
      </c>
      <c r="I2476" s="181">
        <f>I2477+I2478</f>
        <v>5444362.5499999998</v>
      </c>
      <c r="J2476" s="181">
        <f>J2477+J2478</f>
        <v>1999.1</v>
      </c>
      <c r="K2476" s="181">
        <f>K2477+K2478</f>
        <v>3242</v>
      </c>
      <c r="L2476" s="145"/>
      <c r="M2476" s="145"/>
      <c r="N2476" s="145"/>
      <c r="O2476" s="145"/>
      <c r="P2476" s="145"/>
      <c r="Q2476" s="145"/>
      <c r="R2476" s="145"/>
      <c r="S2476" s="145"/>
      <c r="T2476" s="145"/>
      <c r="U2476" s="145"/>
      <c r="V2476" s="145"/>
      <c r="W2476" s="145"/>
      <c r="X2476" s="145"/>
      <c r="Y2476" s="145"/>
      <c r="Z2476" s="145"/>
      <c r="AA2476" s="145"/>
      <c r="AB2476" s="145"/>
      <c r="AC2476" s="145"/>
      <c r="AD2476" s="145"/>
      <c r="AE2476" s="145"/>
      <c r="AF2476" s="145"/>
      <c r="AG2476" s="145"/>
      <c r="AH2476" s="145"/>
      <c r="AI2476" s="145"/>
      <c r="AJ2476" s="145"/>
      <c r="AK2476" s="145"/>
      <c r="AL2476" s="145"/>
      <c r="AM2476" s="145"/>
      <c r="AN2476" s="145"/>
      <c r="AO2476" s="145"/>
      <c r="AP2476" s="145"/>
      <c r="AQ2476" s="145"/>
      <c r="AR2476" s="145"/>
      <c r="AS2476" s="145"/>
      <c r="AT2476" s="145"/>
      <c r="AU2476" s="145"/>
      <c r="AV2476" s="145"/>
      <c r="AW2476" s="145"/>
      <c r="AX2476" s="145"/>
      <c r="AY2476" s="145"/>
      <c r="AZ2476" s="145"/>
      <c r="BA2476" s="145"/>
      <c r="BB2476" s="145"/>
      <c r="BC2476" s="145"/>
      <c r="BD2476" s="145"/>
      <c r="BE2476" s="145"/>
      <c r="BF2476" s="145"/>
      <c r="BG2476" s="145"/>
      <c r="BH2476" s="145"/>
      <c r="BI2476" s="145"/>
      <c r="BJ2476" s="145"/>
      <c r="BK2476" s="145"/>
      <c r="BL2476" s="145"/>
      <c r="BM2476" s="145"/>
      <c r="BN2476" s="145"/>
      <c r="BO2476" s="145"/>
      <c r="BP2476" s="145"/>
      <c r="BQ2476" s="145"/>
      <c r="BR2476" s="145"/>
      <c r="BS2476" s="145"/>
      <c r="BT2476" s="145"/>
      <c r="BU2476" s="145"/>
      <c r="BV2476" s="145"/>
      <c r="BW2476" s="145"/>
      <c r="BX2476" s="145"/>
      <c r="BY2476" s="145"/>
      <c r="BZ2476" s="145"/>
      <c r="CA2476" s="145"/>
      <c r="CB2476" s="145"/>
      <c r="CC2476" s="145"/>
      <c r="CD2476" s="145"/>
      <c r="CE2476" s="145"/>
      <c r="CF2476" s="145"/>
      <c r="CG2476" s="145"/>
      <c r="CH2476" s="145"/>
      <c r="CI2476" s="145"/>
      <c r="CJ2476" s="145"/>
      <c r="CK2476" s="145"/>
      <c r="CL2476" s="145"/>
      <c r="CM2476" s="145"/>
      <c r="CN2476" s="145"/>
      <c r="CO2476" s="145"/>
      <c r="CP2476" s="145"/>
      <c r="CQ2476" s="145"/>
      <c r="CR2476" s="145"/>
      <c r="CS2476" s="145"/>
      <c r="CT2476" s="145"/>
      <c r="CU2476" s="145"/>
      <c r="CV2476" s="145"/>
      <c r="CW2476" s="145"/>
      <c r="CX2476" s="145"/>
      <c r="CY2476" s="145"/>
      <c r="CZ2476" s="145"/>
      <c r="DA2476" s="145"/>
      <c r="DB2476" s="145"/>
      <c r="DC2476" s="145"/>
      <c r="DD2476" s="145"/>
      <c r="DE2476" s="145"/>
      <c r="DF2476" s="145"/>
      <c r="DG2476" s="145"/>
      <c r="DH2476" s="145"/>
      <c r="DI2476" s="145"/>
      <c r="DJ2476" s="145"/>
      <c r="DK2476" s="145"/>
      <c r="DL2476" s="145"/>
      <c r="DM2476" s="145"/>
      <c r="DN2476" s="145"/>
      <c r="DO2476" s="145"/>
      <c r="DP2476" s="145"/>
      <c r="DQ2476" s="145"/>
      <c r="DR2476" s="145"/>
      <c r="DS2476" s="145"/>
      <c r="DT2476" s="145"/>
      <c r="DU2476" s="145"/>
      <c r="DV2476" s="145"/>
      <c r="DW2476" s="145"/>
      <c r="DX2476" s="145"/>
      <c r="DY2476" s="145"/>
      <c r="DZ2476" s="145"/>
      <c r="EA2476" s="145"/>
      <c r="EB2476" s="145"/>
      <c r="EC2476" s="145"/>
      <c r="ED2476" s="145"/>
      <c r="EE2476" s="145"/>
      <c r="EF2476" s="145"/>
      <c r="EG2476" s="145"/>
      <c r="EH2476" s="145"/>
      <c r="EI2476" s="145"/>
      <c r="EJ2476" s="145"/>
      <c r="EK2476" s="145"/>
      <c r="EL2476" s="145"/>
      <c r="EM2476" s="145"/>
      <c r="EN2476" s="145"/>
      <c r="EO2476" s="145"/>
      <c r="EP2476" s="145"/>
      <c r="EQ2476" s="145"/>
      <c r="ER2476" s="145"/>
      <c r="ES2476" s="145"/>
      <c r="ET2476" s="145"/>
      <c r="EU2476" s="145"/>
      <c r="EV2476" s="145"/>
      <c r="EW2476" s="145"/>
      <c r="EX2476" s="145"/>
      <c r="EY2476" s="145"/>
      <c r="EZ2476" s="145"/>
      <c r="FA2476" s="145"/>
      <c r="FB2476" s="145"/>
      <c r="FC2476" s="145"/>
      <c r="FD2476" s="145"/>
      <c r="FE2476" s="145"/>
      <c r="FF2476" s="145"/>
      <c r="FG2476" s="145"/>
      <c r="FH2476" s="145"/>
      <c r="FI2476" s="145"/>
      <c r="FJ2476" s="145"/>
      <c r="FK2476" s="145"/>
      <c r="FL2476" s="145"/>
      <c r="FM2476" s="145"/>
      <c r="FN2476" s="145"/>
      <c r="FO2476" s="145"/>
      <c r="FP2476" s="145"/>
      <c r="FQ2476" s="145"/>
      <c r="FR2476" s="145"/>
      <c r="FS2476" s="145"/>
      <c r="FT2476" s="145"/>
      <c r="FU2476" s="145"/>
      <c r="FV2476" s="145"/>
      <c r="FW2476" s="145"/>
      <c r="FX2476" s="145"/>
      <c r="FY2476" s="145"/>
      <c r="FZ2476" s="145"/>
      <c r="GA2476" s="145"/>
      <c r="GB2476" s="145"/>
      <c r="GC2476" s="145"/>
      <c r="GD2476" s="145"/>
      <c r="GE2476" s="145"/>
      <c r="GF2476" s="145"/>
      <c r="GG2476" s="145"/>
      <c r="GH2476" s="145"/>
      <c r="GI2476" s="145"/>
      <c r="GJ2476" s="145"/>
      <c r="GK2476" s="145"/>
      <c r="GL2476" s="145"/>
      <c r="GM2476" s="145"/>
      <c r="GN2476" s="145"/>
      <c r="GO2476" s="145"/>
      <c r="GP2476" s="145"/>
      <c r="GQ2476" s="145"/>
      <c r="GR2476" s="145"/>
      <c r="GS2476" s="145"/>
      <c r="GT2476" s="145"/>
      <c r="GU2476" s="145"/>
      <c r="GV2476" s="145"/>
      <c r="GW2476" s="145"/>
      <c r="GX2476" s="145"/>
      <c r="GY2476" s="145"/>
      <c r="GZ2476" s="145"/>
      <c r="HA2476" s="145"/>
      <c r="HB2476" s="145"/>
      <c r="HC2476" s="145"/>
      <c r="HD2476" s="145"/>
      <c r="HE2476" s="145"/>
      <c r="HF2476" s="145"/>
    </row>
    <row r="2477" spans="1:214" x14ac:dyDescent="0.35">
      <c r="A2477" s="277">
        <v>77</v>
      </c>
      <c r="B2477" s="277"/>
      <c r="C2477" s="286"/>
      <c r="D2477" s="287"/>
      <c r="E2477" s="276"/>
      <c r="F2477" s="276"/>
      <c r="G2477" s="277"/>
      <c r="H2477" s="136" t="s">
        <v>73</v>
      </c>
      <c r="I2477" s="181">
        <f>7549264.8*0.7</f>
        <v>5284485.3600000003</v>
      </c>
      <c r="J2477" s="181">
        <f>I2477/D2476</f>
        <v>1940.4</v>
      </c>
      <c r="K2477" s="181">
        <f>3174</f>
        <v>3174</v>
      </c>
      <c r="L2477" s="145"/>
      <c r="M2477" s="145"/>
      <c r="N2477" s="145"/>
      <c r="O2477" s="145"/>
      <c r="P2477" s="145"/>
      <c r="Q2477" s="145"/>
      <c r="R2477" s="145"/>
      <c r="S2477" s="145"/>
      <c r="T2477" s="145"/>
      <c r="U2477" s="145"/>
      <c r="V2477" s="145"/>
      <c r="W2477" s="145"/>
      <c r="X2477" s="145"/>
      <c r="Y2477" s="145"/>
      <c r="Z2477" s="145"/>
      <c r="AA2477" s="145"/>
      <c r="AB2477" s="145"/>
      <c r="AC2477" s="145"/>
      <c r="AD2477" s="145"/>
      <c r="AE2477" s="145"/>
      <c r="AF2477" s="145"/>
      <c r="AG2477" s="145"/>
      <c r="AH2477" s="145"/>
      <c r="AI2477" s="145"/>
      <c r="AJ2477" s="145"/>
      <c r="AK2477" s="145"/>
      <c r="AL2477" s="145"/>
      <c r="AM2477" s="145"/>
      <c r="AN2477" s="145"/>
      <c r="AO2477" s="145"/>
      <c r="AP2477" s="145"/>
      <c r="AQ2477" s="145"/>
      <c r="AR2477" s="145"/>
      <c r="AS2477" s="145"/>
      <c r="AT2477" s="145"/>
      <c r="AU2477" s="145"/>
      <c r="AV2477" s="145"/>
      <c r="AW2477" s="145"/>
      <c r="AX2477" s="145"/>
      <c r="AY2477" s="145"/>
      <c r="AZ2477" s="145"/>
      <c r="BA2477" s="145"/>
      <c r="BB2477" s="145"/>
      <c r="BC2477" s="145"/>
      <c r="BD2477" s="145"/>
      <c r="BE2477" s="145"/>
      <c r="BF2477" s="145"/>
      <c r="BG2477" s="145"/>
      <c r="BH2477" s="145"/>
      <c r="BI2477" s="145"/>
      <c r="BJ2477" s="145"/>
      <c r="BK2477" s="145"/>
      <c r="BL2477" s="145"/>
      <c r="BM2477" s="145"/>
      <c r="BN2477" s="145"/>
      <c r="BO2477" s="145"/>
      <c r="BP2477" s="145"/>
      <c r="BQ2477" s="145"/>
      <c r="BR2477" s="145"/>
      <c r="BS2477" s="145"/>
      <c r="BT2477" s="145"/>
      <c r="BU2477" s="145"/>
      <c r="BV2477" s="145"/>
      <c r="BW2477" s="145"/>
      <c r="BX2477" s="145"/>
      <c r="BY2477" s="145"/>
      <c r="BZ2477" s="145"/>
      <c r="CA2477" s="145"/>
      <c r="CB2477" s="145"/>
      <c r="CC2477" s="145"/>
      <c r="CD2477" s="145"/>
      <c r="CE2477" s="145"/>
      <c r="CF2477" s="145"/>
      <c r="CG2477" s="145"/>
      <c r="CH2477" s="145"/>
      <c r="CI2477" s="145"/>
      <c r="CJ2477" s="145"/>
      <c r="CK2477" s="145"/>
      <c r="CL2477" s="145"/>
      <c r="CM2477" s="145"/>
      <c r="CN2477" s="145"/>
      <c r="CO2477" s="145"/>
      <c r="CP2477" s="145"/>
      <c r="CQ2477" s="145"/>
      <c r="CR2477" s="145"/>
      <c r="CS2477" s="145"/>
      <c r="CT2477" s="145"/>
      <c r="CU2477" s="145"/>
      <c r="CV2477" s="145"/>
      <c r="CW2477" s="145"/>
      <c r="CX2477" s="145"/>
      <c r="CY2477" s="145"/>
      <c r="CZ2477" s="145"/>
      <c r="DA2477" s="145"/>
      <c r="DB2477" s="145"/>
      <c r="DC2477" s="145"/>
      <c r="DD2477" s="145"/>
      <c r="DE2477" s="145"/>
      <c r="DF2477" s="145"/>
      <c r="DG2477" s="145"/>
      <c r="DH2477" s="145"/>
      <c r="DI2477" s="145"/>
      <c r="DJ2477" s="145"/>
      <c r="DK2477" s="145"/>
      <c r="DL2477" s="145"/>
      <c r="DM2477" s="145"/>
      <c r="DN2477" s="145"/>
      <c r="DO2477" s="145"/>
      <c r="DP2477" s="145"/>
      <c r="DQ2477" s="145"/>
      <c r="DR2477" s="145"/>
      <c r="DS2477" s="145"/>
      <c r="DT2477" s="145"/>
      <c r="DU2477" s="145"/>
      <c r="DV2477" s="145"/>
      <c r="DW2477" s="145"/>
      <c r="DX2477" s="145"/>
      <c r="DY2477" s="145"/>
      <c r="DZ2477" s="145"/>
      <c r="EA2477" s="145"/>
      <c r="EB2477" s="145"/>
      <c r="EC2477" s="145"/>
      <c r="ED2477" s="145"/>
      <c r="EE2477" s="145"/>
      <c r="EF2477" s="145"/>
      <c r="EG2477" s="145"/>
      <c r="EH2477" s="145"/>
      <c r="EI2477" s="145"/>
      <c r="EJ2477" s="145"/>
      <c r="EK2477" s="145"/>
      <c r="EL2477" s="145"/>
      <c r="EM2477" s="145"/>
      <c r="EN2477" s="145"/>
      <c r="EO2477" s="145"/>
      <c r="EP2477" s="145"/>
      <c r="EQ2477" s="145"/>
      <c r="ER2477" s="145"/>
      <c r="ES2477" s="145"/>
      <c r="ET2477" s="145"/>
      <c r="EU2477" s="145"/>
      <c r="EV2477" s="145"/>
      <c r="EW2477" s="145"/>
      <c r="EX2477" s="145"/>
      <c r="EY2477" s="145"/>
      <c r="EZ2477" s="145"/>
      <c r="FA2477" s="145"/>
      <c r="FB2477" s="145"/>
      <c r="FC2477" s="145"/>
      <c r="FD2477" s="145"/>
      <c r="FE2477" s="145"/>
      <c r="FF2477" s="145"/>
      <c r="FG2477" s="145"/>
      <c r="FH2477" s="145"/>
      <c r="FI2477" s="145"/>
      <c r="FJ2477" s="145"/>
      <c r="FK2477" s="145"/>
      <c r="FL2477" s="145"/>
      <c r="FM2477" s="145"/>
      <c r="FN2477" s="145"/>
      <c r="FO2477" s="145"/>
      <c r="FP2477" s="145"/>
      <c r="FQ2477" s="145"/>
      <c r="FR2477" s="145"/>
      <c r="FS2477" s="145"/>
      <c r="FT2477" s="145"/>
      <c r="FU2477" s="145"/>
      <c r="FV2477" s="145"/>
      <c r="FW2477" s="145"/>
      <c r="FX2477" s="145"/>
      <c r="FY2477" s="145"/>
      <c r="FZ2477" s="145"/>
      <c r="GA2477" s="145"/>
      <c r="GB2477" s="145"/>
      <c r="GC2477" s="145"/>
      <c r="GD2477" s="145"/>
      <c r="GE2477" s="145"/>
      <c r="GF2477" s="145"/>
      <c r="GG2477" s="145"/>
      <c r="GH2477" s="145"/>
      <c r="GI2477" s="145"/>
      <c r="GJ2477" s="145"/>
      <c r="GK2477" s="145"/>
      <c r="GL2477" s="145"/>
      <c r="GM2477" s="145"/>
      <c r="GN2477" s="145"/>
      <c r="GO2477" s="145"/>
      <c r="GP2477" s="145"/>
      <c r="GQ2477" s="145"/>
      <c r="GR2477" s="145"/>
      <c r="GS2477" s="145"/>
      <c r="GT2477" s="145"/>
      <c r="GU2477" s="145"/>
      <c r="GV2477" s="145"/>
      <c r="GW2477" s="145"/>
      <c r="GX2477" s="145"/>
      <c r="GY2477" s="145"/>
      <c r="GZ2477" s="145"/>
      <c r="HA2477" s="145"/>
      <c r="HB2477" s="145"/>
      <c r="HC2477" s="145"/>
      <c r="HD2477" s="145"/>
      <c r="HE2477" s="145"/>
      <c r="HF2477" s="145"/>
    </row>
    <row r="2478" spans="1:214" x14ac:dyDescent="0.35">
      <c r="A2478" s="277">
        <v>78</v>
      </c>
      <c r="B2478" s="277"/>
      <c r="C2478" s="286"/>
      <c r="D2478" s="287"/>
      <c r="E2478" s="276"/>
      <c r="F2478" s="276"/>
      <c r="G2478" s="277"/>
      <c r="H2478" s="136" t="s">
        <v>75</v>
      </c>
      <c r="I2478" s="181">
        <v>159877.19</v>
      </c>
      <c r="J2478" s="181">
        <f>I2478/D2476</f>
        <v>58.7</v>
      </c>
      <c r="K2478" s="181">
        <v>68</v>
      </c>
      <c r="L2478" s="145"/>
      <c r="M2478" s="145"/>
      <c r="N2478" s="145"/>
      <c r="O2478" s="145"/>
      <c r="P2478" s="145"/>
      <c r="Q2478" s="145"/>
      <c r="R2478" s="145"/>
      <c r="S2478" s="145"/>
      <c r="T2478" s="145"/>
      <c r="U2478" s="145"/>
      <c r="V2478" s="145"/>
      <c r="W2478" s="145"/>
      <c r="X2478" s="145"/>
      <c r="Y2478" s="145"/>
      <c r="Z2478" s="145"/>
      <c r="AA2478" s="145"/>
      <c r="AB2478" s="145"/>
      <c r="AC2478" s="145"/>
      <c r="AD2478" s="145"/>
      <c r="AE2478" s="145"/>
      <c r="AF2478" s="145"/>
      <c r="AG2478" s="145"/>
      <c r="AH2478" s="145"/>
      <c r="AI2478" s="145"/>
      <c r="AJ2478" s="145"/>
      <c r="AK2478" s="145"/>
      <c r="AL2478" s="145"/>
      <c r="AM2478" s="145"/>
      <c r="AN2478" s="145"/>
      <c r="AO2478" s="145"/>
      <c r="AP2478" s="145"/>
      <c r="AQ2478" s="145"/>
      <c r="AR2478" s="145"/>
      <c r="AS2478" s="145"/>
      <c r="AT2478" s="145"/>
      <c r="AU2478" s="145"/>
      <c r="AV2478" s="145"/>
      <c r="AW2478" s="145"/>
      <c r="AX2478" s="145"/>
      <c r="AY2478" s="145"/>
      <c r="AZ2478" s="145"/>
      <c r="BA2478" s="145"/>
      <c r="BB2478" s="145"/>
      <c r="BC2478" s="145"/>
      <c r="BD2478" s="145"/>
      <c r="BE2478" s="145"/>
      <c r="BF2478" s="145"/>
      <c r="BG2478" s="145"/>
      <c r="BH2478" s="145"/>
      <c r="BI2478" s="145"/>
      <c r="BJ2478" s="145"/>
      <c r="BK2478" s="145"/>
      <c r="BL2478" s="145"/>
      <c r="BM2478" s="145"/>
      <c r="BN2478" s="145"/>
      <c r="BO2478" s="145"/>
      <c r="BP2478" s="145"/>
      <c r="BQ2478" s="145"/>
      <c r="BR2478" s="145"/>
      <c r="BS2478" s="145"/>
      <c r="BT2478" s="145"/>
      <c r="BU2478" s="145"/>
      <c r="BV2478" s="145"/>
      <c r="BW2478" s="145"/>
      <c r="BX2478" s="145"/>
      <c r="BY2478" s="145"/>
      <c r="BZ2478" s="145"/>
      <c r="CA2478" s="145"/>
      <c r="CB2478" s="145"/>
      <c r="CC2478" s="145"/>
      <c r="CD2478" s="145"/>
      <c r="CE2478" s="145"/>
      <c r="CF2478" s="145"/>
      <c r="CG2478" s="145"/>
      <c r="CH2478" s="145"/>
      <c r="CI2478" s="145"/>
      <c r="CJ2478" s="145"/>
      <c r="CK2478" s="145"/>
      <c r="CL2478" s="145"/>
      <c r="CM2478" s="145"/>
      <c r="CN2478" s="145"/>
      <c r="CO2478" s="145"/>
      <c r="CP2478" s="145"/>
      <c r="CQ2478" s="145"/>
      <c r="CR2478" s="145"/>
      <c r="CS2478" s="145"/>
      <c r="CT2478" s="145"/>
      <c r="CU2478" s="145"/>
      <c r="CV2478" s="145"/>
      <c r="CW2478" s="145"/>
      <c r="CX2478" s="145"/>
      <c r="CY2478" s="145"/>
      <c r="CZ2478" s="145"/>
      <c r="DA2478" s="145"/>
      <c r="DB2478" s="145"/>
      <c r="DC2478" s="145"/>
      <c r="DD2478" s="145"/>
      <c r="DE2478" s="145"/>
      <c r="DF2478" s="145"/>
      <c r="DG2478" s="145"/>
      <c r="DH2478" s="145"/>
      <c r="DI2478" s="145"/>
      <c r="DJ2478" s="145"/>
      <c r="DK2478" s="145"/>
      <c r="DL2478" s="145"/>
      <c r="DM2478" s="145"/>
      <c r="DN2478" s="145"/>
      <c r="DO2478" s="145"/>
      <c r="DP2478" s="145"/>
      <c r="DQ2478" s="145"/>
      <c r="DR2478" s="145"/>
      <c r="DS2478" s="145"/>
      <c r="DT2478" s="145"/>
      <c r="DU2478" s="145"/>
      <c r="DV2478" s="145"/>
      <c r="DW2478" s="145"/>
      <c r="DX2478" s="145"/>
      <c r="DY2478" s="145"/>
      <c r="DZ2478" s="145"/>
      <c r="EA2478" s="145"/>
      <c r="EB2478" s="145"/>
      <c r="EC2478" s="145"/>
      <c r="ED2478" s="145"/>
      <c r="EE2478" s="145"/>
      <c r="EF2478" s="145"/>
      <c r="EG2478" s="145"/>
      <c r="EH2478" s="145"/>
      <c r="EI2478" s="145"/>
      <c r="EJ2478" s="145"/>
      <c r="EK2478" s="145"/>
      <c r="EL2478" s="145"/>
      <c r="EM2478" s="145"/>
      <c r="EN2478" s="145"/>
      <c r="EO2478" s="145"/>
      <c r="EP2478" s="145"/>
      <c r="EQ2478" s="145"/>
      <c r="ER2478" s="145"/>
      <c r="ES2478" s="145"/>
      <c r="ET2478" s="145"/>
      <c r="EU2478" s="145"/>
      <c r="EV2478" s="145"/>
      <c r="EW2478" s="145"/>
      <c r="EX2478" s="145"/>
      <c r="EY2478" s="145"/>
      <c r="EZ2478" s="145"/>
      <c r="FA2478" s="145"/>
      <c r="FB2478" s="145"/>
      <c r="FC2478" s="145"/>
      <c r="FD2478" s="145"/>
      <c r="FE2478" s="145"/>
      <c r="FF2478" s="145"/>
      <c r="FG2478" s="145"/>
      <c r="FH2478" s="145"/>
      <c r="FI2478" s="145"/>
      <c r="FJ2478" s="145"/>
      <c r="FK2478" s="145"/>
      <c r="FL2478" s="145"/>
      <c r="FM2478" s="145"/>
      <c r="FN2478" s="145"/>
      <c r="FO2478" s="145"/>
      <c r="FP2478" s="145"/>
      <c r="FQ2478" s="145"/>
      <c r="FR2478" s="145"/>
      <c r="FS2478" s="145"/>
      <c r="FT2478" s="145"/>
      <c r="FU2478" s="145"/>
      <c r="FV2478" s="145"/>
      <c r="FW2478" s="145"/>
      <c r="FX2478" s="145"/>
      <c r="FY2478" s="145"/>
      <c r="FZ2478" s="145"/>
      <c r="GA2478" s="145"/>
      <c r="GB2478" s="145"/>
      <c r="GC2478" s="145"/>
      <c r="GD2478" s="145"/>
      <c r="GE2478" s="145"/>
      <c r="GF2478" s="145"/>
      <c r="GG2478" s="145"/>
      <c r="GH2478" s="145"/>
      <c r="GI2478" s="145"/>
      <c r="GJ2478" s="145"/>
      <c r="GK2478" s="145"/>
      <c r="GL2478" s="145"/>
      <c r="GM2478" s="145"/>
      <c r="GN2478" s="145"/>
      <c r="GO2478" s="145"/>
      <c r="GP2478" s="145"/>
      <c r="GQ2478" s="145"/>
      <c r="GR2478" s="145"/>
      <c r="GS2478" s="145"/>
      <c r="GT2478" s="145"/>
      <c r="GU2478" s="145"/>
      <c r="GV2478" s="145"/>
      <c r="GW2478" s="145"/>
      <c r="GX2478" s="145"/>
      <c r="GY2478" s="145"/>
      <c r="GZ2478" s="145"/>
      <c r="HA2478" s="145"/>
      <c r="HB2478" s="145"/>
      <c r="HC2478" s="145"/>
      <c r="HD2478" s="145"/>
      <c r="HE2478" s="145"/>
      <c r="HF2478" s="145"/>
    </row>
    <row r="2479" spans="1:214" x14ac:dyDescent="0.35">
      <c r="A2479" s="277">
        <f>A2476+1</f>
        <v>244</v>
      </c>
      <c r="B2479" s="277">
        <v>2451</v>
      </c>
      <c r="C2479" s="286" t="s">
        <v>147</v>
      </c>
      <c r="D2479" s="287">
        <v>3730.46</v>
      </c>
      <c r="E2479" s="287" t="s">
        <v>70</v>
      </c>
      <c r="F2479" s="304">
        <v>5</v>
      </c>
      <c r="G2479" s="277" t="s">
        <v>71</v>
      </c>
      <c r="H2479" s="136" t="s">
        <v>72</v>
      </c>
      <c r="I2479" s="181">
        <f>I2480</f>
        <v>262380.99</v>
      </c>
      <c r="J2479" s="181">
        <f>J2480</f>
        <v>70.33</v>
      </c>
      <c r="K2479" s="181">
        <f>K2480</f>
        <v>169</v>
      </c>
      <c r="L2479" s="145"/>
      <c r="M2479" s="145"/>
      <c r="N2479" s="145"/>
      <c r="O2479" s="145"/>
      <c r="P2479" s="145"/>
      <c r="Q2479" s="145"/>
      <c r="R2479" s="145"/>
      <c r="S2479" s="145"/>
      <c r="T2479" s="145"/>
      <c r="U2479" s="145"/>
      <c r="V2479" s="145"/>
      <c r="W2479" s="145"/>
      <c r="X2479" s="145"/>
      <c r="Y2479" s="145"/>
      <c r="Z2479" s="145"/>
      <c r="AA2479" s="145"/>
      <c r="AB2479" s="145"/>
      <c r="AC2479" s="145"/>
      <c r="AD2479" s="145"/>
      <c r="AE2479" s="145"/>
      <c r="AF2479" s="145"/>
      <c r="AG2479" s="145"/>
      <c r="AH2479" s="145"/>
      <c r="AI2479" s="145"/>
      <c r="AJ2479" s="145"/>
      <c r="AK2479" s="145"/>
      <c r="AL2479" s="145"/>
      <c r="AM2479" s="145"/>
      <c r="AN2479" s="145"/>
      <c r="AO2479" s="145"/>
      <c r="AP2479" s="145"/>
      <c r="AQ2479" s="145"/>
      <c r="AR2479" s="145"/>
      <c r="AS2479" s="145"/>
      <c r="AT2479" s="145"/>
      <c r="AU2479" s="145"/>
      <c r="AV2479" s="145"/>
      <c r="AW2479" s="145"/>
      <c r="AX2479" s="145"/>
      <c r="AY2479" s="145"/>
      <c r="AZ2479" s="145"/>
      <c r="BA2479" s="145"/>
      <c r="BB2479" s="145"/>
      <c r="BC2479" s="145"/>
      <c r="BD2479" s="145"/>
      <c r="BE2479" s="145"/>
      <c r="BF2479" s="145"/>
      <c r="BG2479" s="145"/>
      <c r="BH2479" s="145"/>
      <c r="BI2479" s="145"/>
      <c r="BJ2479" s="145"/>
      <c r="BK2479" s="145"/>
      <c r="BL2479" s="145"/>
      <c r="BM2479" s="145"/>
      <c r="BN2479" s="145"/>
      <c r="BO2479" s="145"/>
      <c r="BP2479" s="145"/>
      <c r="BQ2479" s="145"/>
      <c r="BR2479" s="145"/>
      <c r="BS2479" s="145"/>
      <c r="BT2479" s="145"/>
      <c r="BU2479" s="145"/>
      <c r="BV2479" s="145"/>
      <c r="BW2479" s="145"/>
      <c r="BX2479" s="145"/>
      <c r="BY2479" s="145"/>
      <c r="BZ2479" s="145"/>
      <c r="CA2479" s="145"/>
      <c r="CB2479" s="145"/>
      <c r="CC2479" s="145"/>
      <c r="CD2479" s="145"/>
      <c r="CE2479" s="145"/>
      <c r="CF2479" s="145"/>
      <c r="CG2479" s="145"/>
      <c r="CH2479" s="145"/>
      <c r="CI2479" s="145"/>
      <c r="CJ2479" s="145"/>
      <c r="CK2479" s="145"/>
      <c r="CL2479" s="145"/>
      <c r="CM2479" s="145"/>
      <c r="CN2479" s="145"/>
      <c r="CO2479" s="145"/>
      <c r="CP2479" s="145"/>
      <c r="CQ2479" s="145"/>
      <c r="CR2479" s="145"/>
      <c r="CS2479" s="145"/>
      <c r="CT2479" s="145"/>
      <c r="CU2479" s="145"/>
      <c r="CV2479" s="145"/>
      <c r="CW2479" s="145"/>
      <c r="CX2479" s="145"/>
      <c r="CY2479" s="145"/>
      <c r="CZ2479" s="145"/>
      <c r="DA2479" s="145"/>
      <c r="DB2479" s="145"/>
      <c r="DC2479" s="145"/>
      <c r="DD2479" s="145"/>
      <c r="DE2479" s="145"/>
      <c r="DF2479" s="145"/>
      <c r="DG2479" s="145"/>
      <c r="DH2479" s="145"/>
      <c r="DI2479" s="145"/>
      <c r="DJ2479" s="145"/>
      <c r="DK2479" s="145"/>
      <c r="DL2479" s="145"/>
      <c r="DM2479" s="145"/>
      <c r="DN2479" s="145"/>
      <c r="DO2479" s="145"/>
      <c r="DP2479" s="145"/>
      <c r="DQ2479" s="145"/>
      <c r="DR2479" s="145"/>
      <c r="DS2479" s="145"/>
      <c r="DT2479" s="145"/>
      <c r="DU2479" s="145"/>
      <c r="DV2479" s="145"/>
      <c r="DW2479" s="145"/>
      <c r="DX2479" s="145"/>
      <c r="DY2479" s="145"/>
      <c r="DZ2479" s="145"/>
      <c r="EA2479" s="145"/>
      <c r="EB2479" s="145"/>
      <c r="EC2479" s="145"/>
      <c r="ED2479" s="145"/>
      <c r="EE2479" s="145"/>
      <c r="EF2479" s="145"/>
      <c r="EG2479" s="145"/>
      <c r="EH2479" s="145"/>
      <c r="EI2479" s="145"/>
      <c r="EJ2479" s="145"/>
      <c r="EK2479" s="145"/>
      <c r="EL2479" s="145"/>
      <c r="EM2479" s="145"/>
      <c r="EN2479" s="145"/>
      <c r="EO2479" s="145"/>
      <c r="EP2479" s="145"/>
      <c r="EQ2479" s="145"/>
      <c r="ER2479" s="145"/>
      <c r="ES2479" s="145"/>
      <c r="ET2479" s="145"/>
      <c r="EU2479" s="145"/>
      <c r="EV2479" s="145"/>
      <c r="EW2479" s="145"/>
      <c r="EX2479" s="145"/>
      <c r="EY2479" s="145"/>
      <c r="EZ2479" s="145"/>
      <c r="FA2479" s="145"/>
      <c r="FB2479" s="145"/>
      <c r="FC2479" s="145"/>
      <c r="FD2479" s="145"/>
      <c r="FE2479" s="145"/>
      <c r="FF2479" s="145"/>
      <c r="FG2479" s="145"/>
      <c r="FH2479" s="145"/>
      <c r="FI2479" s="145"/>
      <c r="FJ2479" s="145"/>
      <c r="FK2479" s="145"/>
      <c r="FL2479" s="145"/>
      <c r="FM2479" s="145"/>
      <c r="FN2479" s="145"/>
      <c r="FO2479" s="145"/>
      <c r="FP2479" s="145"/>
      <c r="FQ2479" s="145"/>
      <c r="FR2479" s="145"/>
      <c r="FS2479" s="145"/>
      <c r="FT2479" s="145"/>
      <c r="FU2479" s="145"/>
      <c r="FV2479" s="145"/>
      <c r="FW2479" s="145"/>
      <c r="FX2479" s="145"/>
      <c r="FY2479" s="145"/>
      <c r="FZ2479" s="145"/>
      <c r="GA2479" s="145"/>
      <c r="GB2479" s="145"/>
      <c r="GC2479" s="145"/>
      <c r="GD2479" s="145"/>
      <c r="GE2479" s="145"/>
      <c r="GF2479" s="145"/>
      <c r="GG2479" s="145"/>
      <c r="GH2479" s="145"/>
      <c r="GI2479" s="145"/>
      <c r="GJ2479" s="145"/>
      <c r="GK2479" s="145"/>
      <c r="GL2479" s="145"/>
      <c r="GM2479" s="145"/>
      <c r="GN2479" s="145"/>
      <c r="GO2479" s="145"/>
      <c r="GP2479" s="145"/>
      <c r="GQ2479" s="145"/>
      <c r="GR2479" s="145"/>
      <c r="GS2479" s="145"/>
      <c r="GT2479" s="145"/>
      <c r="GU2479" s="145"/>
      <c r="GV2479" s="145"/>
      <c r="GW2479" s="145"/>
      <c r="GX2479" s="145"/>
      <c r="GY2479" s="145"/>
      <c r="GZ2479" s="145"/>
      <c r="HA2479" s="145"/>
      <c r="HB2479" s="145"/>
      <c r="HC2479" s="145"/>
      <c r="HD2479" s="145"/>
      <c r="HE2479" s="145"/>
      <c r="HF2479" s="145"/>
    </row>
    <row r="2480" spans="1:214" ht="46.5" x14ac:dyDescent="0.35">
      <c r="A2480" s="277"/>
      <c r="B2480" s="277"/>
      <c r="C2480" s="286"/>
      <c r="D2480" s="287"/>
      <c r="E2480" s="287"/>
      <c r="F2480" s="304"/>
      <c r="G2480" s="277"/>
      <c r="H2480" s="136" t="s">
        <v>673</v>
      </c>
      <c r="I2480" s="181">
        <v>262380.99</v>
      </c>
      <c r="J2480" s="181">
        <f>I2480/D2479</f>
        <v>70.33</v>
      </c>
      <c r="K2480" s="181">
        <f>151+18</f>
        <v>169</v>
      </c>
      <c r="L2480" s="145"/>
      <c r="M2480" s="145"/>
      <c r="N2480" s="145"/>
      <c r="O2480" s="145"/>
      <c r="P2480" s="145"/>
      <c r="Q2480" s="145"/>
      <c r="R2480" s="145"/>
      <c r="S2480" s="145"/>
      <c r="T2480" s="145"/>
      <c r="U2480" s="145"/>
      <c r="V2480" s="145"/>
      <c r="W2480" s="145"/>
      <c r="X2480" s="145"/>
      <c r="Y2480" s="145"/>
      <c r="Z2480" s="145"/>
      <c r="AA2480" s="145"/>
      <c r="AB2480" s="145"/>
      <c r="AC2480" s="145"/>
      <c r="AD2480" s="145"/>
      <c r="AE2480" s="145"/>
      <c r="AF2480" s="145"/>
      <c r="AG2480" s="145"/>
      <c r="AH2480" s="145"/>
      <c r="AI2480" s="145"/>
      <c r="AJ2480" s="145"/>
      <c r="AK2480" s="145"/>
      <c r="AL2480" s="145"/>
      <c r="AM2480" s="145"/>
      <c r="AN2480" s="145"/>
      <c r="AO2480" s="145"/>
      <c r="AP2480" s="145"/>
      <c r="AQ2480" s="145"/>
      <c r="AR2480" s="145"/>
      <c r="AS2480" s="145"/>
      <c r="AT2480" s="145"/>
      <c r="AU2480" s="145"/>
      <c r="AV2480" s="145"/>
      <c r="AW2480" s="145"/>
      <c r="AX2480" s="145"/>
      <c r="AY2480" s="145"/>
      <c r="AZ2480" s="145"/>
      <c r="BA2480" s="145"/>
      <c r="BB2480" s="145"/>
      <c r="BC2480" s="145"/>
      <c r="BD2480" s="145"/>
      <c r="BE2480" s="145"/>
      <c r="BF2480" s="145"/>
      <c r="BG2480" s="145"/>
      <c r="BH2480" s="145"/>
      <c r="BI2480" s="145"/>
      <c r="BJ2480" s="145"/>
      <c r="BK2480" s="145"/>
      <c r="BL2480" s="145"/>
      <c r="BM2480" s="145"/>
      <c r="BN2480" s="145"/>
      <c r="BO2480" s="145"/>
      <c r="BP2480" s="145"/>
      <c r="BQ2480" s="145"/>
      <c r="BR2480" s="145"/>
      <c r="BS2480" s="145"/>
      <c r="BT2480" s="145"/>
      <c r="BU2480" s="145"/>
      <c r="BV2480" s="145"/>
      <c r="BW2480" s="145"/>
      <c r="BX2480" s="145"/>
      <c r="BY2480" s="145"/>
      <c r="BZ2480" s="145"/>
      <c r="CA2480" s="145"/>
      <c r="CB2480" s="145"/>
      <c r="CC2480" s="145"/>
      <c r="CD2480" s="145"/>
      <c r="CE2480" s="145"/>
      <c r="CF2480" s="145"/>
      <c r="CG2480" s="145"/>
      <c r="CH2480" s="145"/>
      <c r="CI2480" s="145"/>
      <c r="CJ2480" s="145"/>
      <c r="CK2480" s="145"/>
      <c r="CL2480" s="145"/>
      <c r="CM2480" s="145"/>
      <c r="CN2480" s="145"/>
      <c r="CO2480" s="145"/>
      <c r="CP2480" s="145"/>
      <c r="CQ2480" s="145"/>
      <c r="CR2480" s="145"/>
      <c r="CS2480" s="145"/>
      <c r="CT2480" s="145"/>
      <c r="CU2480" s="145"/>
      <c r="CV2480" s="145"/>
      <c r="CW2480" s="145"/>
      <c r="CX2480" s="145"/>
      <c r="CY2480" s="145"/>
      <c r="CZ2480" s="145"/>
      <c r="DA2480" s="145"/>
      <c r="DB2480" s="145"/>
      <c r="DC2480" s="145"/>
      <c r="DD2480" s="145"/>
      <c r="DE2480" s="145"/>
      <c r="DF2480" s="145"/>
      <c r="DG2480" s="145"/>
      <c r="DH2480" s="145"/>
      <c r="DI2480" s="145"/>
      <c r="DJ2480" s="145"/>
      <c r="DK2480" s="145"/>
      <c r="DL2480" s="145"/>
      <c r="DM2480" s="145"/>
      <c r="DN2480" s="145"/>
      <c r="DO2480" s="145"/>
      <c r="DP2480" s="145"/>
      <c r="DQ2480" s="145"/>
      <c r="DR2480" s="145"/>
      <c r="DS2480" s="145"/>
      <c r="DT2480" s="145"/>
      <c r="DU2480" s="145"/>
      <c r="DV2480" s="145"/>
      <c r="DW2480" s="145"/>
      <c r="DX2480" s="145"/>
      <c r="DY2480" s="145"/>
      <c r="DZ2480" s="145"/>
      <c r="EA2480" s="145"/>
      <c r="EB2480" s="145"/>
      <c r="EC2480" s="145"/>
      <c r="ED2480" s="145"/>
      <c r="EE2480" s="145"/>
      <c r="EF2480" s="145"/>
      <c r="EG2480" s="145"/>
      <c r="EH2480" s="145"/>
      <c r="EI2480" s="145"/>
      <c r="EJ2480" s="145"/>
      <c r="EK2480" s="145"/>
      <c r="EL2480" s="145"/>
      <c r="EM2480" s="145"/>
      <c r="EN2480" s="145"/>
      <c r="EO2480" s="145"/>
      <c r="EP2480" s="145"/>
      <c r="EQ2480" s="145"/>
      <c r="ER2480" s="145"/>
      <c r="ES2480" s="145"/>
      <c r="ET2480" s="145"/>
      <c r="EU2480" s="145"/>
      <c r="EV2480" s="145"/>
      <c r="EW2480" s="145"/>
      <c r="EX2480" s="145"/>
      <c r="EY2480" s="145"/>
      <c r="EZ2480" s="145"/>
      <c r="FA2480" s="145"/>
      <c r="FB2480" s="145"/>
      <c r="FC2480" s="145"/>
      <c r="FD2480" s="145"/>
      <c r="FE2480" s="145"/>
      <c r="FF2480" s="145"/>
      <c r="FG2480" s="145"/>
      <c r="FH2480" s="145"/>
      <c r="FI2480" s="145"/>
      <c r="FJ2480" s="145"/>
      <c r="FK2480" s="145"/>
      <c r="FL2480" s="145"/>
      <c r="FM2480" s="145"/>
      <c r="FN2480" s="145"/>
      <c r="FO2480" s="145"/>
      <c r="FP2480" s="145"/>
      <c r="FQ2480" s="145"/>
      <c r="FR2480" s="145"/>
      <c r="FS2480" s="145"/>
      <c r="FT2480" s="145"/>
      <c r="FU2480" s="145"/>
      <c r="FV2480" s="145"/>
      <c r="FW2480" s="145"/>
      <c r="FX2480" s="145"/>
      <c r="FY2480" s="145"/>
      <c r="FZ2480" s="145"/>
      <c r="GA2480" s="145"/>
      <c r="GB2480" s="145"/>
      <c r="GC2480" s="145"/>
      <c r="GD2480" s="145"/>
      <c r="GE2480" s="145"/>
      <c r="GF2480" s="145"/>
      <c r="GG2480" s="145"/>
      <c r="GH2480" s="145"/>
      <c r="GI2480" s="145"/>
      <c r="GJ2480" s="145"/>
      <c r="GK2480" s="145"/>
      <c r="GL2480" s="145"/>
      <c r="GM2480" s="145"/>
      <c r="GN2480" s="145"/>
      <c r="GO2480" s="145"/>
      <c r="GP2480" s="145"/>
      <c r="GQ2480" s="145"/>
      <c r="GR2480" s="145"/>
      <c r="GS2480" s="145"/>
      <c r="GT2480" s="145"/>
      <c r="GU2480" s="145"/>
      <c r="GV2480" s="145"/>
      <c r="GW2480" s="145"/>
      <c r="GX2480" s="145"/>
      <c r="GY2480" s="145"/>
      <c r="GZ2480" s="145"/>
      <c r="HA2480" s="145"/>
      <c r="HB2480" s="145"/>
      <c r="HC2480" s="145"/>
      <c r="HD2480" s="145"/>
      <c r="HE2480" s="145"/>
      <c r="HF2480" s="145"/>
    </row>
    <row r="2481" spans="1:214" x14ac:dyDescent="0.35">
      <c r="A2481" s="277">
        <f>A2479+1</f>
        <v>245</v>
      </c>
      <c r="B2481" s="277">
        <v>2452</v>
      </c>
      <c r="C2481" s="286" t="s">
        <v>148</v>
      </c>
      <c r="D2481" s="287">
        <v>2542.6</v>
      </c>
      <c r="E2481" s="276" t="s">
        <v>74</v>
      </c>
      <c r="F2481" s="276">
        <v>3</v>
      </c>
      <c r="G2481" s="277" t="s">
        <v>71</v>
      </c>
      <c r="H2481" s="136" t="s">
        <v>72</v>
      </c>
      <c r="I2481" s="181">
        <f>I2482</f>
        <v>370155.83</v>
      </c>
      <c r="J2481" s="181">
        <f>J2482</f>
        <v>145.58000000000001</v>
      </c>
      <c r="K2481" s="181">
        <f>K2482</f>
        <v>239</v>
      </c>
      <c r="L2481" s="145"/>
      <c r="M2481" s="145"/>
      <c r="N2481" s="145"/>
      <c r="O2481" s="145"/>
      <c r="P2481" s="145"/>
      <c r="Q2481" s="145"/>
      <c r="R2481" s="145"/>
      <c r="S2481" s="145"/>
      <c r="T2481" s="145"/>
      <c r="U2481" s="145"/>
      <c r="V2481" s="145"/>
      <c r="W2481" s="145"/>
      <c r="X2481" s="145"/>
      <c r="Y2481" s="145"/>
      <c r="Z2481" s="145"/>
      <c r="AA2481" s="145"/>
      <c r="AB2481" s="145"/>
      <c r="AC2481" s="145"/>
      <c r="AD2481" s="145"/>
      <c r="AE2481" s="145"/>
      <c r="AF2481" s="145"/>
      <c r="AG2481" s="145"/>
      <c r="AH2481" s="145"/>
      <c r="AI2481" s="145"/>
      <c r="AJ2481" s="145"/>
      <c r="AK2481" s="145"/>
      <c r="AL2481" s="145"/>
      <c r="AM2481" s="145"/>
      <c r="AN2481" s="145"/>
      <c r="AO2481" s="145"/>
      <c r="AP2481" s="145"/>
      <c r="AQ2481" s="145"/>
      <c r="AR2481" s="145"/>
      <c r="AS2481" s="145"/>
      <c r="AT2481" s="145"/>
      <c r="AU2481" s="145"/>
      <c r="AV2481" s="145"/>
      <c r="AW2481" s="145"/>
      <c r="AX2481" s="145"/>
      <c r="AY2481" s="145"/>
      <c r="AZ2481" s="145"/>
      <c r="BA2481" s="145"/>
      <c r="BB2481" s="145"/>
      <c r="BC2481" s="145"/>
      <c r="BD2481" s="145"/>
      <c r="BE2481" s="145"/>
      <c r="BF2481" s="145"/>
      <c r="BG2481" s="145"/>
      <c r="BH2481" s="145"/>
      <c r="BI2481" s="145"/>
      <c r="BJ2481" s="145"/>
      <c r="BK2481" s="145"/>
      <c r="BL2481" s="145"/>
      <c r="BM2481" s="145"/>
      <c r="BN2481" s="145"/>
      <c r="BO2481" s="145"/>
      <c r="BP2481" s="145"/>
      <c r="BQ2481" s="145"/>
      <c r="BR2481" s="145"/>
      <c r="BS2481" s="145"/>
      <c r="BT2481" s="145"/>
      <c r="BU2481" s="145"/>
      <c r="BV2481" s="145"/>
      <c r="BW2481" s="145"/>
      <c r="BX2481" s="145"/>
      <c r="BY2481" s="145"/>
      <c r="BZ2481" s="145"/>
      <c r="CA2481" s="145"/>
      <c r="CB2481" s="145"/>
      <c r="CC2481" s="145"/>
      <c r="CD2481" s="145"/>
      <c r="CE2481" s="145"/>
      <c r="CF2481" s="145"/>
      <c r="CG2481" s="145"/>
      <c r="CH2481" s="145"/>
      <c r="CI2481" s="145"/>
      <c r="CJ2481" s="145"/>
      <c r="CK2481" s="145"/>
      <c r="CL2481" s="145"/>
      <c r="CM2481" s="145"/>
      <c r="CN2481" s="145"/>
      <c r="CO2481" s="145"/>
      <c r="CP2481" s="145"/>
      <c r="CQ2481" s="145"/>
      <c r="CR2481" s="145"/>
      <c r="CS2481" s="145"/>
      <c r="CT2481" s="145"/>
      <c r="CU2481" s="145"/>
      <c r="CV2481" s="145"/>
      <c r="CW2481" s="145"/>
      <c r="CX2481" s="145"/>
      <c r="CY2481" s="145"/>
      <c r="CZ2481" s="145"/>
      <c r="DA2481" s="145"/>
      <c r="DB2481" s="145"/>
      <c r="DC2481" s="145"/>
      <c r="DD2481" s="145"/>
      <c r="DE2481" s="145"/>
      <c r="DF2481" s="145"/>
      <c r="DG2481" s="145"/>
      <c r="DH2481" s="145"/>
      <c r="DI2481" s="145"/>
      <c r="DJ2481" s="145"/>
      <c r="DK2481" s="145"/>
      <c r="DL2481" s="145"/>
      <c r="DM2481" s="145"/>
      <c r="DN2481" s="145"/>
      <c r="DO2481" s="145"/>
      <c r="DP2481" s="145"/>
      <c r="DQ2481" s="145"/>
      <c r="DR2481" s="145"/>
      <c r="DS2481" s="145"/>
      <c r="DT2481" s="145"/>
      <c r="DU2481" s="145"/>
      <c r="DV2481" s="145"/>
      <c r="DW2481" s="145"/>
      <c r="DX2481" s="145"/>
      <c r="DY2481" s="145"/>
      <c r="DZ2481" s="145"/>
      <c r="EA2481" s="145"/>
      <c r="EB2481" s="145"/>
      <c r="EC2481" s="145"/>
      <c r="ED2481" s="145"/>
      <c r="EE2481" s="145"/>
      <c r="EF2481" s="145"/>
      <c r="EG2481" s="145"/>
      <c r="EH2481" s="145"/>
      <c r="EI2481" s="145"/>
      <c r="EJ2481" s="145"/>
      <c r="EK2481" s="145"/>
      <c r="EL2481" s="145"/>
      <c r="EM2481" s="145"/>
      <c r="EN2481" s="145"/>
      <c r="EO2481" s="145"/>
      <c r="EP2481" s="145"/>
      <c r="EQ2481" s="145"/>
      <c r="ER2481" s="145"/>
      <c r="ES2481" s="145"/>
      <c r="ET2481" s="145"/>
      <c r="EU2481" s="145"/>
      <c r="EV2481" s="145"/>
      <c r="EW2481" s="145"/>
      <c r="EX2481" s="145"/>
      <c r="EY2481" s="145"/>
      <c r="EZ2481" s="145"/>
      <c r="FA2481" s="145"/>
      <c r="FB2481" s="145"/>
      <c r="FC2481" s="145"/>
      <c r="FD2481" s="145"/>
      <c r="FE2481" s="145"/>
      <c r="FF2481" s="145"/>
      <c r="FG2481" s="145"/>
      <c r="FH2481" s="145"/>
      <c r="FI2481" s="145"/>
      <c r="FJ2481" s="145"/>
      <c r="FK2481" s="145"/>
      <c r="FL2481" s="145"/>
      <c r="FM2481" s="145"/>
      <c r="FN2481" s="145"/>
      <c r="FO2481" s="145"/>
      <c r="FP2481" s="145"/>
      <c r="FQ2481" s="145"/>
      <c r="FR2481" s="145"/>
      <c r="FS2481" s="145"/>
      <c r="FT2481" s="145"/>
      <c r="FU2481" s="145"/>
      <c r="FV2481" s="145"/>
      <c r="FW2481" s="145"/>
      <c r="FX2481" s="145"/>
      <c r="FY2481" s="145"/>
      <c r="FZ2481" s="145"/>
      <c r="GA2481" s="145"/>
      <c r="GB2481" s="145"/>
      <c r="GC2481" s="145"/>
      <c r="GD2481" s="145"/>
      <c r="GE2481" s="145"/>
      <c r="GF2481" s="145"/>
      <c r="GG2481" s="145"/>
      <c r="GH2481" s="145"/>
      <c r="GI2481" s="145"/>
      <c r="GJ2481" s="145"/>
      <c r="GK2481" s="145"/>
      <c r="GL2481" s="145"/>
      <c r="GM2481" s="145"/>
      <c r="GN2481" s="145"/>
      <c r="GO2481" s="145"/>
      <c r="GP2481" s="145"/>
      <c r="GQ2481" s="145"/>
      <c r="GR2481" s="145"/>
      <c r="GS2481" s="145"/>
      <c r="GT2481" s="145"/>
      <c r="GU2481" s="145"/>
      <c r="GV2481" s="145"/>
      <c r="GW2481" s="145"/>
      <c r="GX2481" s="145"/>
      <c r="GY2481" s="145"/>
      <c r="GZ2481" s="145"/>
      <c r="HA2481" s="145"/>
      <c r="HB2481" s="145"/>
      <c r="HC2481" s="145"/>
      <c r="HD2481" s="145"/>
      <c r="HE2481" s="145"/>
      <c r="HF2481" s="145"/>
    </row>
    <row r="2482" spans="1:214" ht="46.5" x14ac:dyDescent="0.35">
      <c r="A2482" s="277"/>
      <c r="B2482" s="277"/>
      <c r="C2482" s="286"/>
      <c r="D2482" s="287"/>
      <c r="E2482" s="276"/>
      <c r="F2482" s="276"/>
      <c r="G2482" s="277"/>
      <c r="H2482" s="136" t="s">
        <v>673</v>
      </c>
      <c r="I2482" s="181">
        <f>146407.03+D2481*88</f>
        <v>370155.83</v>
      </c>
      <c r="J2482" s="181">
        <f>I2482/D2481</f>
        <v>145.58000000000001</v>
      </c>
      <c r="K2482" s="181">
        <f>151+88</f>
        <v>239</v>
      </c>
      <c r="L2482" s="145"/>
      <c r="M2482" s="145"/>
      <c r="N2482" s="145"/>
      <c r="O2482" s="145"/>
      <c r="P2482" s="145"/>
      <c r="Q2482" s="145"/>
      <c r="R2482" s="145"/>
      <c r="S2482" s="145"/>
      <c r="T2482" s="145"/>
      <c r="U2482" s="145"/>
      <c r="V2482" s="145"/>
      <c r="W2482" s="145"/>
      <c r="X2482" s="145"/>
      <c r="Y2482" s="145"/>
      <c r="Z2482" s="145"/>
      <c r="AA2482" s="145"/>
      <c r="AB2482" s="145"/>
      <c r="AC2482" s="145"/>
      <c r="AD2482" s="145"/>
      <c r="AE2482" s="145"/>
      <c r="AF2482" s="145"/>
      <c r="AG2482" s="145"/>
      <c r="AH2482" s="145"/>
      <c r="AI2482" s="145"/>
      <c r="AJ2482" s="145"/>
      <c r="AK2482" s="145"/>
      <c r="AL2482" s="145"/>
      <c r="AM2482" s="145"/>
      <c r="AN2482" s="145"/>
      <c r="AO2482" s="145"/>
      <c r="AP2482" s="145"/>
      <c r="AQ2482" s="145"/>
      <c r="AR2482" s="145"/>
      <c r="AS2482" s="145"/>
      <c r="AT2482" s="145"/>
      <c r="AU2482" s="145"/>
      <c r="AV2482" s="145"/>
      <c r="AW2482" s="145"/>
      <c r="AX2482" s="145"/>
      <c r="AY2482" s="145"/>
      <c r="AZ2482" s="145"/>
      <c r="BA2482" s="145"/>
      <c r="BB2482" s="145"/>
      <c r="BC2482" s="145"/>
      <c r="BD2482" s="145"/>
      <c r="BE2482" s="145"/>
      <c r="BF2482" s="145"/>
      <c r="BG2482" s="145"/>
      <c r="BH2482" s="145"/>
      <c r="BI2482" s="145"/>
      <c r="BJ2482" s="145"/>
      <c r="BK2482" s="145"/>
      <c r="BL2482" s="145"/>
      <c r="BM2482" s="145"/>
      <c r="BN2482" s="145"/>
      <c r="BO2482" s="145"/>
      <c r="BP2482" s="145"/>
      <c r="BQ2482" s="145"/>
      <c r="BR2482" s="145"/>
      <c r="BS2482" s="145"/>
      <c r="BT2482" s="145"/>
      <c r="BU2482" s="145"/>
      <c r="BV2482" s="145"/>
      <c r="BW2482" s="145"/>
      <c r="BX2482" s="145"/>
      <c r="BY2482" s="145"/>
      <c r="BZ2482" s="145"/>
      <c r="CA2482" s="145"/>
      <c r="CB2482" s="145"/>
      <c r="CC2482" s="145"/>
      <c r="CD2482" s="145"/>
      <c r="CE2482" s="145"/>
      <c r="CF2482" s="145"/>
      <c r="CG2482" s="145"/>
      <c r="CH2482" s="145"/>
      <c r="CI2482" s="145"/>
      <c r="CJ2482" s="145"/>
      <c r="CK2482" s="145"/>
      <c r="CL2482" s="145"/>
      <c r="CM2482" s="145"/>
      <c r="CN2482" s="145"/>
      <c r="CO2482" s="145"/>
      <c r="CP2482" s="145"/>
      <c r="CQ2482" s="145"/>
      <c r="CR2482" s="145"/>
      <c r="CS2482" s="145"/>
      <c r="CT2482" s="145"/>
      <c r="CU2482" s="145"/>
      <c r="CV2482" s="145"/>
      <c r="CW2482" s="145"/>
      <c r="CX2482" s="145"/>
      <c r="CY2482" s="145"/>
      <c r="CZ2482" s="145"/>
      <c r="DA2482" s="145"/>
      <c r="DB2482" s="145"/>
      <c r="DC2482" s="145"/>
      <c r="DD2482" s="145"/>
      <c r="DE2482" s="145"/>
      <c r="DF2482" s="145"/>
      <c r="DG2482" s="145"/>
      <c r="DH2482" s="145"/>
      <c r="DI2482" s="145"/>
      <c r="DJ2482" s="145"/>
      <c r="DK2482" s="145"/>
      <c r="DL2482" s="145"/>
      <c r="DM2482" s="145"/>
      <c r="DN2482" s="145"/>
      <c r="DO2482" s="145"/>
      <c r="DP2482" s="145"/>
      <c r="DQ2482" s="145"/>
      <c r="DR2482" s="145"/>
      <c r="DS2482" s="145"/>
      <c r="DT2482" s="145"/>
      <c r="DU2482" s="145"/>
      <c r="DV2482" s="145"/>
      <c r="DW2482" s="145"/>
      <c r="DX2482" s="145"/>
      <c r="DY2482" s="145"/>
      <c r="DZ2482" s="145"/>
      <c r="EA2482" s="145"/>
      <c r="EB2482" s="145"/>
      <c r="EC2482" s="145"/>
      <c r="ED2482" s="145"/>
      <c r="EE2482" s="145"/>
      <c r="EF2482" s="145"/>
      <c r="EG2482" s="145"/>
      <c r="EH2482" s="145"/>
      <c r="EI2482" s="145"/>
      <c r="EJ2482" s="145"/>
      <c r="EK2482" s="145"/>
      <c r="EL2482" s="145"/>
      <c r="EM2482" s="145"/>
      <c r="EN2482" s="145"/>
      <c r="EO2482" s="145"/>
      <c r="EP2482" s="145"/>
      <c r="EQ2482" s="145"/>
      <c r="ER2482" s="145"/>
      <c r="ES2482" s="145"/>
      <c r="ET2482" s="145"/>
      <c r="EU2482" s="145"/>
      <c r="EV2482" s="145"/>
      <c r="EW2482" s="145"/>
      <c r="EX2482" s="145"/>
      <c r="EY2482" s="145"/>
      <c r="EZ2482" s="145"/>
      <c r="FA2482" s="145"/>
      <c r="FB2482" s="145"/>
      <c r="FC2482" s="145"/>
      <c r="FD2482" s="145"/>
      <c r="FE2482" s="145"/>
      <c r="FF2482" s="145"/>
      <c r="FG2482" s="145"/>
      <c r="FH2482" s="145"/>
      <c r="FI2482" s="145"/>
      <c r="FJ2482" s="145"/>
      <c r="FK2482" s="145"/>
      <c r="FL2482" s="145"/>
      <c r="FM2482" s="145"/>
      <c r="FN2482" s="145"/>
      <c r="FO2482" s="145"/>
      <c r="FP2482" s="145"/>
      <c r="FQ2482" s="145"/>
      <c r="FR2482" s="145"/>
      <c r="FS2482" s="145"/>
      <c r="FT2482" s="145"/>
      <c r="FU2482" s="145"/>
      <c r="FV2482" s="145"/>
      <c r="FW2482" s="145"/>
      <c r="FX2482" s="145"/>
      <c r="FY2482" s="145"/>
      <c r="FZ2482" s="145"/>
      <c r="GA2482" s="145"/>
      <c r="GB2482" s="145"/>
      <c r="GC2482" s="145"/>
      <c r="GD2482" s="145"/>
      <c r="GE2482" s="145"/>
      <c r="GF2482" s="145"/>
      <c r="GG2482" s="145"/>
      <c r="GH2482" s="145"/>
      <c r="GI2482" s="145"/>
      <c r="GJ2482" s="145"/>
      <c r="GK2482" s="145"/>
      <c r="GL2482" s="145"/>
      <c r="GM2482" s="145"/>
      <c r="GN2482" s="145"/>
      <c r="GO2482" s="145"/>
      <c r="GP2482" s="145"/>
      <c r="GQ2482" s="145"/>
      <c r="GR2482" s="145"/>
      <c r="GS2482" s="145"/>
      <c r="GT2482" s="145"/>
      <c r="GU2482" s="145"/>
      <c r="GV2482" s="145"/>
      <c r="GW2482" s="145"/>
      <c r="GX2482" s="145"/>
      <c r="GY2482" s="145"/>
      <c r="GZ2482" s="145"/>
      <c r="HA2482" s="145"/>
      <c r="HB2482" s="145"/>
      <c r="HC2482" s="145"/>
      <c r="HD2482" s="145"/>
      <c r="HE2482" s="145"/>
      <c r="HF2482" s="145"/>
    </row>
    <row r="2483" spans="1:214" x14ac:dyDescent="0.35">
      <c r="A2483" s="277">
        <f>A2481+1</f>
        <v>246</v>
      </c>
      <c r="B2483" s="277">
        <v>2454</v>
      </c>
      <c r="C2483" s="286" t="s">
        <v>588</v>
      </c>
      <c r="D2483" s="287">
        <v>3640.78</v>
      </c>
      <c r="E2483" s="276" t="s">
        <v>70</v>
      </c>
      <c r="F2483" s="276">
        <v>5</v>
      </c>
      <c r="G2483" s="277" t="s">
        <v>71</v>
      </c>
      <c r="H2483" s="136" t="s">
        <v>72</v>
      </c>
      <c r="I2483" s="181">
        <f>I2484</f>
        <v>565597.78</v>
      </c>
      <c r="J2483" s="181">
        <f>J2484</f>
        <v>155.35</v>
      </c>
      <c r="K2483" s="181">
        <f>K2484</f>
        <v>169</v>
      </c>
      <c r="L2483" s="145"/>
      <c r="M2483" s="145"/>
      <c r="N2483" s="145"/>
      <c r="O2483" s="145"/>
      <c r="P2483" s="145"/>
      <c r="Q2483" s="145"/>
      <c r="R2483" s="145"/>
      <c r="S2483" s="145"/>
      <c r="T2483" s="145"/>
      <c r="U2483" s="145"/>
      <c r="V2483" s="145"/>
      <c r="W2483" s="145"/>
      <c r="X2483" s="145"/>
      <c r="Y2483" s="145"/>
      <c r="Z2483" s="145"/>
      <c r="AA2483" s="145"/>
      <c r="AB2483" s="145"/>
      <c r="AC2483" s="145"/>
      <c r="AD2483" s="145"/>
      <c r="AE2483" s="145"/>
      <c r="AF2483" s="145"/>
      <c r="AG2483" s="145"/>
      <c r="AH2483" s="145"/>
      <c r="AI2483" s="145"/>
      <c r="AJ2483" s="145"/>
      <c r="AK2483" s="145"/>
      <c r="AL2483" s="145"/>
      <c r="AM2483" s="145"/>
      <c r="AN2483" s="145"/>
      <c r="AO2483" s="145"/>
      <c r="AP2483" s="145"/>
      <c r="AQ2483" s="145"/>
      <c r="AR2483" s="145"/>
      <c r="AS2483" s="145"/>
      <c r="AT2483" s="145"/>
      <c r="AU2483" s="145"/>
      <c r="AV2483" s="145"/>
      <c r="AW2483" s="145"/>
      <c r="AX2483" s="145"/>
      <c r="AY2483" s="145"/>
      <c r="AZ2483" s="145"/>
      <c r="BA2483" s="145"/>
      <c r="BB2483" s="145"/>
      <c r="BC2483" s="145"/>
      <c r="BD2483" s="145"/>
      <c r="BE2483" s="145"/>
      <c r="BF2483" s="145"/>
      <c r="BG2483" s="145"/>
      <c r="BH2483" s="145"/>
      <c r="BI2483" s="145"/>
      <c r="BJ2483" s="145"/>
      <c r="BK2483" s="145"/>
      <c r="BL2483" s="145"/>
      <c r="BM2483" s="145"/>
      <c r="BN2483" s="145"/>
      <c r="BO2483" s="145"/>
      <c r="BP2483" s="145"/>
      <c r="BQ2483" s="145"/>
      <c r="BR2483" s="145"/>
      <c r="BS2483" s="145"/>
      <c r="BT2483" s="145"/>
      <c r="BU2483" s="145"/>
      <c r="BV2483" s="145"/>
      <c r="BW2483" s="145"/>
      <c r="BX2483" s="145"/>
      <c r="BY2483" s="145"/>
      <c r="BZ2483" s="145"/>
      <c r="CA2483" s="145"/>
      <c r="CB2483" s="145"/>
      <c r="CC2483" s="145"/>
      <c r="CD2483" s="145"/>
      <c r="CE2483" s="145"/>
      <c r="CF2483" s="145"/>
      <c r="CG2483" s="145"/>
      <c r="CH2483" s="145"/>
      <c r="CI2483" s="145"/>
      <c r="CJ2483" s="145"/>
      <c r="CK2483" s="145"/>
      <c r="CL2483" s="145"/>
      <c r="CM2483" s="145"/>
      <c r="CN2483" s="145"/>
      <c r="CO2483" s="145"/>
      <c r="CP2483" s="145"/>
      <c r="CQ2483" s="145"/>
      <c r="CR2483" s="145"/>
      <c r="CS2483" s="145"/>
      <c r="CT2483" s="145"/>
      <c r="CU2483" s="145"/>
      <c r="CV2483" s="145"/>
      <c r="CW2483" s="145"/>
      <c r="CX2483" s="145"/>
      <c r="CY2483" s="145"/>
      <c r="CZ2483" s="145"/>
      <c r="DA2483" s="145"/>
      <c r="DB2483" s="145"/>
      <c r="DC2483" s="145"/>
      <c r="DD2483" s="145"/>
      <c r="DE2483" s="145"/>
      <c r="DF2483" s="145"/>
      <c r="DG2483" s="145"/>
      <c r="DH2483" s="145"/>
      <c r="DI2483" s="145"/>
      <c r="DJ2483" s="145"/>
      <c r="DK2483" s="145"/>
      <c r="DL2483" s="145"/>
      <c r="DM2483" s="145"/>
      <c r="DN2483" s="145"/>
      <c r="DO2483" s="145"/>
      <c r="DP2483" s="145"/>
      <c r="DQ2483" s="145"/>
      <c r="DR2483" s="145"/>
      <c r="DS2483" s="145"/>
      <c r="DT2483" s="145"/>
      <c r="DU2483" s="145"/>
      <c r="DV2483" s="145"/>
      <c r="DW2483" s="145"/>
      <c r="DX2483" s="145"/>
      <c r="DY2483" s="145"/>
      <c r="DZ2483" s="145"/>
      <c r="EA2483" s="145"/>
      <c r="EB2483" s="145"/>
      <c r="EC2483" s="145"/>
      <c r="ED2483" s="145"/>
      <c r="EE2483" s="145"/>
      <c r="EF2483" s="145"/>
      <c r="EG2483" s="145"/>
      <c r="EH2483" s="145"/>
      <c r="EI2483" s="145"/>
      <c r="EJ2483" s="145"/>
      <c r="EK2483" s="145"/>
      <c r="EL2483" s="145"/>
      <c r="EM2483" s="145"/>
      <c r="EN2483" s="145"/>
      <c r="EO2483" s="145"/>
      <c r="EP2483" s="145"/>
      <c r="EQ2483" s="145"/>
      <c r="ER2483" s="145"/>
      <c r="ES2483" s="145"/>
      <c r="ET2483" s="145"/>
      <c r="EU2483" s="145"/>
      <c r="EV2483" s="145"/>
      <c r="EW2483" s="145"/>
      <c r="EX2483" s="145"/>
      <c r="EY2483" s="145"/>
      <c r="EZ2483" s="145"/>
      <c r="FA2483" s="145"/>
      <c r="FB2483" s="145"/>
      <c r="FC2483" s="145"/>
      <c r="FD2483" s="145"/>
      <c r="FE2483" s="145"/>
      <c r="FF2483" s="145"/>
      <c r="FG2483" s="145"/>
      <c r="FH2483" s="145"/>
      <c r="FI2483" s="145"/>
      <c r="FJ2483" s="145"/>
      <c r="FK2483" s="145"/>
      <c r="FL2483" s="145"/>
      <c r="FM2483" s="145"/>
      <c r="FN2483" s="145"/>
      <c r="FO2483" s="145"/>
      <c r="FP2483" s="145"/>
      <c r="FQ2483" s="145"/>
      <c r="FR2483" s="145"/>
      <c r="FS2483" s="145"/>
      <c r="FT2483" s="145"/>
      <c r="FU2483" s="145"/>
      <c r="FV2483" s="145"/>
      <c r="FW2483" s="145"/>
      <c r="FX2483" s="145"/>
      <c r="FY2483" s="145"/>
      <c r="FZ2483" s="145"/>
      <c r="GA2483" s="145"/>
      <c r="GB2483" s="145"/>
      <c r="GC2483" s="145"/>
      <c r="GD2483" s="145"/>
      <c r="GE2483" s="145"/>
      <c r="GF2483" s="145"/>
      <c r="GG2483" s="145"/>
      <c r="GH2483" s="145"/>
      <c r="GI2483" s="145"/>
      <c r="GJ2483" s="145"/>
      <c r="GK2483" s="145"/>
      <c r="GL2483" s="145"/>
      <c r="GM2483" s="145"/>
      <c r="GN2483" s="145"/>
      <c r="GO2483" s="145"/>
      <c r="GP2483" s="145"/>
      <c r="GQ2483" s="145"/>
      <c r="GR2483" s="145"/>
      <c r="GS2483" s="145"/>
      <c r="GT2483" s="145"/>
      <c r="GU2483" s="145"/>
      <c r="GV2483" s="145"/>
      <c r="GW2483" s="145"/>
      <c r="GX2483" s="145"/>
      <c r="GY2483" s="145"/>
      <c r="GZ2483" s="145"/>
      <c r="HA2483" s="145"/>
      <c r="HB2483" s="145"/>
      <c r="HC2483" s="145"/>
      <c r="HD2483" s="145"/>
      <c r="HE2483" s="145"/>
      <c r="HF2483" s="145"/>
    </row>
    <row r="2484" spans="1:214" ht="61" customHeight="1" x14ac:dyDescent="0.35">
      <c r="A2484" s="277"/>
      <c r="B2484" s="277"/>
      <c r="C2484" s="286"/>
      <c r="D2484" s="287"/>
      <c r="E2484" s="276"/>
      <c r="F2484" s="276"/>
      <c r="G2484" s="277"/>
      <c r="H2484" s="136" t="s">
        <v>673</v>
      </c>
      <c r="I2484" s="181">
        <f>549757.78+15840</f>
        <v>565597.78</v>
      </c>
      <c r="J2484" s="181">
        <f>I2484/D2483</f>
        <v>155.35</v>
      </c>
      <c r="K2484" s="181">
        <f>151+18</f>
        <v>169</v>
      </c>
      <c r="L2484" s="145"/>
      <c r="M2484" s="145"/>
      <c r="N2484" s="145"/>
      <c r="O2484" s="145"/>
      <c r="P2484" s="145"/>
      <c r="Q2484" s="145"/>
      <c r="R2484" s="145"/>
      <c r="S2484" s="145"/>
      <c r="T2484" s="145"/>
      <c r="U2484" s="145"/>
      <c r="V2484" s="145"/>
      <c r="W2484" s="145"/>
      <c r="X2484" s="145"/>
      <c r="Y2484" s="145"/>
      <c r="Z2484" s="145"/>
      <c r="AA2484" s="145"/>
      <c r="AB2484" s="145"/>
      <c r="AC2484" s="145"/>
      <c r="AD2484" s="145"/>
      <c r="AE2484" s="145"/>
      <c r="AF2484" s="145"/>
      <c r="AG2484" s="145"/>
      <c r="AH2484" s="145"/>
      <c r="AI2484" s="145"/>
      <c r="AJ2484" s="145"/>
      <c r="AK2484" s="145"/>
      <c r="AL2484" s="145"/>
      <c r="AM2484" s="145"/>
      <c r="AN2484" s="145"/>
      <c r="AO2484" s="145"/>
      <c r="AP2484" s="145"/>
      <c r="AQ2484" s="145"/>
      <c r="AR2484" s="145"/>
      <c r="AS2484" s="145"/>
      <c r="AT2484" s="145"/>
      <c r="AU2484" s="145"/>
      <c r="AV2484" s="145"/>
      <c r="AW2484" s="145"/>
      <c r="AX2484" s="145"/>
      <c r="AY2484" s="145"/>
      <c r="AZ2484" s="145"/>
      <c r="BA2484" s="145"/>
      <c r="BB2484" s="145"/>
      <c r="BC2484" s="145"/>
      <c r="BD2484" s="145"/>
      <c r="BE2484" s="145"/>
      <c r="BF2484" s="145"/>
      <c r="BG2484" s="145"/>
      <c r="BH2484" s="145"/>
      <c r="BI2484" s="145"/>
      <c r="BJ2484" s="145"/>
      <c r="BK2484" s="145"/>
      <c r="BL2484" s="145"/>
      <c r="BM2484" s="145"/>
      <c r="BN2484" s="145"/>
      <c r="BO2484" s="145"/>
      <c r="BP2484" s="145"/>
      <c r="BQ2484" s="145"/>
      <c r="BR2484" s="145"/>
      <c r="BS2484" s="145"/>
      <c r="BT2484" s="145"/>
      <c r="BU2484" s="145"/>
      <c r="BV2484" s="145"/>
      <c r="BW2484" s="145"/>
      <c r="BX2484" s="145"/>
      <c r="BY2484" s="145"/>
      <c r="BZ2484" s="145"/>
      <c r="CA2484" s="145"/>
      <c r="CB2484" s="145"/>
      <c r="CC2484" s="145"/>
      <c r="CD2484" s="145"/>
      <c r="CE2484" s="145"/>
      <c r="CF2484" s="145"/>
      <c r="CG2484" s="145"/>
      <c r="CH2484" s="145"/>
      <c r="CI2484" s="145"/>
      <c r="CJ2484" s="145"/>
      <c r="CK2484" s="145"/>
      <c r="CL2484" s="145"/>
      <c r="CM2484" s="145"/>
      <c r="CN2484" s="145"/>
      <c r="CO2484" s="145"/>
      <c r="CP2484" s="145"/>
      <c r="CQ2484" s="145"/>
      <c r="CR2484" s="145"/>
      <c r="CS2484" s="145"/>
      <c r="CT2484" s="145"/>
      <c r="CU2484" s="145"/>
      <c r="CV2484" s="145"/>
      <c r="CW2484" s="145"/>
      <c r="CX2484" s="145"/>
      <c r="CY2484" s="145"/>
      <c r="CZ2484" s="145"/>
      <c r="DA2484" s="145"/>
      <c r="DB2484" s="145"/>
      <c r="DC2484" s="145"/>
      <c r="DD2484" s="145"/>
      <c r="DE2484" s="145"/>
      <c r="DF2484" s="145"/>
      <c r="DG2484" s="145"/>
      <c r="DH2484" s="145"/>
      <c r="DI2484" s="145"/>
      <c r="DJ2484" s="145"/>
      <c r="DK2484" s="145"/>
      <c r="DL2484" s="145"/>
      <c r="DM2484" s="145"/>
      <c r="DN2484" s="145"/>
      <c r="DO2484" s="145"/>
      <c r="DP2484" s="145"/>
      <c r="DQ2484" s="145"/>
      <c r="DR2484" s="145"/>
      <c r="DS2484" s="145"/>
      <c r="DT2484" s="145"/>
      <c r="DU2484" s="145"/>
      <c r="DV2484" s="145"/>
      <c r="DW2484" s="145"/>
      <c r="DX2484" s="145"/>
      <c r="DY2484" s="145"/>
      <c r="DZ2484" s="145"/>
      <c r="EA2484" s="145"/>
      <c r="EB2484" s="145"/>
      <c r="EC2484" s="145"/>
      <c r="ED2484" s="145"/>
      <c r="EE2484" s="145"/>
      <c r="EF2484" s="145"/>
      <c r="EG2484" s="145"/>
      <c r="EH2484" s="145"/>
      <c r="EI2484" s="145"/>
      <c r="EJ2484" s="145"/>
      <c r="EK2484" s="145"/>
      <c r="EL2484" s="145"/>
      <c r="EM2484" s="145"/>
      <c r="EN2484" s="145"/>
      <c r="EO2484" s="145"/>
      <c r="EP2484" s="145"/>
      <c r="EQ2484" s="145"/>
      <c r="ER2484" s="145"/>
      <c r="ES2484" s="145"/>
      <c r="ET2484" s="145"/>
      <c r="EU2484" s="145"/>
      <c r="EV2484" s="145"/>
      <c r="EW2484" s="145"/>
      <c r="EX2484" s="145"/>
      <c r="EY2484" s="145"/>
      <c r="EZ2484" s="145"/>
      <c r="FA2484" s="145"/>
      <c r="FB2484" s="145"/>
      <c r="FC2484" s="145"/>
      <c r="FD2484" s="145"/>
      <c r="FE2484" s="145"/>
      <c r="FF2484" s="145"/>
      <c r="FG2484" s="145"/>
      <c r="FH2484" s="145"/>
      <c r="FI2484" s="145"/>
      <c r="FJ2484" s="145"/>
      <c r="FK2484" s="145"/>
      <c r="FL2484" s="145"/>
      <c r="FM2484" s="145"/>
      <c r="FN2484" s="145"/>
      <c r="FO2484" s="145"/>
      <c r="FP2484" s="145"/>
      <c r="FQ2484" s="145"/>
      <c r="FR2484" s="145"/>
      <c r="FS2484" s="145"/>
      <c r="FT2484" s="145"/>
      <c r="FU2484" s="145"/>
      <c r="FV2484" s="145"/>
      <c r="FW2484" s="145"/>
      <c r="FX2484" s="145"/>
      <c r="FY2484" s="145"/>
      <c r="FZ2484" s="145"/>
      <c r="GA2484" s="145"/>
      <c r="GB2484" s="145"/>
      <c r="GC2484" s="145"/>
      <c r="GD2484" s="145"/>
      <c r="GE2484" s="145"/>
      <c r="GF2484" s="145"/>
      <c r="GG2484" s="145"/>
      <c r="GH2484" s="145"/>
      <c r="GI2484" s="145"/>
      <c r="GJ2484" s="145"/>
      <c r="GK2484" s="145"/>
      <c r="GL2484" s="145"/>
      <c r="GM2484" s="145"/>
      <c r="GN2484" s="145"/>
      <c r="GO2484" s="145"/>
      <c r="GP2484" s="145"/>
      <c r="GQ2484" s="145"/>
      <c r="GR2484" s="145"/>
      <c r="GS2484" s="145"/>
      <c r="GT2484" s="145"/>
      <c r="GU2484" s="145"/>
      <c r="GV2484" s="145"/>
      <c r="GW2484" s="145"/>
      <c r="GX2484" s="145"/>
      <c r="GY2484" s="145"/>
      <c r="GZ2484" s="145"/>
      <c r="HA2484" s="145"/>
      <c r="HB2484" s="145"/>
      <c r="HC2484" s="145"/>
      <c r="HD2484" s="145"/>
      <c r="HE2484" s="145"/>
      <c r="HF2484" s="145"/>
    </row>
    <row r="2485" spans="1:214" x14ac:dyDescent="0.35">
      <c r="A2485" s="277">
        <f>A2483+1</f>
        <v>247</v>
      </c>
      <c r="B2485" s="277">
        <v>2455</v>
      </c>
      <c r="C2485" s="286" t="s">
        <v>589</v>
      </c>
      <c r="D2485" s="287">
        <v>2363.5</v>
      </c>
      <c r="E2485" s="276" t="s">
        <v>70</v>
      </c>
      <c r="F2485" s="276">
        <v>5</v>
      </c>
      <c r="G2485" s="277" t="s">
        <v>71</v>
      </c>
      <c r="H2485" s="136" t="s">
        <v>72</v>
      </c>
      <c r="I2485" s="181">
        <f>I2486</f>
        <v>372968.5</v>
      </c>
      <c r="J2485" s="181">
        <f>J2486</f>
        <v>157.80000000000001</v>
      </c>
      <c r="K2485" s="181">
        <f>K2486</f>
        <v>169</v>
      </c>
      <c r="L2485" s="145"/>
      <c r="M2485" s="145"/>
      <c r="N2485" s="145"/>
      <c r="O2485" s="145"/>
      <c r="P2485" s="145"/>
      <c r="Q2485" s="145"/>
      <c r="R2485" s="145"/>
      <c r="S2485" s="145"/>
      <c r="T2485" s="145"/>
      <c r="U2485" s="145"/>
      <c r="V2485" s="145"/>
      <c r="W2485" s="145"/>
      <c r="X2485" s="145"/>
      <c r="Y2485" s="145"/>
      <c r="Z2485" s="145"/>
      <c r="AA2485" s="145"/>
      <c r="AB2485" s="145"/>
      <c r="AC2485" s="145"/>
      <c r="AD2485" s="145"/>
      <c r="AE2485" s="145"/>
      <c r="AF2485" s="145"/>
      <c r="AG2485" s="145"/>
      <c r="AH2485" s="145"/>
      <c r="AI2485" s="145"/>
      <c r="AJ2485" s="145"/>
      <c r="AK2485" s="145"/>
      <c r="AL2485" s="145"/>
      <c r="AM2485" s="145"/>
      <c r="AN2485" s="145"/>
      <c r="AO2485" s="145"/>
      <c r="AP2485" s="145"/>
      <c r="AQ2485" s="145"/>
      <c r="AR2485" s="145"/>
      <c r="AS2485" s="145"/>
      <c r="AT2485" s="145"/>
      <c r="AU2485" s="145"/>
      <c r="AV2485" s="145"/>
      <c r="AW2485" s="145"/>
      <c r="AX2485" s="145"/>
      <c r="AY2485" s="145"/>
      <c r="AZ2485" s="145"/>
      <c r="BA2485" s="145"/>
      <c r="BB2485" s="145"/>
      <c r="BC2485" s="145"/>
      <c r="BD2485" s="145"/>
      <c r="BE2485" s="145"/>
      <c r="BF2485" s="145"/>
      <c r="BG2485" s="145"/>
      <c r="BH2485" s="145"/>
      <c r="BI2485" s="145"/>
      <c r="BJ2485" s="145"/>
      <c r="BK2485" s="145"/>
      <c r="BL2485" s="145"/>
      <c r="BM2485" s="145"/>
      <c r="BN2485" s="145"/>
      <c r="BO2485" s="145"/>
      <c r="BP2485" s="145"/>
      <c r="BQ2485" s="145"/>
      <c r="BR2485" s="145"/>
      <c r="BS2485" s="145"/>
      <c r="BT2485" s="145"/>
      <c r="BU2485" s="145"/>
      <c r="BV2485" s="145"/>
      <c r="BW2485" s="145"/>
      <c r="BX2485" s="145"/>
      <c r="BY2485" s="145"/>
      <c r="BZ2485" s="145"/>
      <c r="CA2485" s="145"/>
      <c r="CB2485" s="145"/>
      <c r="CC2485" s="145"/>
      <c r="CD2485" s="145"/>
      <c r="CE2485" s="145"/>
      <c r="CF2485" s="145"/>
      <c r="CG2485" s="145"/>
      <c r="CH2485" s="145"/>
      <c r="CI2485" s="145"/>
      <c r="CJ2485" s="145"/>
      <c r="CK2485" s="145"/>
      <c r="CL2485" s="145"/>
      <c r="CM2485" s="145"/>
      <c r="CN2485" s="145"/>
      <c r="CO2485" s="145"/>
      <c r="CP2485" s="145"/>
      <c r="CQ2485" s="145"/>
      <c r="CR2485" s="145"/>
      <c r="CS2485" s="145"/>
      <c r="CT2485" s="145"/>
      <c r="CU2485" s="145"/>
      <c r="CV2485" s="145"/>
      <c r="CW2485" s="145"/>
      <c r="CX2485" s="145"/>
      <c r="CY2485" s="145"/>
      <c r="CZ2485" s="145"/>
      <c r="DA2485" s="145"/>
      <c r="DB2485" s="145"/>
      <c r="DC2485" s="145"/>
      <c r="DD2485" s="145"/>
      <c r="DE2485" s="145"/>
      <c r="DF2485" s="145"/>
      <c r="DG2485" s="145"/>
      <c r="DH2485" s="145"/>
      <c r="DI2485" s="145"/>
      <c r="DJ2485" s="145"/>
      <c r="DK2485" s="145"/>
      <c r="DL2485" s="145"/>
      <c r="DM2485" s="145"/>
      <c r="DN2485" s="145"/>
      <c r="DO2485" s="145"/>
      <c r="DP2485" s="145"/>
      <c r="DQ2485" s="145"/>
      <c r="DR2485" s="145"/>
      <c r="DS2485" s="145"/>
      <c r="DT2485" s="145"/>
      <c r="DU2485" s="145"/>
      <c r="DV2485" s="145"/>
      <c r="DW2485" s="145"/>
      <c r="DX2485" s="145"/>
      <c r="DY2485" s="145"/>
      <c r="DZ2485" s="145"/>
      <c r="EA2485" s="145"/>
      <c r="EB2485" s="145"/>
      <c r="EC2485" s="145"/>
      <c r="ED2485" s="145"/>
      <c r="EE2485" s="145"/>
      <c r="EF2485" s="145"/>
      <c r="EG2485" s="145"/>
      <c r="EH2485" s="145"/>
      <c r="EI2485" s="145"/>
      <c r="EJ2485" s="145"/>
      <c r="EK2485" s="145"/>
      <c r="EL2485" s="145"/>
      <c r="EM2485" s="145"/>
      <c r="EN2485" s="145"/>
      <c r="EO2485" s="145"/>
      <c r="EP2485" s="145"/>
      <c r="EQ2485" s="145"/>
      <c r="ER2485" s="145"/>
      <c r="ES2485" s="145"/>
      <c r="ET2485" s="145"/>
      <c r="EU2485" s="145"/>
      <c r="EV2485" s="145"/>
      <c r="EW2485" s="145"/>
      <c r="EX2485" s="145"/>
      <c r="EY2485" s="145"/>
      <c r="EZ2485" s="145"/>
      <c r="FA2485" s="145"/>
      <c r="FB2485" s="145"/>
      <c r="FC2485" s="145"/>
      <c r="FD2485" s="145"/>
      <c r="FE2485" s="145"/>
      <c r="FF2485" s="145"/>
      <c r="FG2485" s="145"/>
      <c r="FH2485" s="145"/>
      <c r="FI2485" s="145"/>
      <c r="FJ2485" s="145"/>
      <c r="FK2485" s="145"/>
      <c r="FL2485" s="145"/>
      <c r="FM2485" s="145"/>
      <c r="FN2485" s="145"/>
      <c r="FO2485" s="145"/>
      <c r="FP2485" s="145"/>
      <c r="FQ2485" s="145"/>
      <c r="FR2485" s="145"/>
      <c r="FS2485" s="145"/>
      <c r="FT2485" s="145"/>
      <c r="FU2485" s="145"/>
      <c r="FV2485" s="145"/>
      <c r="FW2485" s="145"/>
      <c r="FX2485" s="145"/>
      <c r="FY2485" s="145"/>
      <c r="FZ2485" s="145"/>
      <c r="GA2485" s="145"/>
      <c r="GB2485" s="145"/>
      <c r="GC2485" s="145"/>
      <c r="GD2485" s="145"/>
      <c r="GE2485" s="145"/>
      <c r="GF2485" s="145"/>
      <c r="GG2485" s="145"/>
      <c r="GH2485" s="145"/>
      <c r="GI2485" s="145"/>
      <c r="GJ2485" s="145"/>
      <c r="GK2485" s="145"/>
      <c r="GL2485" s="145"/>
      <c r="GM2485" s="145"/>
      <c r="GN2485" s="145"/>
      <c r="GO2485" s="145"/>
      <c r="GP2485" s="145"/>
      <c r="GQ2485" s="145"/>
      <c r="GR2485" s="145"/>
      <c r="GS2485" s="145"/>
      <c r="GT2485" s="145"/>
      <c r="GU2485" s="145"/>
      <c r="GV2485" s="145"/>
      <c r="GW2485" s="145"/>
      <c r="GX2485" s="145"/>
      <c r="GY2485" s="145"/>
      <c r="GZ2485" s="145"/>
      <c r="HA2485" s="145"/>
      <c r="HB2485" s="145"/>
      <c r="HC2485" s="145"/>
      <c r="HD2485" s="145"/>
      <c r="HE2485" s="145"/>
      <c r="HF2485" s="145"/>
    </row>
    <row r="2486" spans="1:214" ht="46.5" x14ac:dyDescent="0.35">
      <c r="A2486" s="277"/>
      <c r="B2486" s="277"/>
      <c r="C2486" s="286"/>
      <c r="D2486" s="287"/>
      <c r="E2486" s="276"/>
      <c r="F2486" s="276"/>
      <c r="G2486" s="277"/>
      <c r="H2486" s="136" t="s">
        <v>673</v>
      </c>
      <c r="I2486" s="193">
        <f>356888.5+16080</f>
        <v>372968.5</v>
      </c>
      <c r="J2486" s="181">
        <f>I2486/D2485</f>
        <v>157.80000000000001</v>
      </c>
      <c r="K2486" s="181">
        <f>151+18</f>
        <v>169</v>
      </c>
      <c r="L2486" s="145"/>
      <c r="M2486" s="145"/>
      <c r="N2486" s="145"/>
      <c r="O2486" s="145"/>
      <c r="P2486" s="145"/>
      <c r="Q2486" s="145"/>
      <c r="R2486" s="145"/>
      <c r="S2486" s="145"/>
      <c r="T2486" s="145"/>
      <c r="U2486" s="145"/>
      <c r="V2486" s="145"/>
      <c r="W2486" s="145"/>
      <c r="X2486" s="145"/>
      <c r="Y2486" s="145"/>
      <c r="Z2486" s="145"/>
      <c r="AA2486" s="145"/>
      <c r="AB2486" s="145"/>
      <c r="AC2486" s="145"/>
      <c r="AD2486" s="145"/>
      <c r="AE2486" s="145"/>
      <c r="AF2486" s="145"/>
      <c r="AG2486" s="145"/>
      <c r="AH2486" s="145"/>
      <c r="AI2486" s="145"/>
      <c r="AJ2486" s="145"/>
      <c r="AK2486" s="145"/>
      <c r="AL2486" s="145"/>
      <c r="AM2486" s="145"/>
      <c r="AN2486" s="145"/>
      <c r="AO2486" s="145"/>
      <c r="AP2486" s="145"/>
      <c r="AQ2486" s="145"/>
      <c r="AR2486" s="145"/>
      <c r="AS2486" s="145"/>
      <c r="AT2486" s="145"/>
      <c r="AU2486" s="145"/>
      <c r="AV2486" s="145"/>
      <c r="AW2486" s="145"/>
      <c r="AX2486" s="145"/>
      <c r="AY2486" s="145"/>
      <c r="AZ2486" s="145"/>
      <c r="BA2486" s="145"/>
      <c r="BB2486" s="145"/>
      <c r="BC2486" s="145"/>
      <c r="BD2486" s="145"/>
      <c r="BE2486" s="145"/>
      <c r="BF2486" s="145"/>
      <c r="BG2486" s="145"/>
      <c r="BH2486" s="145"/>
      <c r="BI2486" s="145"/>
      <c r="BJ2486" s="145"/>
      <c r="BK2486" s="145"/>
      <c r="BL2486" s="145"/>
      <c r="BM2486" s="145"/>
      <c r="BN2486" s="145"/>
      <c r="BO2486" s="145"/>
      <c r="BP2486" s="145"/>
      <c r="BQ2486" s="145"/>
      <c r="BR2486" s="145"/>
      <c r="BS2486" s="145"/>
      <c r="BT2486" s="145"/>
      <c r="BU2486" s="145"/>
      <c r="BV2486" s="145"/>
      <c r="BW2486" s="145"/>
      <c r="BX2486" s="145"/>
      <c r="BY2486" s="145"/>
      <c r="BZ2486" s="145"/>
      <c r="CA2486" s="145"/>
      <c r="CB2486" s="145"/>
      <c r="CC2486" s="145"/>
      <c r="CD2486" s="145"/>
      <c r="CE2486" s="145"/>
      <c r="CF2486" s="145"/>
      <c r="CG2486" s="145"/>
      <c r="CH2486" s="145"/>
      <c r="CI2486" s="145"/>
      <c r="CJ2486" s="145"/>
      <c r="CK2486" s="145"/>
      <c r="CL2486" s="145"/>
      <c r="CM2486" s="145"/>
      <c r="CN2486" s="145"/>
      <c r="CO2486" s="145"/>
      <c r="CP2486" s="145"/>
      <c r="CQ2486" s="145"/>
      <c r="CR2486" s="145"/>
      <c r="CS2486" s="145"/>
      <c r="CT2486" s="145"/>
      <c r="CU2486" s="145"/>
      <c r="CV2486" s="145"/>
      <c r="CW2486" s="145"/>
      <c r="CX2486" s="145"/>
      <c r="CY2486" s="145"/>
      <c r="CZ2486" s="145"/>
      <c r="DA2486" s="145"/>
      <c r="DB2486" s="145"/>
      <c r="DC2486" s="145"/>
      <c r="DD2486" s="145"/>
      <c r="DE2486" s="145"/>
      <c r="DF2486" s="145"/>
      <c r="DG2486" s="145"/>
      <c r="DH2486" s="145"/>
      <c r="DI2486" s="145"/>
      <c r="DJ2486" s="145"/>
      <c r="DK2486" s="145"/>
      <c r="DL2486" s="145"/>
      <c r="DM2486" s="145"/>
      <c r="DN2486" s="145"/>
      <c r="DO2486" s="145"/>
      <c r="DP2486" s="145"/>
      <c r="DQ2486" s="145"/>
      <c r="DR2486" s="145"/>
      <c r="DS2486" s="145"/>
      <c r="DT2486" s="145"/>
      <c r="DU2486" s="145"/>
      <c r="DV2486" s="145"/>
      <c r="DW2486" s="145"/>
      <c r="DX2486" s="145"/>
      <c r="DY2486" s="145"/>
      <c r="DZ2486" s="145"/>
      <c r="EA2486" s="145"/>
      <c r="EB2486" s="145"/>
      <c r="EC2486" s="145"/>
      <c r="ED2486" s="145"/>
      <c r="EE2486" s="145"/>
      <c r="EF2486" s="145"/>
      <c r="EG2486" s="145"/>
      <c r="EH2486" s="145"/>
      <c r="EI2486" s="145"/>
      <c r="EJ2486" s="145"/>
      <c r="EK2486" s="145"/>
      <c r="EL2486" s="145"/>
      <c r="EM2486" s="145"/>
      <c r="EN2486" s="145"/>
      <c r="EO2486" s="145"/>
      <c r="EP2486" s="145"/>
      <c r="EQ2486" s="145"/>
      <c r="ER2486" s="145"/>
      <c r="ES2486" s="145"/>
      <c r="ET2486" s="145"/>
      <c r="EU2486" s="145"/>
      <c r="EV2486" s="145"/>
      <c r="EW2486" s="145"/>
      <c r="EX2486" s="145"/>
      <c r="EY2486" s="145"/>
      <c r="EZ2486" s="145"/>
      <c r="FA2486" s="145"/>
      <c r="FB2486" s="145"/>
      <c r="FC2486" s="145"/>
      <c r="FD2486" s="145"/>
      <c r="FE2486" s="145"/>
      <c r="FF2486" s="145"/>
      <c r="FG2486" s="145"/>
      <c r="FH2486" s="145"/>
      <c r="FI2486" s="145"/>
      <c r="FJ2486" s="145"/>
      <c r="FK2486" s="145"/>
      <c r="FL2486" s="145"/>
      <c r="FM2486" s="145"/>
      <c r="FN2486" s="145"/>
      <c r="FO2486" s="145"/>
      <c r="FP2486" s="145"/>
      <c r="FQ2486" s="145"/>
      <c r="FR2486" s="145"/>
      <c r="FS2486" s="145"/>
      <c r="FT2486" s="145"/>
      <c r="FU2486" s="145"/>
      <c r="FV2486" s="145"/>
      <c r="FW2486" s="145"/>
      <c r="FX2486" s="145"/>
      <c r="FY2486" s="145"/>
      <c r="FZ2486" s="145"/>
      <c r="GA2486" s="145"/>
      <c r="GB2486" s="145"/>
      <c r="GC2486" s="145"/>
      <c r="GD2486" s="145"/>
      <c r="GE2486" s="145"/>
      <c r="GF2486" s="145"/>
      <c r="GG2486" s="145"/>
      <c r="GH2486" s="145"/>
      <c r="GI2486" s="145"/>
      <c r="GJ2486" s="145"/>
      <c r="GK2486" s="145"/>
      <c r="GL2486" s="145"/>
      <c r="GM2486" s="145"/>
      <c r="GN2486" s="145"/>
      <c r="GO2486" s="145"/>
      <c r="GP2486" s="145"/>
      <c r="GQ2486" s="145"/>
      <c r="GR2486" s="145"/>
      <c r="GS2486" s="145"/>
      <c r="GT2486" s="145"/>
      <c r="GU2486" s="145"/>
      <c r="GV2486" s="145"/>
      <c r="GW2486" s="145"/>
      <c r="GX2486" s="145"/>
      <c r="GY2486" s="145"/>
      <c r="GZ2486" s="145"/>
      <c r="HA2486" s="145"/>
      <c r="HB2486" s="145"/>
      <c r="HC2486" s="145"/>
      <c r="HD2486" s="145"/>
      <c r="HE2486" s="145"/>
      <c r="HF2486" s="145"/>
    </row>
    <row r="2487" spans="1:214" x14ac:dyDescent="0.35">
      <c r="A2487" s="277">
        <f>A2485+1</f>
        <v>248</v>
      </c>
      <c r="B2487" s="277">
        <v>2457</v>
      </c>
      <c r="C2487" s="286" t="s">
        <v>590</v>
      </c>
      <c r="D2487" s="287">
        <v>3930</v>
      </c>
      <c r="E2487" s="276" t="s">
        <v>70</v>
      </c>
      <c r="F2487" s="276">
        <v>5</v>
      </c>
      <c r="G2487" s="277" t="s">
        <v>71</v>
      </c>
      <c r="H2487" s="136" t="s">
        <v>72</v>
      </c>
      <c r="I2487" s="181">
        <f>I2488</f>
        <v>472981.9</v>
      </c>
      <c r="J2487" s="181">
        <f>J2488</f>
        <v>120.35</v>
      </c>
      <c r="K2487" s="181">
        <f>K2488</f>
        <v>169</v>
      </c>
      <c r="L2487" s="145"/>
      <c r="M2487" s="145"/>
      <c r="N2487" s="145"/>
      <c r="O2487" s="145"/>
      <c r="P2487" s="145"/>
      <c r="Q2487" s="145"/>
      <c r="R2487" s="145"/>
      <c r="S2487" s="145"/>
      <c r="T2487" s="145"/>
      <c r="U2487" s="145"/>
      <c r="V2487" s="145"/>
      <c r="W2487" s="145"/>
      <c r="X2487" s="145"/>
      <c r="Y2487" s="145"/>
      <c r="Z2487" s="145"/>
      <c r="AA2487" s="145"/>
      <c r="AB2487" s="145"/>
      <c r="AC2487" s="145"/>
      <c r="AD2487" s="145"/>
      <c r="AE2487" s="145"/>
      <c r="AF2487" s="145"/>
      <c r="AG2487" s="145"/>
      <c r="AH2487" s="145"/>
      <c r="AI2487" s="145"/>
      <c r="AJ2487" s="145"/>
      <c r="AK2487" s="145"/>
      <c r="AL2487" s="145"/>
      <c r="AM2487" s="145"/>
      <c r="AN2487" s="145"/>
      <c r="AO2487" s="145"/>
      <c r="AP2487" s="145"/>
      <c r="AQ2487" s="145"/>
      <c r="AR2487" s="145"/>
      <c r="AS2487" s="145"/>
      <c r="AT2487" s="145"/>
      <c r="AU2487" s="145"/>
      <c r="AV2487" s="145"/>
      <c r="AW2487" s="145"/>
      <c r="AX2487" s="145"/>
      <c r="AY2487" s="145"/>
      <c r="AZ2487" s="145"/>
      <c r="BA2487" s="145"/>
      <c r="BB2487" s="145"/>
      <c r="BC2487" s="145"/>
      <c r="BD2487" s="145"/>
      <c r="BE2487" s="145"/>
      <c r="BF2487" s="145"/>
      <c r="BG2487" s="145"/>
      <c r="BH2487" s="145"/>
      <c r="BI2487" s="145"/>
      <c r="BJ2487" s="145"/>
      <c r="BK2487" s="145"/>
      <c r="BL2487" s="145"/>
      <c r="BM2487" s="145"/>
      <c r="BN2487" s="145"/>
      <c r="BO2487" s="145"/>
      <c r="BP2487" s="145"/>
      <c r="BQ2487" s="145"/>
      <c r="BR2487" s="145"/>
      <c r="BS2487" s="145"/>
      <c r="BT2487" s="145"/>
      <c r="BU2487" s="145"/>
      <c r="BV2487" s="145"/>
      <c r="BW2487" s="145"/>
      <c r="BX2487" s="145"/>
      <c r="BY2487" s="145"/>
      <c r="BZ2487" s="145"/>
      <c r="CA2487" s="145"/>
      <c r="CB2487" s="145"/>
      <c r="CC2487" s="145"/>
      <c r="CD2487" s="145"/>
      <c r="CE2487" s="145"/>
      <c r="CF2487" s="145"/>
      <c r="CG2487" s="145"/>
      <c r="CH2487" s="145"/>
      <c r="CI2487" s="145"/>
      <c r="CJ2487" s="145"/>
      <c r="CK2487" s="145"/>
      <c r="CL2487" s="145"/>
      <c r="CM2487" s="145"/>
      <c r="CN2487" s="145"/>
      <c r="CO2487" s="145"/>
      <c r="CP2487" s="145"/>
      <c r="CQ2487" s="145"/>
      <c r="CR2487" s="145"/>
      <c r="CS2487" s="145"/>
      <c r="CT2487" s="145"/>
      <c r="CU2487" s="145"/>
      <c r="CV2487" s="145"/>
      <c r="CW2487" s="145"/>
      <c r="CX2487" s="145"/>
      <c r="CY2487" s="145"/>
      <c r="CZ2487" s="145"/>
      <c r="DA2487" s="145"/>
      <c r="DB2487" s="145"/>
      <c r="DC2487" s="145"/>
      <c r="DD2487" s="145"/>
      <c r="DE2487" s="145"/>
      <c r="DF2487" s="145"/>
      <c r="DG2487" s="145"/>
      <c r="DH2487" s="145"/>
      <c r="DI2487" s="145"/>
      <c r="DJ2487" s="145"/>
      <c r="DK2487" s="145"/>
      <c r="DL2487" s="145"/>
      <c r="DM2487" s="145"/>
      <c r="DN2487" s="145"/>
      <c r="DO2487" s="145"/>
      <c r="DP2487" s="145"/>
      <c r="DQ2487" s="145"/>
      <c r="DR2487" s="145"/>
      <c r="DS2487" s="145"/>
      <c r="DT2487" s="145"/>
      <c r="DU2487" s="145"/>
      <c r="DV2487" s="145"/>
      <c r="DW2487" s="145"/>
      <c r="DX2487" s="145"/>
      <c r="DY2487" s="145"/>
      <c r="DZ2487" s="145"/>
      <c r="EA2487" s="145"/>
      <c r="EB2487" s="145"/>
      <c r="EC2487" s="145"/>
      <c r="ED2487" s="145"/>
      <c r="EE2487" s="145"/>
      <c r="EF2487" s="145"/>
      <c r="EG2487" s="145"/>
      <c r="EH2487" s="145"/>
      <c r="EI2487" s="145"/>
      <c r="EJ2487" s="145"/>
      <c r="EK2487" s="145"/>
      <c r="EL2487" s="145"/>
      <c r="EM2487" s="145"/>
      <c r="EN2487" s="145"/>
      <c r="EO2487" s="145"/>
      <c r="EP2487" s="145"/>
      <c r="EQ2487" s="145"/>
      <c r="ER2487" s="145"/>
      <c r="ES2487" s="145"/>
      <c r="ET2487" s="145"/>
      <c r="EU2487" s="145"/>
      <c r="EV2487" s="145"/>
      <c r="EW2487" s="145"/>
      <c r="EX2487" s="145"/>
      <c r="EY2487" s="145"/>
      <c r="EZ2487" s="145"/>
      <c r="FA2487" s="145"/>
      <c r="FB2487" s="145"/>
      <c r="FC2487" s="145"/>
      <c r="FD2487" s="145"/>
      <c r="FE2487" s="145"/>
      <c r="FF2487" s="145"/>
      <c r="FG2487" s="145"/>
      <c r="FH2487" s="145"/>
      <c r="FI2487" s="145"/>
      <c r="FJ2487" s="145"/>
      <c r="FK2487" s="145"/>
      <c r="FL2487" s="145"/>
      <c r="FM2487" s="145"/>
      <c r="FN2487" s="145"/>
      <c r="FO2487" s="145"/>
      <c r="FP2487" s="145"/>
      <c r="FQ2487" s="145"/>
      <c r="FR2487" s="145"/>
      <c r="FS2487" s="145"/>
      <c r="FT2487" s="145"/>
      <c r="FU2487" s="145"/>
      <c r="FV2487" s="145"/>
      <c r="FW2487" s="145"/>
      <c r="FX2487" s="145"/>
      <c r="FY2487" s="145"/>
      <c r="FZ2487" s="145"/>
      <c r="GA2487" s="145"/>
      <c r="GB2487" s="145"/>
      <c r="GC2487" s="145"/>
      <c r="GD2487" s="145"/>
      <c r="GE2487" s="145"/>
      <c r="GF2487" s="145"/>
      <c r="GG2487" s="145"/>
      <c r="GH2487" s="145"/>
      <c r="GI2487" s="145"/>
      <c r="GJ2487" s="145"/>
      <c r="GK2487" s="145"/>
      <c r="GL2487" s="145"/>
      <c r="GM2487" s="145"/>
      <c r="GN2487" s="145"/>
      <c r="GO2487" s="145"/>
      <c r="GP2487" s="145"/>
      <c r="GQ2487" s="145"/>
      <c r="GR2487" s="145"/>
      <c r="GS2487" s="145"/>
      <c r="GT2487" s="145"/>
      <c r="GU2487" s="145"/>
      <c r="GV2487" s="145"/>
      <c r="GW2487" s="145"/>
      <c r="GX2487" s="145"/>
      <c r="GY2487" s="145"/>
      <c r="GZ2487" s="145"/>
      <c r="HA2487" s="145"/>
      <c r="HB2487" s="145"/>
      <c r="HC2487" s="145"/>
      <c r="HD2487" s="145"/>
      <c r="HE2487" s="145"/>
      <c r="HF2487" s="145"/>
    </row>
    <row r="2488" spans="1:214" ht="46.5" x14ac:dyDescent="0.35">
      <c r="A2488" s="277"/>
      <c r="B2488" s="277"/>
      <c r="C2488" s="286"/>
      <c r="D2488" s="287"/>
      <c r="E2488" s="276"/>
      <c r="F2488" s="276"/>
      <c r="G2488" s="277"/>
      <c r="H2488" s="136" t="s">
        <v>673</v>
      </c>
      <c r="I2488" s="181">
        <f>457061.9+15920</f>
        <v>472981.9</v>
      </c>
      <c r="J2488" s="181">
        <f>I2488/D2487</f>
        <v>120.35</v>
      </c>
      <c r="K2488" s="181">
        <f>151+18</f>
        <v>169</v>
      </c>
      <c r="L2488" s="145"/>
      <c r="M2488" s="145"/>
      <c r="N2488" s="145"/>
      <c r="O2488" s="145"/>
      <c r="P2488" s="145"/>
      <c r="Q2488" s="145"/>
      <c r="R2488" s="145"/>
      <c r="S2488" s="145"/>
      <c r="T2488" s="145"/>
      <c r="U2488" s="145"/>
      <c r="V2488" s="145"/>
      <c r="W2488" s="145"/>
      <c r="X2488" s="145"/>
      <c r="Y2488" s="145"/>
      <c r="Z2488" s="145"/>
      <c r="AA2488" s="145"/>
      <c r="AB2488" s="145"/>
      <c r="AC2488" s="145"/>
      <c r="AD2488" s="145"/>
      <c r="AE2488" s="145"/>
      <c r="AF2488" s="145"/>
      <c r="AG2488" s="145"/>
      <c r="AH2488" s="145"/>
      <c r="AI2488" s="145"/>
      <c r="AJ2488" s="145"/>
      <c r="AK2488" s="145"/>
      <c r="AL2488" s="145"/>
      <c r="AM2488" s="145"/>
      <c r="AN2488" s="145"/>
      <c r="AO2488" s="145"/>
      <c r="AP2488" s="145"/>
      <c r="AQ2488" s="145"/>
      <c r="AR2488" s="145"/>
      <c r="AS2488" s="145"/>
      <c r="AT2488" s="145"/>
      <c r="AU2488" s="145"/>
      <c r="AV2488" s="145"/>
      <c r="AW2488" s="145"/>
      <c r="AX2488" s="145"/>
      <c r="AY2488" s="145"/>
      <c r="AZ2488" s="145"/>
      <c r="BA2488" s="145"/>
      <c r="BB2488" s="145"/>
      <c r="BC2488" s="145"/>
      <c r="BD2488" s="145"/>
      <c r="BE2488" s="145"/>
      <c r="BF2488" s="145"/>
      <c r="BG2488" s="145"/>
      <c r="BH2488" s="145"/>
      <c r="BI2488" s="145"/>
      <c r="BJ2488" s="145"/>
      <c r="BK2488" s="145"/>
      <c r="BL2488" s="145"/>
      <c r="BM2488" s="145"/>
      <c r="BN2488" s="145"/>
      <c r="BO2488" s="145"/>
      <c r="BP2488" s="145"/>
      <c r="BQ2488" s="145"/>
      <c r="BR2488" s="145"/>
      <c r="BS2488" s="145"/>
      <c r="BT2488" s="145"/>
      <c r="BU2488" s="145"/>
      <c r="BV2488" s="145"/>
      <c r="BW2488" s="145"/>
      <c r="BX2488" s="145"/>
      <c r="BY2488" s="145"/>
      <c r="BZ2488" s="145"/>
      <c r="CA2488" s="145"/>
      <c r="CB2488" s="145"/>
      <c r="CC2488" s="145"/>
      <c r="CD2488" s="145"/>
      <c r="CE2488" s="145"/>
      <c r="CF2488" s="145"/>
      <c r="CG2488" s="145"/>
      <c r="CH2488" s="145"/>
      <c r="CI2488" s="145"/>
      <c r="CJ2488" s="145"/>
      <c r="CK2488" s="145"/>
      <c r="CL2488" s="145"/>
      <c r="CM2488" s="145"/>
      <c r="CN2488" s="145"/>
      <c r="CO2488" s="145"/>
      <c r="CP2488" s="145"/>
      <c r="CQ2488" s="145"/>
      <c r="CR2488" s="145"/>
      <c r="CS2488" s="145"/>
      <c r="CT2488" s="145"/>
      <c r="CU2488" s="145"/>
      <c r="CV2488" s="145"/>
      <c r="CW2488" s="145"/>
      <c r="CX2488" s="145"/>
      <c r="CY2488" s="145"/>
      <c r="CZ2488" s="145"/>
      <c r="DA2488" s="145"/>
      <c r="DB2488" s="145"/>
      <c r="DC2488" s="145"/>
      <c r="DD2488" s="145"/>
      <c r="DE2488" s="145"/>
      <c r="DF2488" s="145"/>
      <c r="DG2488" s="145"/>
      <c r="DH2488" s="145"/>
      <c r="DI2488" s="145"/>
      <c r="DJ2488" s="145"/>
      <c r="DK2488" s="145"/>
      <c r="DL2488" s="145"/>
      <c r="DM2488" s="145"/>
      <c r="DN2488" s="145"/>
      <c r="DO2488" s="145"/>
      <c r="DP2488" s="145"/>
      <c r="DQ2488" s="145"/>
      <c r="DR2488" s="145"/>
      <c r="DS2488" s="145"/>
      <c r="DT2488" s="145"/>
      <c r="DU2488" s="145"/>
      <c r="DV2488" s="145"/>
      <c r="DW2488" s="145"/>
      <c r="DX2488" s="145"/>
      <c r="DY2488" s="145"/>
      <c r="DZ2488" s="145"/>
      <c r="EA2488" s="145"/>
      <c r="EB2488" s="145"/>
      <c r="EC2488" s="145"/>
      <c r="ED2488" s="145"/>
      <c r="EE2488" s="145"/>
      <c r="EF2488" s="145"/>
      <c r="EG2488" s="145"/>
      <c r="EH2488" s="145"/>
      <c r="EI2488" s="145"/>
      <c r="EJ2488" s="145"/>
      <c r="EK2488" s="145"/>
      <c r="EL2488" s="145"/>
      <c r="EM2488" s="145"/>
      <c r="EN2488" s="145"/>
      <c r="EO2488" s="145"/>
      <c r="EP2488" s="145"/>
      <c r="EQ2488" s="145"/>
      <c r="ER2488" s="145"/>
      <c r="ES2488" s="145"/>
      <c r="ET2488" s="145"/>
      <c r="EU2488" s="145"/>
      <c r="EV2488" s="145"/>
      <c r="EW2488" s="145"/>
      <c r="EX2488" s="145"/>
      <c r="EY2488" s="145"/>
      <c r="EZ2488" s="145"/>
      <c r="FA2488" s="145"/>
      <c r="FB2488" s="145"/>
      <c r="FC2488" s="145"/>
      <c r="FD2488" s="145"/>
      <c r="FE2488" s="145"/>
      <c r="FF2488" s="145"/>
      <c r="FG2488" s="145"/>
      <c r="FH2488" s="145"/>
      <c r="FI2488" s="145"/>
      <c r="FJ2488" s="145"/>
      <c r="FK2488" s="145"/>
      <c r="FL2488" s="145"/>
      <c r="FM2488" s="145"/>
      <c r="FN2488" s="145"/>
      <c r="FO2488" s="145"/>
      <c r="FP2488" s="145"/>
      <c r="FQ2488" s="145"/>
      <c r="FR2488" s="145"/>
      <c r="FS2488" s="145"/>
      <c r="FT2488" s="145"/>
      <c r="FU2488" s="145"/>
      <c r="FV2488" s="145"/>
      <c r="FW2488" s="145"/>
      <c r="FX2488" s="145"/>
      <c r="FY2488" s="145"/>
      <c r="FZ2488" s="145"/>
      <c r="GA2488" s="145"/>
      <c r="GB2488" s="145"/>
      <c r="GC2488" s="145"/>
      <c r="GD2488" s="145"/>
      <c r="GE2488" s="145"/>
      <c r="GF2488" s="145"/>
      <c r="GG2488" s="145"/>
      <c r="GH2488" s="145"/>
      <c r="GI2488" s="145"/>
      <c r="GJ2488" s="145"/>
      <c r="GK2488" s="145"/>
      <c r="GL2488" s="145"/>
      <c r="GM2488" s="145"/>
      <c r="GN2488" s="145"/>
      <c r="GO2488" s="145"/>
      <c r="GP2488" s="145"/>
      <c r="GQ2488" s="145"/>
      <c r="GR2488" s="145"/>
      <c r="GS2488" s="145"/>
      <c r="GT2488" s="145"/>
      <c r="GU2488" s="145"/>
      <c r="GV2488" s="145"/>
      <c r="GW2488" s="145"/>
      <c r="GX2488" s="145"/>
      <c r="GY2488" s="145"/>
      <c r="GZ2488" s="145"/>
      <c r="HA2488" s="145"/>
      <c r="HB2488" s="145"/>
      <c r="HC2488" s="145"/>
      <c r="HD2488" s="145"/>
      <c r="HE2488" s="145"/>
      <c r="HF2488" s="145"/>
    </row>
    <row r="2489" spans="1:214" x14ac:dyDescent="0.35">
      <c r="A2489" s="277">
        <f>A2487+1</f>
        <v>249</v>
      </c>
      <c r="B2489" s="277">
        <v>2303</v>
      </c>
      <c r="C2489" s="286" t="s">
        <v>591</v>
      </c>
      <c r="D2489" s="287">
        <v>12308.1</v>
      </c>
      <c r="E2489" s="287" t="s">
        <v>70</v>
      </c>
      <c r="F2489" s="304">
        <v>9</v>
      </c>
      <c r="G2489" s="277" t="s">
        <v>71</v>
      </c>
      <c r="H2489" s="136" t="s">
        <v>72</v>
      </c>
      <c r="I2489" s="181">
        <f>I2490</f>
        <v>644092.43999999994</v>
      </c>
      <c r="J2489" s="181">
        <f>J2490</f>
        <v>52.33</v>
      </c>
      <c r="K2489" s="181">
        <f>K2490</f>
        <v>164</v>
      </c>
      <c r="L2489" s="145"/>
      <c r="M2489" s="145"/>
      <c r="N2489" s="145"/>
      <c r="O2489" s="145"/>
      <c r="P2489" s="145"/>
      <c r="Q2489" s="145"/>
      <c r="R2489" s="145"/>
      <c r="S2489" s="145"/>
      <c r="T2489" s="145"/>
      <c r="U2489" s="145"/>
      <c r="V2489" s="145"/>
      <c r="W2489" s="145"/>
      <c r="X2489" s="145"/>
      <c r="Y2489" s="145"/>
      <c r="Z2489" s="145"/>
      <c r="AA2489" s="145"/>
      <c r="AB2489" s="145"/>
      <c r="AC2489" s="145"/>
      <c r="AD2489" s="145"/>
      <c r="AE2489" s="145"/>
      <c r="AF2489" s="145"/>
      <c r="AG2489" s="145"/>
      <c r="AH2489" s="145"/>
      <c r="AI2489" s="145"/>
      <c r="AJ2489" s="145"/>
      <c r="AK2489" s="145"/>
      <c r="AL2489" s="145"/>
      <c r="AM2489" s="145"/>
      <c r="AN2489" s="145"/>
      <c r="AO2489" s="145"/>
      <c r="AP2489" s="145"/>
      <c r="AQ2489" s="145"/>
      <c r="AR2489" s="145"/>
      <c r="AS2489" s="145"/>
      <c r="AT2489" s="145"/>
      <c r="AU2489" s="145"/>
      <c r="AV2489" s="145"/>
      <c r="AW2489" s="145"/>
      <c r="AX2489" s="145"/>
      <c r="AY2489" s="145"/>
      <c r="AZ2489" s="145"/>
      <c r="BA2489" s="145"/>
      <c r="BB2489" s="145"/>
      <c r="BC2489" s="145"/>
      <c r="BD2489" s="145"/>
      <c r="BE2489" s="145"/>
      <c r="BF2489" s="145"/>
      <c r="BG2489" s="145"/>
      <c r="BH2489" s="145"/>
      <c r="BI2489" s="145"/>
      <c r="BJ2489" s="145"/>
      <c r="BK2489" s="145"/>
      <c r="BL2489" s="145"/>
      <c r="BM2489" s="145"/>
      <c r="BN2489" s="145"/>
      <c r="BO2489" s="145"/>
      <c r="BP2489" s="145"/>
      <c r="BQ2489" s="145"/>
      <c r="BR2489" s="145"/>
      <c r="BS2489" s="145"/>
      <c r="BT2489" s="145"/>
      <c r="BU2489" s="145"/>
      <c r="BV2489" s="145"/>
      <c r="BW2489" s="145"/>
      <c r="BX2489" s="145"/>
      <c r="BY2489" s="145"/>
      <c r="BZ2489" s="145"/>
      <c r="CA2489" s="145"/>
      <c r="CB2489" s="145"/>
      <c r="CC2489" s="145"/>
      <c r="CD2489" s="145"/>
      <c r="CE2489" s="145"/>
      <c r="CF2489" s="145"/>
      <c r="CG2489" s="145"/>
      <c r="CH2489" s="145"/>
      <c r="CI2489" s="145"/>
      <c r="CJ2489" s="145"/>
      <c r="CK2489" s="145"/>
      <c r="CL2489" s="145"/>
      <c r="CM2489" s="145"/>
      <c r="CN2489" s="145"/>
      <c r="CO2489" s="145"/>
      <c r="CP2489" s="145"/>
      <c r="CQ2489" s="145"/>
      <c r="CR2489" s="145"/>
      <c r="CS2489" s="145"/>
      <c r="CT2489" s="145"/>
      <c r="CU2489" s="145"/>
      <c r="CV2489" s="145"/>
      <c r="CW2489" s="145"/>
      <c r="CX2489" s="145"/>
      <c r="CY2489" s="145"/>
      <c r="CZ2489" s="145"/>
      <c r="DA2489" s="145"/>
      <c r="DB2489" s="145"/>
      <c r="DC2489" s="145"/>
      <c r="DD2489" s="145"/>
      <c r="DE2489" s="145"/>
      <c r="DF2489" s="145"/>
      <c r="DG2489" s="145"/>
      <c r="DH2489" s="145"/>
      <c r="DI2489" s="145"/>
      <c r="DJ2489" s="145"/>
      <c r="DK2489" s="145"/>
      <c r="DL2489" s="145"/>
      <c r="DM2489" s="145"/>
      <c r="DN2489" s="145"/>
      <c r="DO2489" s="145"/>
      <c r="DP2489" s="145"/>
      <c r="DQ2489" s="145"/>
      <c r="DR2489" s="145"/>
      <c r="DS2489" s="145"/>
      <c r="DT2489" s="145"/>
      <c r="DU2489" s="145"/>
      <c r="DV2489" s="145"/>
      <c r="DW2489" s="145"/>
      <c r="DX2489" s="145"/>
      <c r="DY2489" s="145"/>
      <c r="DZ2489" s="145"/>
      <c r="EA2489" s="145"/>
      <c r="EB2489" s="145"/>
      <c r="EC2489" s="145"/>
      <c r="ED2489" s="145"/>
      <c r="EE2489" s="145"/>
      <c r="EF2489" s="145"/>
      <c r="EG2489" s="145"/>
      <c r="EH2489" s="145"/>
      <c r="EI2489" s="145"/>
      <c r="EJ2489" s="145"/>
      <c r="EK2489" s="145"/>
      <c r="EL2489" s="145"/>
      <c r="EM2489" s="145"/>
      <c r="EN2489" s="145"/>
      <c r="EO2489" s="145"/>
      <c r="EP2489" s="145"/>
      <c r="EQ2489" s="145"/>
      <c r="ER2489" s="145"/>
      <c r="ES2489" s="145"/>
      <c r="ET2489" s="145"/>
      <c r="EU2489" s="145"/>
      <c r="EV2489" s="145"/>
      <c r="EW2489" s="145"/>
      <c r="EX2489" s="145"/>
      <c r="EY2489" s="145"/>
      <c r="EZ2489" s="145"/>
      <c r="FA2489" s="145"/>
      <c r="FB2489" s="145"/>
      <c r="FC2489" s="145"/>
      <c r="FD2489" s="145"/>
      <c r="FE2489" s="145"/>
      <c r="FF2489" s="145"/>
      <c r="FG2489" s="145"/>
      <c r="FH2489" s="145"/>
      <c r="FI2489" s="145"/>
      <c r="FJ2489" s="145"/>
      <c r="FK2489" s="145"/>
      <c r="FL2489" s="145"/>
      <c r="FM2489" s="145"/>
      <c r="FN2489" s="145"/>
      <c r="FO2489" s="145"/>
      <c r="FP2489" s="145"/>
      <c r="FQ2489" s="145"/>
      <c r="FR2489" s="145"/>
      <c r="FS2489" s="145"/>
      <c r="FT2489" s="145"/>
      <c r="FU2489" s="145"/>
      <c r="FV2489" s="145"/>
      <c r="FW2489" s="145"/>
      <c r="FX2489" s="145"/>
      <c r="FY2489" s="145"/>
      <c r="FZ2489" s="145"/>
      <c r="GA2489" s="145"/>
      <c r="GB2489" s="145"/>
      <c r="GC2489" s="145"/>
      <c r="GD2489" s="145"/>
      <c r="GE2489" s="145"/>
      <c r="GF2489" s="145"/>
      <c r="GG2489" s="145"/>
      <c r="GH2489" s="145"/>
      <c r="GI2489" s="145"/>
      <c r="GJ2489" s="145"/>
      <c r="GK2489" s="145"/>
      <c r="GL2489" s="145"/>
      <c r="GM2489" s="145"/>
      <c r="GN2489" s="145"/>
      <c r="GO2489" s="145"/>
      <c r="GP2489" s="145"/>
      <c r="GQ2489" s="145"/>
      <c r="GR2489" s="145"/>
      <c r="GS2489" s="145"/>
      <c r="GT2489" s="145"/>
      <c r="GU2489" s="145"/>
      <c r="GV2489" s="145"/>
      <c r="GW2489" s="145"/>
      <c r="GX2489" s="145"/>
      <c r="GY2489" s="145"/>
      <c r="GZ2489" s="145"/>
      <c r="HA2489" s="145"/>
      <c r="HB2489" s="145"/>
      <c r="HC2489" s="145"/>
      <c r="HD2489" s="145"/>
      <c r="HE2489" s="145"/>
      <c r="HF2489" s="145"/>
    </row>
    <row r="2490" spans="1:214" ht="46.5" x14ac:dyDescent="0.35">
      <c r="A2490" s="277"/>
      <c r="B2490" s="277"/>
      <c r="C2490" s="286"/>
      <c r="D2490" s="287"/>
      <c r="E2490" s="287"/>
      <c r="F2490" s="304"/>
      <c r="G2490" s="277"/>
      <c r="H2490" s="136" t="s">
        <v>673</v>
      </c>
      <c r="I2490" s="181">
        <v>644092.43999999994</v>
      </c>
      <c r="J2490" s="181">
        <f>I2490/D2489</f>
        <v>52.33</v>
      </c>
      <c r="K2490" s="181">
        <f>151+13</f>
        <v>164</v>
      </c>
      <c r="L2490" s="145"/>
      <c r="M2490" s="145"/>
      <c r="N2490" s="145"/>
      <c r="O2490" s="145"/>
      <c r="P2490" s="145"/>
      <c r="Q2490" s="145"/>
      <c r="R2490" s="145"/>
      <c r="S2490" s="145"/>
      <c r="T2490" s="145"/>
      <c r="U2490" s="145"/>
      <c r="V2490" s="145"/>
      <c r="W2490" s="145"/>
      <c r="X2490" s="145"/>
      <c r="Y2490" s="145"/>
      <c r="Z2490" s="145"/>
      <c r="AA2490" s="145"/>
      <c r="AB2490" s="145"/>
      <c r="AC2490" s="145"/>
      <c r="AD2490" s="145"/>
      <c r="AE2490" s="145"/>
      <c r="AF2490" s="145"/>
      <c r="AG2490" s="145"/>
      <c r="AH2490" s="145"/>
      <c r="AI2490" s="145"/>
      <c r="AJ2490" s="145"/>
      <c r="AK2490" s="145"/>
      <c r="AL2490" s="145"/>
      <c r="AM2490" s="145"/>
      <c r="AN2490" s="145"/>
      <c r="AO2490" s="145"/>
      <c r="AP2490" s="145"/>
      <c r="AQ2490" s="145"/>
      <c r="AR2490" s="145"/>
      <c r="AS2490" s="145"/>
      <c r="AT2490" s="145"/>
      <c r="AU2490" s="145"/>
      <c r="AV2490" s="145"/>
      <c r="AW2490" s="145"/>
      <c r="AX2490" s="145"/>
      <c r="AY2490" s="145"/>
      <c r="AZ2490" s="145"/>
      <c r="BA2490" s="145"/>
      <c r="BB2490" s="145"/>
      <c r="BC2490" s="145"/>
      <c r="BD2490" s="145"/>
      <c r="BE2490" s="145"/>
      <c r="BF2490" s="145"/>
      <c r="BG2490" s="145"/>
      <c r="BH2490" s="145"/>
      <c r="BI2490" s="145"/>
      <c r="BJ2490" s="145"/>
      <c r="BK2490" s="145"/>
      <c r="BL2490" s="145"/>
      <c r="BM2490" s="145"/>
      <c r="BN2490" s="145"/>
      <c r="BO2490" s="145"/>
      <c r="BP2490" s="145"/>
      <c r="BQ2490" s="145"/>
      <c r="BR2490" s="145"/>
      <c r="BS2490" s="145"/>
      <c r="BT2490" s="145"/>
      <c r="BU2490" s="145"/>
      <c r="BV2490" s="145"/>
      <c r="BW2490" s="145"/>
      <c r="BX2490" s="145"/>
      <c r="BY2490" s="145"/>
      <c r="BZ2490" s="145"/>
      <c r="CA2490" s="145"/>
      <c r="CB2490" s="145"/>
      <c r="CC2490" s="145"/>
      <c r="CD2490" s="145"/>
      <c r="CE2490" s="145"/>
      <c r="CF2490" s="145"/>
      <c r="CG2490" s="145"/>
      <c r="CH2490" s="145"/>
      <c r="CI2490" s="145"/>
      <c r="CJ2490" s="145"/>
      <c r="CK2490" s="145"/>
      <c r="CL2490" s="145"/>
      <c r="CM2490" s="145"/>
      <c r="CN2490" s="145"/>
      <c r="CO2490" s="145"/>
      <c r="CP2490" s="145"/>
      <c r="CQ2490" s="145"/>
      <c r="CR2490" s="145"/>
      <c r="CS2490" s="145"/>
      <c r="CT2490" s="145"/>
      <c r="CU2490" s="145"/>
      <c r="CV2490" s="145"/>
      <c r="CW2490" s="145"/>
      <c r="CX2490" s="145"/>
      <c r="CY2490" s="145"/>
      <c r="CZ2490" s="145"/>
      <c r="DA2490" s="145"/>
      <c r="DB2490" s="145"/>
      <c r="DC2490" s="145"/>
      <c r="DD2490" s="145"/>
      <c r="DE2490" s="145"/>
      <c r="DF2490" s="145"/>
      <c r="DG2490" s="145"/>
      <c r="DH2490" s="145"/>
      <c r="DI2490" s="145"/>
      <c r="DJ2490" s="145"/>
      <c r="DK2490" s="145"/>
      <c r="DL2490" s="145"/>
      <c r="DM2490" s="145"/>
      <c r="DN2490" s="145"/>
      <c r="DO2490" s="145"/>
      <c r="DP2490" s="145"/>
      <c r="DQ2490" s="145"/>
      <c r="DR2490" s="145"/>
      <c r="DS2490" s="145"/>
      <c r="DT2490" s="145"/>
      <c r="DU2490" s="145"/>
      <c r="DV2490" s="145"/>
      <c r="DW2490" s="145"/>
      <c r="DX2490" s="145"/>
      <c r="DY2490" s="145"/>
      <c r="DZ2490" s="145"/>
      <c r="EA2490" s="145"/>
      <c r="EB2490" s="145"/>
      <c r="EC2490" s="145"/>
      <c r="ED2490" s="145"/>
      <c r="EE2490" s="145"/>
      <c r="EF2490" s="145"/>
      <c r="EG2490" s="145"/>
      <c r="EH2490" s="145"/>
      <c r="EI2490" s="145"/>
      <c r="EJ2490" s="145"/>
      <c r="EK2490" s="145"/>
      <c r="EL2490" s="145"/>
      <c r="EM2490" s="145"/>
      <c r="EN2490" s="145"/>
      <c r="EO2490" s="145"/>
      <c r="EP2490" s="145"/>
      <c r="EQ2490" s="145"/>
      <c r="ER2490" s="145"/>
      <c r="ES2490" s="145"/>
      <c r="ET2490" s="145"/>
      <c r="EU2490" s="145"/>
      <c r="EV2490" s="145"/>
      <c r="EW2490" s="145"/>
      <c r="EX2490" s="145"/>
      <c r="EY2490" s="145"/>
      <c r="EZ2490" s="145"/>
      <c r="FA2490" s="145"/>
      <c r="FB2490" s="145"/>
      <c r="FC2490" s="145"/>
      <c r="FD2490" s="145"/>
      <c r="FE2490" s="145"/>
      <c r="FF2490" s="145"/>
      <c r="FG2490" s="145"/>
      <c r="FH2490" s="145"/>
      <c r="FI2490" s="145"/>
      <c r="FJ2490" s="145"/>
      <c r="FK2490" s="145"/>
      <c r="FL2490" s="145"/>
      <c r="FM2490" s="145"/>
      <c r="FN2490" s="145"/>
      <c r="FO2490" s="145"/>
      <c r="FP2490" s="145"/>
      <c r="FQ2490" s="145"/>
      <c r="FR2490" s="145"/>
      <c r="FS2490" s="145"/>
      <c r="FT2490" s="145"/>
      <c r="FU2490" s="145"/>
      <c r="FV2490" s="145"/>
      <c r="FW2490" s="145"/>
      <c r="FX2490" s="145"/>
      <c r="FY2490" s="145"/>
      <c r="FZ2490" s="145"/>
      <c r="GA2490" s="145"/>
      <c r="GB2490" s="145"/>
      <c r="GC2490" s="145"/>
      <c r="GD2490" s="145"/>
      <c r="GE2490" s="145"/>
      <c r="GF2490" s="145"/>
      <c r="GG2490" s="145"/>
      <c r="GH2490" s="145"/>
      <c r="GI2490" s="145"/>
      <c r="GJ2490" s="145"/>
      <c r="GK2490" s="145"/>
      <c r="GL2490" s="145"/>
      <c r="GM2490" s="145"/>
      <c r="GN2490" s="145"/>
      <c r="GO2490" s="145"/>
      <c r="GP2490" s="145"/>
      <c r="GQ2490" s="145"/>
      <c r="GR2490" s="145"/>
      <c r="GS2490" s="145"/>
      <c r="GT2490" s="145"/>
      <c r="GU2490" s="145"/>
      <c r="GV2490" s="145"/>
      <c r="GW2490" s="145"/>
      <c r="GX2490" s="145"/>
      <c r="GY2490" s="145"/>
      <c r="GZ2490" s="145"/>
      <c r="HA2490" s="145"/>
      <c r="HB2490" s="145"/>
      <c r="HC2490" s="145"/>
      <c r="HD2490" s="145"/>
      <c r="HE2490" s="145"/>
      <c r="HF2490" s="145"/>
    </row>
    <row r="2491" spans="1:214" x14ac:dyDescent="0.35">
      <c r="A2491" s="277">
        <f>A2489+1</f>
        <v>250</v>
      </c>
      <c r="B2491" s="277">
        <v>2307</v>
      </c>
      <c r="C2491" s="286" t="s">
        <v>423</v>
      </c>
      <c r="D2491" s="287">
        <v>2904.2</v>
      </c>
      <c r="E2491" s="276" t="s">
        <v>70</v>
      </c>
      <c r="F2491" s="276">
        <v>5</v>
      </c>
      <c r="G2491" s="277" t="s">
        <v>71</v>
      </c>
      <c r="H2491" s="136" t="s">
        <v>72</v>
      </c>
      <c r="I2491" s="181">
        <f>I2492+I2493</f>
        <v>5805800.7400000002</v>
      </c>
      <c r="J2491" s="181">
        <f>J2492+J2493</f>
        <v>1999.1</v>
      </c>
      <c r="K2491" s="181">
        <f>K2492+K2493</f>
        <v>3242</v>
      </c>
      <c r="L2491" s="145"/>
      <c r="M2491" s="145"/>
      <c r="N2491" s="145"/>
      <c r="O2491" s="145"/>
      <c r="P2491" s="145"/>
      <c r="Q2491" s="145"/>
      <c r="R2491" s="145"/>
      <c r="S2491" s="145"/>
      <c r="T2491" s="145"/>
      <c r="U2491" s="145"/>
      <c r="V2491" s="145"/>
      <c r="W2491" s="145"/>
      <c r="X2491" s="145"/>
      <c r="Y2491" s="145"/>
      <c r="Z2491" s="145"/>
      <c r="AA2491" s="145"/>
      <c r="AB2491" s="145"/>
      <c r="AC2491" s="145"/>
      <c r="AD2491" s="145"/>
      <c r="AE2491" s="145"/>
      <c r="AF2491" s="145"/>
      <c r="AG2491" s="145"/>
      <c r="AH2491" s="145"/>
      <c r="AI2491" s="145"/>
      <c r="AJ2491" s="145"/>
      <c r="AK2491" s="145"/>
      <c r="AL2491" s="145"/>
      <c r="AM2491" s="145"/>
      <c r="AN2491" s="145"/>
      <c r="AO2491" s="145"/>
      <c r="AP2491" s="145"/>
      <c r="AQ2491" s="145"/>
      <c r="AR2491" s="145"/>
      <c r="AS2491" s="145"/>
      <c r="AT2491" s="145"/>
      <c r="AU2491" s="145"/>
      <c r="AV2491" s="145"/>
      <c r="AW2491" s="145"/>
      <c r="AX2491" s="145"/>
      <c r="AY2491" s="145"/>
      <c r="AZ2491" s="145"/>
      <c r="BA2491" s="145"/>
      <c r="BB2491" s="145"/>
      <c r="BC2491" s="145"/>
      <c r="BD2491" s="145"/>
      <c r="BE2491" s="145"/>
      <c r="BF2491" s="145"/>
      <c r="BG2491" s="145"/>
      <c r="BH2491" s="145"/>
      <c r="BI2491" s="145"/>
      <c r="BJ2491" s="145"/>
      <c r="BK2491" s="145"/>
      <c r="BL2491" s="145"/>
      <c r="BM2491" s="145"/>
      <c r="BN2491" s="145"/>
      <c r="BO2491" s="145"/>
      <c r="BP2491" s="145"/>
      <c r="BQ2491" s="145"/>
      <c r="BR2491" s="145"/>
      <c r="BS2491" s="145"/>
      <c r="BT2491" s="145"/>
      <c r="BU2491" s="145"/>
      <c r="BV2491" s="145"/>
      <c r="BW2491" s="145"/>
      <c r="BX2491" s="145"/>
      <c r="BY2491" s="145"/>
      <c r="BZ2491" s="145"/>
      <c r="CA2491" s="145"/>
      <c r="CB2491" s="145"/>
      <c r="CC2491" s="145"/>
      <c r="CD2491" s="145"/>
      <c r="CE2491" s="145"/>
      <c r="CF2491" s="145"/>
      <c r="CG2491" s="145"/>
      <c r="CH2491" s="145"/>
      <c r="CI2491" s="145"/>
      <c r="CJ2491" s="145"/>
      <c r="CK2491" s="145"/>
      <c r="CL2491" s="145"/>
      <c r="CM2491" s="145"/>
      <c r="CN2491" s="145"/>
      <c r="CO2491" s="145"/>
      <c r="CP2491" s="145"/>
      <c r="CQ2491" s="145"/>
      <c r="CR2491" s="145"/>
      <c r="CS2491" s="145"/>
      <c r="CT2491" s="145"/>
      <c r="CU2491" s="145"/>
      <c r="CV2491" s="145"/>
      <c r="CW2491" s="145"/>
      <c r="CX2491" s="145"/>
      <c r="CY2491" s="145"/>
      <c r="CZ2491" s="145"/>
      <c r="DA2491" s="145"/>
      <c r="DB2491" s="145"/>
      <c r="DC2491" s="145"/>
      <c r="DD2491" s="145"/>
      <c r="DE2491" s="145"/>
      <c r="DF2491" s="145"/>
      <c r="DG2491" s="145"/>
      <c r="DH2491" s="145"/>
      <c r="DI2491" s="145"/>
      <c r="DJ2491" s="145"/>
      <c r="DK2491" s="145"/>
      <c r="DL2491" s="145"/>
      <c r="DM2491" s="145"/>
      <c r="DN2491" s="145"/>
      <c r="DO2491" s="145"/>
      <c r="DP2491" s="145"/>
      <c r="DQ2491" s="145"/>
      <c r="DR2491" s="145"/>
      <c r="DS2491" s="145"/>
      <c r="DT2491" s="145"/>
      <c r="DU2491" s="145"/>
      <c r="DV2491" s="145"/>
      <c r="DW2491" s="145"/>
      <c r="DX2491" s="145"/>
      <c r="DY2491" s="145"/>
      <c r="DZ2491" s="145"/>
      <c r="EA2491" s="145"/>
      <c r="EB2491" s="145"/>
      <c r="EC2491" s="145"/>
      <c r="ED2491" s="145"/>
      <c r="EE2491" s="145"/>
      <c r="EF2491" s="145"/>
      <c r="EG2491" s="145"/>
      <c r="EH2491" s="145"/>
      <c r="EI2491" s="145"/>
      <c r="EJ2491" s="145"/>
      <c r="EK2491" s="145"/>
      <c r="EL2491" s="145"/>
      <c r="EM2491" s="145"/>
      <c r="EN2491" s="145"/>
      <c r="EO2491" s="145"/>
      <c r="EP2491" s="145"/>
      <c r="EQ2491" s="145"/>
      <c r="ER2491" s="145"/>
      <c r="ES2491" s="145"/>
      <c r="ET2491" s="145"/>
      <c r="EU2491" s="145"/>
      <c r="EV2491" s="145"/>
      <c r="EW2491" s="145"/>
      <c r="EX2491" s="145"/>
      <c r="EY2491" s="145"/>
      <c r="EZ2491" s="145"/>
      <c r="FA2491" s="145"/>
      <c r="FB2491" s="145"/>
      <c r="FC2491" s="145"/>
      <c r="FD2491" s="145"/>
      <c r="FE2491" s="145"/>
      <c r="FF2491" s="145"/>
      <c r="FG2491" s="145"/>
      <c r="FH2491" s="145"/>
      <c r="FI2491" s="145"/>
      <c r="FJ2491" s="145"/>
      <c r="FK2491" s="145"/>
      <c r="FL2491" s="145"/>
      <c r="FM2491" s="145"/>
      <c r="FN2491" s="145"/>
      <c r="FO2491" s="145"/>
      <c r="FP2491" s="145"/>
      <c r="FQ2491" s="145"/>
      <c r="FR2491" s="145"/>
      <c r="FS2491" s="145"/>
      <c r="FT2491" s="145"/>
      <c r="FU2491" s="145"/>
      <c r="FV2491" s="145"/>
      <c r="FW2491" s="145"/>
      <c r="FX2491" s="145"/>
      <c r="FY2491" s="145"/>
      <c r="FZ2491" s="145"/>
      <c r="GA2491" s="145"/>
      <c r="GB2491" s="145"/>
      <c r="GC2491" s="145"/>
      <c r="GD2491" s="145"/>
      <c r="GE2491" s="145"/>
      <c r="GF2491" s="145"/>
      <c r="GG2491" s="145"/>
      <c r="GH2491" s="145"/>
      <c r="GI2491" s="145"/>
      <c r="GJ2491" s="145"/>
      <c r="GK2491" s="145"/>
      <c r="GL2491" s="145"/>
      <c r="GM2491" s="145"/>
      <c r="GN2491" s="145"/>
      <c r="GO2491" s="145"/>
      <c r="GP2491" s="145"/>
      <c r="GQ2491" s="145"/>
      <c r="GR2491" s="145"/>
      <c r="GS2491" s="145"/>
      <c r="GT2491" s="145"/>
      <c r="GU2491" s="145"/>
      <c r="GV2491" s="145"/>
      <c r="GW2491" s="145"/>
      <c r="GX2491" s="145"/>
      <c r="GY2491" s="145"/>
      <c r="GZ2491" s="145"/>
      <c r="HA2491" s="145"/>
      <c r="HB2491" s="145"/>
      <c r="HC2491" s="145"/>
      <c r="HD2491" s="145"/>
      <c r="HE2491" s="145"/>
      <c r="HF2491" s="145"/>
    </row>
    <row r="2492" spans="1:214" x14ac:dyDescent="0.35">
      <c r="A2492" s="277">
        <v>77</v>
      </c>
      <c r="B2492" s="277"/>
      <c r="C2492" s="286"/>
      <c r="D2492" s="287"/>
      <c r="E2492" s="276"/>
      <c r="F2492" s="276"/>
      <c r="G2492" s="277"/>
      <c r="H2492" s="136" t="s">
        <v>73</v>
      </c>
      <c r="I2492" s="181">
        <f>8050442.4*0.7</f>
        <v>5635309.6799999997</v>
      </c>
      <c r="J2492" s="181">
        <f>I2492/D2491</f>
        <v>1940.4</v>
      </c>
      <c r="K2492" s="181">
        <f>3174</f>
        <v>3174</v>
      </c>
      <c r="L2492" s="145"/>
      <c r="M2492" s="145"/>
      <c r="N2492" s="145"/>
      <c r="O2492" s="145"/>
      <c r="P2492" s="145"/>
      <c r="Q2492" s="145"/>
      <c r="R2492" s="145"/>
      <c r="S2492" s="145"/>
      <c r="T2492" s="145"/>
      <c r="U2492" s="145"/>
      <c r="V2492" s="145"/>
      <c r="W2492" s="145"/>
      <c r="X2492" s="145"/>
      <c r="Y2492" s="145"/>
      <c r="Z2492" s="145"/>
      <c r="AA2492" s="145"/>
      <c r="AB2492" s="145"/>
      <c r="AC2492" s="145"/>
      <c r="AD2492" s="145"/>
      <c r="AE2492" s="145"/>
      <c r="AF2492" s="145"/>
      <c r="AG2492" s="145"/>
      <c r="AH2492" s="145"/>
      <c r="AI2492" s="145"/>
      <c r="AJ2492" s="145"/>
      <c r="AK2492" s="145"/>
      <c r="AL2492" s="145"/>
      <c r="AM2492" s="145"/>
      <c r="AN2492" s="145"/>
      <c r="AO2492" s="145"/>
      <c r="AP2492" s="145"/>
      <c r="AQ2492" s="145"/>
      <c r="AR2492" s="145"/>
      <c r="AS2492" s="145"/>
      <c r="AT2492" s="145"/>
      <c r="AU2492" s="145"/>
      <c r="AV2492" s="145"/>
      <c r="AW2492" s="145"/>
      <c r="AX2492" s="145"/>
      <c r="AY2492" s="145"/>
      <c r="AZ2492" s="145"/>
      <c r="BA2492" s="145"/>
      <c r="BB2492" s="145"/>
      <c r="BC2492" s="145"/>
      <c r="BD2492" s="145"/>
      <c r="BE2492" s="145"/>
      <c r="BF2492" s="145"/>
      <c r="BG2492" s="145"/>
      <c r="BH2492" s="145"/>
      <c r="BI2492" s="145"/>
      <c r="BJ2492" s="145"/>
      <c r="BK2492" s="145"/>
      <c r="BL2492" s="145"/>
      <c r="BM2492" s="145"/>
      <c r="BN2492" s="145"/>
      <c r="BO2492" s="145"/>
      <c r="BP2492" s="145"/>
      <c r="BQ2492" s="145"/>
      <c r="BR2492" s="145"/>
      <c r="BS2492" s="145"/>
      <c r="BT2492" s="145"/>
      <c r="BU2492" s="145"/>
      <c r="BV2492" s="145"/>
      <c r="BW2492" s="145"/>
      <c r="BX2492" s="145"/>
      <c r="BY2492" s="145"/>
      <c r="BZ2492" s="145"/>
      <c r="CA2492" s="145"/>
      <c r="CB2492" s="145"/>
      <c r="CC2492" s="145"/>
      <c r="CD2492" s="145"/>
      <c r="CE2492" s="145"/>
      <c r="CF2492" s="145"/>
      <c r="CG2492" s="145"/>
      <c r="CH2492" s="145"/>
      <c r="CI2492" s="145"/>
      <c r="CJ2492" s="145"/>
      <c r="CK2492" s="145"/>
      <c r="CL2492" s="145"/>
      <c r="CM2492" s="145"/>
      <c r="CN2492" s="145"/>
      <c r="CO2492" s="145"/>
      <c r="CP2492" s="145"/>
      <c r="CQ2492" s="145"/>
      <c r="CR2492" s="145"/>
      <c r="CS2492" s="145"/>
      <c r="CT2492" s="145"/>
      <c r="CU2492" s="145"/>
      <c r="CV2492" s="145"/>
      <c r="CW2492" s="145"/>
      <c r="CX2492" s="145"/>
      <c r="CY2492" s="145"/>
      <c r="CZ2492" s="145"/>
      <c r="DA2492" s="145"/>
      <c r="DB2492" s="145"/>
      <c r="DC2492" s="145"/>
      <c r="DD2492" s="145"/>
      <c r="DE2492" s="145"/>
      <c r="DF2492" s="145"/>
      <c r="DG2492" s="145"/>
      <c r="DH2492" s="145"/>
      <c r="DI2492" s="145"/>
      <c r="DJ2492" s="145"/>
      <c r="DK2492" s="145"/>
      <c r="DL2492" s="145"/>
      <c r="DM2492" s="145"/>
      <c r="DN2492" s="145"/>
      <c r="DO2492" s="145"/>
      <c r="DP2492" s="145"/>
      <c r="DQ2492" s="145"/>
      <c r="DR2492" s="145"/>
      <c r="DS2492" s="145"/>
      <c r="DT2492" s="145"/>
      <c r="DU2492" s="145"/>
      <c r="DV2492" s="145"/>
      <c r="DW2492" s="145"/>
      <c r="DX2492" s="145"/>
      <c r="DY2492" s="145"/>
      <c r="DZ2492" s="145"/>
      <c r="EA2492" s="145"/>
      <c r="EB2492" s="145"/>
      <c r="EC2492" s="145"/>
      <c r="ED2492" s="145"/>
      <c r="EE2492" s="145"/>
      <c r="EF2492" s="145"/>
      <c r="EG2492" s="145"/>
      <c r="EH2492" s="145"/>
      <c r="EI2492" s="145"/>
      <c r="EJ2492" s="145"/>
      <c r="EK2492" s="145"/>
      <c r="EL2492" s="145"/>
      <c r="EM2492" s="145"/>
      <c r="EN2492" s="145"/>
      <c r="EO2492" s="145"/>
      <c r="EP2492" s="145"/>
      <c r="EQ2492" s="145"/>
      <c r="ER2492" s="145"/>
      <c r="ES2492" s="145"/>
      <c r="ET2492" s="145"/>
      <c r="EU2492" s="145"/>
      <c r="EV2492" s="145"/>
      <c r="EW2492" s="145"/>
      <c r="EX2492" s="145"/>
      <c r="EY2492" s="145"/>
      <c r="EZ2492" s="145"/>
      <c r="FA2492" s="145"/>
      <c r="FB2492" s="145"/>
      <c r="FC2492" s="145"/>
      <c r="FD2492" s="145"/>
      <c r="FE2492" s="145"/>
      <c r="FF2492" s="145"/>
      <c r="FG2492" s="145"/>
      <c r="FH2492" s="145"/>
      <c r="FI2492" s="145"/>
      <c r="FJ2492" s="145"/>
      <c r="FK2492" s="145"/>
      <c r="FL2492" s="145"/>
      <c r="FM2492" s="145"/>
      <c r="FN2492" s="145"/>
      <c r="FO2492" s="145"/>
      <c r="FP2492" s="145"/>
      <c r="FQ2492" s="145"/>
      <c r="FR2492" s="145"/>
      <c r="FS2492" s="145"/>
      <c r="FT2492" s="145"/>
      <c r="FU2492" s="145"/>
      <c r="FV2492" s="145"/>
      <c r="FW2492" s="145"/>
      <c r="FX2492" s="145"/>
      <c r="FY2492" s="145"/>
      <c r="FZ2492" s="145"/>
      <c r="GA2492" s="145"/>
      <c r="GB2492" s="145"/>
      <c r="GC2492" s="145"/>
      <c r="GD2492" s="145"/>
      <c r="GE2492" s="145"/>
      <c r="GF2492" s="145"/>
      <c r="GG2492" s="145"/>
      <c r="GH2492" s="145"/>
      <c r="GI2492" s="145"/>
      <c r="GJ2492" s="145"/>
      <c r="GK2492" s="145"/>
      <c r="GL2492" s="145"/>
      <c r="GM2492" s="145"/>
      <c r="GN2492" s="145"/>
      <c r="GO2492" s="145"/>
      <c r="GP2492" s="145"/>
      <c r="GQ2492" s="145"/>
      <c r="GR2492" s="145"/>
      <c r="GS2492" s="145"/>
      <c r="GT2492" s="145"/>
      <c r="GU2492" s="145"/>
      <c r="GV2492" s="145"/>
      <c r="GW2492" s="145"/>
      <c r="GX2492" s="145"/>
      <c r="GY2492" s="145"/>
      <c r="GZ2492" s="145"/>
      <c r="HA2492" s="145"/>
      <c r="HB2492" s="145"/>
      <c r="HC2492" s="145"/>
      <c r="HD2492" s="145"/>
      <c r="HE2492" s="145"/>
      <c r="HF2492" s="145"/>
    </row>
    <row r="2493" spans="1:214" x14ac:dyDescent="0.35">
      <c r="A2493" s="277">
        <v>78</v>
      </c>
      <c r="B2493" s="277"/>
      <c r="C2493" s="286"/>
      <c r="D2493" s="287"/>
      <c r="E2493" s="276"/>
      <c r="F2493" s="276"/>
      <c r="G2493" s="277"/>
      <c r="H2493" s="136" t="s">
        <v>75</v>
      </c>
      <c r="I2493" s="181">
        <v>170491.06</v>
      </c>
      <c r="J2493" s="181">
        <f>I2493/D2491</f>
        <v>58.7</v>
      </c>
      <c r="K2493" s="181">
        <v>68</v>
      </c>
      <c r="L2493" s="145"/>
      <c r="M2493" s="145"/>
      <c r="N2493" s="145"/>
      <c r="O2493" s="145"/>
      <c r="P2493" s="145"/>
      <c r="Q2493" s="145"/>
      <c r="R2493" s="145"/>
      <c r="S2493" s="145"/>
      <c r="T2493" s="145"/>
      <c r="U2493" s="145"/>
      <c r="V2493" s="145"/>
      <c r="W2493" s="145"/>
      <c r="X2493" s="145"/>
      <c r="Y2493" s="145"/>
      <c r="Z2493" s="145"/>
      <c r="AA2493" s="145"/>
      <c r="AB2493" s="145"/>
      <c r="AC2493" s="145"/>
      <c r="AD2493" s="145"/>
      <c r="AE2493" s="145"/>
      <c r="AF2493" s="145"/>
      <c r="AG2493" s="145"/>
      <c r="AH2493" s="145"/>
      <c r="AI2493" s="145"/>
      <c r="AJ2493" s="145"/>
      <c r="AK2493" s="145"/>
      <c r="AL2493" s="145"/>
      <c r="AM2493" s="145"/>
      <c r="AN2493" s="145"/>
      <c r="AO2493" s="145"/>
      <c r="AP2493" s="145"/>
      <c r="AQ2493" s="145"/>
      <c r="AR2493" s="145"/>
      <c r="AS2493" s="145"/>
      <c r="AT2493" s="145"/>
      <c r="AU2493" s="145"/>
      <c r="AV2493" s="145"/>
      <c r="AW2493" s="145"/>
      <c r="AX2493" s="145"/>
      <c r="AY2493" s="145"/>
      <c r="AZ2493" s="145"/>
      <c r="BA2493" s="145"/>
      <c r="BB2493" s="145"/>
      <c r="BC2493" s="145"/>
      <c r="BD2493" s="145"/>
      <c r="BE2493" s="145"/>
      <c r="BF2493" s="145"/>
      <c r="BG2493" s="145"/>
      <c r="BH2493" s="145"/>
      <c r="BI2493" s="145"/>
      <c r="BJ2493" s="145"/>
      <c r="BK2493" s="145"/>
      <c r="BL2493" s="145"/>
      <c r="BM2493" s="145"/>
      <c r="BN2493" s="145"/>
      <c r="BO2493" s="145"/>
      <c r="BP2493" s="145"/>
      <c r="BQ2493" s="145"/>
      <c r="BR2493" s="145"/>
      <c r="BS2493" s="145"/>
      <c r="BT2493" s="145"/>
      <c r="BU2493" s="145"/>
      <c r="BV2493" s="145"/>
      <c r="BW2493" s="145"/>
      <c r="BX2493" s="145"/>
      <c r="BY2493" s="145"/>
      <c r="BZ2493" s="145"/>
      <c r="CA2493" s="145"/>
      <c r="CB2493" s="145"/>
      <c r="CC2493" s="145"/>
      <c r="CD2493" s="145"/>
      <c r="CE2493" s="145"/>
      <c r="CF2493" s="145"/>
      <c r="CG2493" s="145"/>
      <c r="CH2493" s="145"/>
      <c r="CI2493" s="145"/>
      <c r="CJ2493" s="145"/>
      <c r="CK2493" s="145"/>
      <c r="CL2493" s="145"/>
      <c r="CM2493" s="145"/>
      <c r="CN2493" s="145"/>
      <c r="CO2493" s="145"/>
      <c r="CP2493" s="145"/>
      <c r="CQ2493" s="145"/>
      <c r="CR2493" s="145"/>
      <c r="CS2493" s="145"/>
      <c r="CT2493" s="145"/>
      <c r="CU2493" s="145"/>
      <c r="CV2493" s="145"/>
      <c r="CW2493" s="145"/>
      <c r="CX2493" s="145"/>
      <c r="CY2493" s="145"/>
      <c r="CZ2493" s="145"/>
      <c r="DA2493" s="145"/>
      <c r="DB2493" s="145"/>
      <c r="DC2493" s="145"/>
      <c r="DD2493" s="145"/>
      <c r="DE2493" s="145"/>
      <c r="DF2493" s="145"/>
      <c r="DG2493" s="145"/>
      <c r="DH2493" s="145"/>
      <c r="DI2493" s="145"/>
      <c r="DJ2493" s="145"/>
      <c r="DK2493" s="145"/>
      <c r="DL2493" s="145"/>
      <c r="DM2493" s="145"/>
      <c r="DN2493" s="145"/>
      <c r="DO2493" s="145"/>
      <c r="DP2493" s="145"/>
      <c r="DQ2493" s="145"/>
      <c r="DR2493" s="145"/>
      <c r="DS2493" s="145"/>
      <c r="DT2493" s="145"/>
      <c r="DU2493" s="145"/>
      <c r="DV2493" s="145"/>
      <c r="DW2493" s="145"/>
      <c r="DX2493" s="145"/>
      <c r="DY2493" s="145"/>
      <c r="DZ2493" s="145"/>
      <c r="EA2493" s="145"/>
      <c r="EB2493" s="145"/>
      <c r="EC2493" s="145"/>
      <c r="ED2493" s="145"/>
      <c r="EE2493" s="145"/>
      <c r="EF2493" s="145"/>
      <c r="EG2493" s="145"/>
      <c r="EH2493" s="145"/>
      <c r="EI2493" s="145"/>
      <c r="EJ2493" s="145"/>
      <c r="EK2493" s="145"/>
      <c r="EL2493" s="145"/>
      <c r="EM2493" s="145"/>
      <c r="EN2493" s="145"/>
      <c r="EO2493" s="145"/>
      <c r="EP2493" s="145"/>
      <c r="EQ2493" s="145"/>
      <c r="ER2493" s="145"/>
      <c r="ES2493" s="145"/>
      <c r="ET2493" s="145"/>
      <c r="EU2493" s="145"/>
      <c r="EV2493" s="145"/>
      <c r="EW2493" s="145"/>
      <c r="EX2493" s="145"/>
      <c r="EY2493" s="145"/>
      <c r="EZ2493" s="145"/>
      <c r="FA2493" s="145"/>
      <c r="FB2493" s="145"/>
      <c r="FC2493" s="145"/>
      <c r="FD2493" s="145"/>
      <c r="FE2493" s="145"/>
      <c r="FF2493" s="145"/>
      <c r="FG2493" s="145"/>
      <c r="FH2493" s="145"/>
      <c r="FI2493" s="145"/>
      <c r="FJ2493" s="145"/>
      <c r="FK2493" s="145"/>
      <c r="FL2493" s="145"/>
      <c r="FM2493" s="145"/>
      <c r="FN2493" s="145"/>
      <c r="FO2493" s="145"/>
      <c r="FP2493" s="145"/>
      <c r="FQ2493" s="145"/>
      <c r="FR2493" s="145"/>
      <c r="FS2493" s="145"/>
      <c r="FT2493" s="145"/>
      <c r="FU2493" s="145"/>
      <c r="FV2493" s="145"/>
      <c r="FW2493" s="145"/>
      <c r="FX2493" s="145"/>
      <c r="FY2493" s="145"/>
      <c r="FZ2493" s="145"/>
      <c r="GA2493" s="145"/>
      <c r="GB2493" s="145"/>
      <c r="GC2493" s="145"/>
      <c r="GD2493" s="145"/>
      <c r="GE2493" s="145"/>
      <c r="GF2493" s="145"/>
      <c r="GG2493" s="145"/>
      <c r="GH2493" s="145"/>
      <c r="GI2493" s="145"/>
      <c r="GJ2493" s="145"/>
      <c r="GK2493" s="145"/>
      <c r="GL2493" s="145"/>
      <c r="GM2493" s="145"/>
      <c r="GN2493" s="145"/>
      <c r="GO2493" s="145"/>
      <c r="GP2493" s="145"/>
      <c r="GQ2493" s="145"/>
      <c r="GR2493" s="145"/>
      <c r="GS2493" s="145"/>
      <c r="GT2493" s="145"/>
      <c r="GU2493" s="145"/>
      <c r="GV2493" s="145"/>
      <c r="GW2493" s="145"/>
      <c r="GX2493" s="145"/>
      <c r="GY2493" s="145"/>
      <c r="GZ2493" s="145"/>
      <c r="HA2493" s="145"/>
      <c r="HB2493" s="145"/>
      <c r="HC2493" s="145"/>
      <c r="HD2493" s="145"/>
      <c r="HE2493" s="145"/>
      <c r="HF2493" s="145"/>
    </row>
    <row r="2494" spans="1:214" x14ac:dyDescent="0.35">
      <c r="A2494" s="277">
        <f>A2491+1</f>
        <v>251</v>
      </c>
      <c r="B2494" s="277">
        <v>2315</v>
      </c>
      <c r="C2494" s="286" t="s">
        <v>149</v>
      </c>
      <c r="D2494" s="287">
        <v>669.5</v>
      </c>
      <c r="E2494" s="276" t="s">
        <v>79</v>
      </c>
      <c r="F2494" s="276">
        <v>2</v>
      </c>
      <c r="G2494" s="277" t="s">
        <v>71</v>
      </c>
      <c r="H2494" s="136" t="s">
        <v>72</v>
      </c>
      <c r="I2494" s="181">
        <f>I2495</f>
        <v>90030.79</v>
      </c>
      <c r="J2494" s="181">
        <f>J2495</f>
        <v>134.47</v>
      </c>
      <c r="K2494" s="181">
        <f>K2495</f>
        <v>260</v>
      </c>
      <c r="L2494" s="145"/>
      <c r="M2494" s="145"/>
      <c r="N2494" s="145"/>
      <c r="O2494" s="145"/>
      <c r="P2494" s="145"/>
      <c r="Q2494" s="145"/>
      <c r="R2494" s="145"/>
      <c r="S2494" s="145"/>
      <c r="T2494" s="145"/>
      <c r="U2494" s="145"/>
      <c r="V2494" s="145"/>
      <c r="W2494" s="145"/>
      <c r="X2494" s="145"/>
      <c r="Y2494" s="145"/>
      <c r="Z2494" s="145"/>
      <c r="AA2494" s="145"/>
      <c r="AB2494" s="145"/>
      <c r="AC2494" s="145"/>
      <c r="AD2494" s="145"/>
      <c r="AE2494" s="145"/>
      <c r="AF2494" s="145"/>
      <c r="AG2494" s="145"/>
      <c r="AH2494" s="145"/>
      <c r="AI2494" s="145"/>
      <c r="AJ2494" s="145"/>
      <c r="AK2494" s="145"/>
      <c r="AL2494" s="145"/>
      <c r="AM2494" s="145"/>
      <c r="AN2494" s="145"/>
      <c r="AO2494" s="145"/>
      <c r="AP2494" s="145"/>
      <c r="AQ2494" s="145"/>
      <c r="AR2494" s="145"/>
      <c r="AS2494" s="145"/>
      <c r="AT2494" s="145"/>
      <c r="AU2494" s="145"/>
      <c r="AV2494" s="145"/>
      <c r="AW2494" s="145"/>
      <c r="AX2494" s="145"/>
      <c r="AY2494" s="145"/>
      <c r="AZ2494" s="145"/>
      <c r="BA2494" s="145"/>
      <c r="BB2494" s="145"/>
      <c r="BC2494" s="145"/>
      <c r="BD2494" s="145"/>
      <c r="BE2494" s="145"/>
      <c r="BF2494" s="145"/>
      <c r="BG2494" s="145"/>
      <c r="BH2494" s="145"/>
      <c r="BI2494" s="145"/>
      <c r="BJ2494" s="145"/>
      <c r="BK2494" s="145"/>
      <c r="BL2494" s="145"/>
      <c r="BM2494" s="145"/>
      <c r="BN2494" s="145"/>
      <c r="BO2494" s="145"/>
      <c r="BP2494" s="145"/>
      <c r="BQ2494" s="145"/>
      <c r="BR2494" s="145"/>
      <c r="BS2494" s="145"/>
      <c r="BT2494" s="145"/>
      <c r="BU2494" s="145"/>
      <c r="BV2494" s="145"/>
      <c r="BW2494" s="145"/>
      <c r="BX2494" s="145"/>
      <c r="BY2494" s="145"/>
      <c r="BZ2494" s="145"/>
      <c r="CA2494" s="145"/>
      <c r="CB2494" s="145"/>
      <c r="CC2494" s="145"/>
      <c r="CD2494" s="145"/>
      <c r="CE2494" s="145"/>
      <c r="CF2494" s="145"/>
      <c r="CG2494" s="145"/>
      <c r="CH2494" s="145"/>
      <c r="CI2494" s="145"/>
      <c r="CJ2494" s="145"/>
      <c r="CK2494" s="145"/>
      <c r="CL2494" s="145"/>
      <c r="CM2494" s="145"/>
      <c r="CN2494" s="145"/>
      <c r="CO2494" s="145"/>
      <c r="CP2494" s="145"/>
      <c r="CQ2494" s="145"/>
      <c r="CR2494" s="145"/>
      <c r="CS2494" s="145"/>
      <c r="CT2494" s="145"/>
      <c r="CU2494" s="145"/>
      <c r="CV2494" s="145"/>
      <c r="CW2494" s="145"/>
      <c r="CX2494" s="145"/>
      <c r="CY2494" s="145"/>
      <c r="CZ2494" s="145"/>
      <c r="DA2494" s="145"/>
      <c r="DB2494" s="145"/>
      <c r="DC2494" s="145"/>
      <c r="DD2494" s="145"/>
      <c r="DE2494" s="145"/>
      <c r="DF2494" s="145"/>
      <c r="DG2494" s="145"/>
      <c r="DH2494" s="145"/>
      <c r="DI2494" s="145"/>
      <c r="DJ2494" s="145"/>
      <c r="DK2494" s="145"/>
      <c r="DL2494" s="145"/>
      <c r="DM2494" s="145"/>
      <c r="DN2494" s="145"/>
      <c r="DO2494" s="145"/>
      <c r="DP2494" s="145"/>
      <c r="DQ2494" s="145"/>
      <c r="DR2494" s="145"/>
      <c r="DS2494" s="145"/>
      <c r="DT2494" s="145"/>
      <c r="DU2494" s="145"/>
      <c r="DV2494" s="145"/>
      <c r="DW2494" s="145"/>
      <c r="DX2494" s="145"/>
      <c r="DY2494" s="145"/>
      <c r="DZ2494" s="145"/>
      <c r="EA2494" s="145"/>
      <c r="EB2494" s="145"/>
      <c r="EC2494" s="145"/>
      <c r="ED2494" s="145"/>
      <c r="EE2494" s="145"/>
      <c r="EF2494" s="145"/>
      <c r="EG2494" s="145"/>
      <c r="EH2494" s="145"/>
      <c r="EI2494" s="145"/>
      <c r="EJ2494" s="145"/>
      <c r="EK2494" s="145"/>
      <c r="EL2494" s="145"/>
      <c r="EM2494" s="145"/>
      <c r="EN2494" s="145"/>
      <c r="EO2494" s="145"/>
      <c r="EP2494" s="145"/>
      <c r="EQ2494" s="145"/>
      <c r="ER2494" s="145"/>
      <c r="ES2494" s="145"/>
      <c r="ET2494" s="145"/>
      <c r="EU2494" s="145"/>
      <c r="EV2494" s="145"/>
      <c r="EW2494" s="145"/>
      <c r="EX2494" s="145"/>
      <c r="EY2494" s="145"/>
      <c r="EZ2494" s="145"/>
      <c r="FA2494" s="145"/>
      <c r="FB2494" s="145"/>
      <c r="FC2494" s="145"/>
      <c r="FD2494" s="145"/>
      <c r="FE2494" s="145"/>
      <c r="FF2494" s="145"/>
      <c r="FG2494" s="145"/>
      <c r="FH2494" s="145"/>
      <c r="FI2494" s="145"/>
      <c r="FJ2494" s="145"/>
      <c r="FK2494" s="145"/>
      <c r="FL2494" s="145"/>
      <c r="FM2494" s="145"/>
      <c r="FN2494" s="145"/>
      <c r="FO2494" s="145"/>
      <c r="FP2494" s="145"/>
      <c r="FQ2494" s="145"/>
      <c r="FR2494" s="145"/>
      <c r="FS2494" s="145"/>
      <c r="FT2494" s="145"/>
      <c r="FU2494" s="145"/>
      <c r="FV2494" s="145"/>
      <c r="FW2494" s="145"/>
      <c r="FX2494" s="145"/>
      <c r="FY2494" s="145"/>
      <c r="FZ2494" s="145"/>
      <c r="GA2494" s="145"/>
      <c r="GB2494" s="145"/>
      <c r="GC2494" s="145"/>
      <c r="GD2494" s="145"/>
      <c r="GE2494" s="145"/>
      <c r="GF2494" s="145"/>
      <c r="GG2494" s="145"/>
      <c r="GH2494" s="145"/>
      <c r="GI2494" s="145"/>
      <c r="GJ2494" s="145"/>
      <c r="GK2494" s="145"/>
      <c r="GL2494" s="145"/>
      <c r="GM2494" s="145"/>
      <c r="GN2494" s="145"/>
      <c r="GO2494" s="145"/>
      <c r="GP2494" s="145"/>
      <c r="GQ2494" s="145"/>
      <c r="GR2494" s="145"/>
      <c r="GS2494" s="145"/>
      <c r="GT2494" s="145"/>
      <c r="GU2494" s="145"/>
      <c r="GV2494" s="145"/>
      <c r="GW2494" s="145"/>
      <c r="GX2494" s="145"/>
      <c r="GY2494" s="145"/>
      <c r="GZ2494" s="145"/>
      <c r="HA2494" s="145"/>
      <c r="HB2494" s="145"/>
      <c r="HC2494" s="145"/>
      <c r="HD2494" s="145"/>
      <c r="HE2494" s="145"/>
      <c r="HF2494" s="145"/>
    </row>
    <row r="2495" spans="1:214" ht="46.5" x14ac:dyDescent="0.35">
      <c r="A2495" s="277"/>
      <c r="B2495" s="277"/>
      <c r="C2495" s="286"/>
      <c r="D2495" s="287"/>
      <c r="E2495" s="276"/>
      <c r="F2495" s="276"/>
      <c r="G2495" s="277"/>
      <c r="H2495" s="136" t="s">
        <v>673</v>
      </c>
      <c r="I2495" s="181">
        <v>90030.79</v>
      </c>
      <c r="J2495" s="181">
        <f>I2495/D2494</f>
        <v>134.47</v>
      </c>
      <c r="K2495" s="181">
        <f>164+96</f>
        <v>260</v>
      </c>
      <c r="L2495" s="145"/>
      <c r="M2495" s="145"/>
      <c r="N2495" s="145"/>
      <c r="O2495" s="145"/>
      <c r="P2495" s="145"/>
      <c r="Q2495" s="145"/>
      <c r="R2495" s="145"/>
      <c r="S2495" s="145"/>
      <c r="T2495" s="145"/>
      <c r="U2495" s="145"/>
      <c r="V2495" s="145"/>
      <c r="W2495" s="145"/>
      <c r="X2495" s="145"/>
      <c r="Y2495" s="145"/>
      <c r="Z2495" s="145"/>
      <c r="AA2495" s="145"/>
      <c r="AB2495" s="145"/>
      <c r="AC2495" s="145"/>
      <c r="AD2495" s="145"/>
      <c r="AE2495" s="145"/>
      <c r="AF2495" s="145"/>
      <c r="AG2495" s="145"/>
      <c r="AH2495" s="145"/>
      <c r="AI2495" s="145"/>
      <c r="AJ2495" s="145"/>
      <c r="AK2495" s="145"/>
      <c r="AL2495" s="145"/>
      <c r="AM2495" s="145"/>
      <c r="AN2495" s="145"/>
      <c r="AO2495" s="145"/>
      <c r="AP2495" s="145"/>
      <c r="AQ2495" s="145"/>
      <c r="AR2495" s="145"/>
      <c r="AS2495" s="145"/>
      <c r="AT2495" s="145"/>
      <c r="AU2495" s="145"/>
      <c r="AV2495" s="145"/>
      <c r="AW2495" s="145"/>
      <c r="AX2495" s="145"/>
      <c r="AY2495" s="145"/>
      <c r="AZ2495" s="145"/>
      <c r="BA2495" s="145"/>
      <c r="BB2495" s="145"/>
      <c r="BC2495" s="145"/>
      <c r="BD2495" s="145"/>
      <c r="BE2495" s="145"/>
      <c r="BF2495" s="145"/>
      <c r="BG2495" s="145"/>
      <c r="BH2495" s="145"/>
      <c r="BI2495" s="145"/>
      <c r="BJ2495" s="145"/>
      <c r="BK2495" s="145"/>
      <c r="BL2495" s="145"/>
      <c r="BM2495" s="145"/>
      <c r="BN2495" s="145"/>
      <c r="BO2495" s="145"/>
      <c r="BP2495" s="145"/>
      <c r="BQ2495" s="145"/>
      <c r="BR2495" s="145"/>
      <c r="BS2495" s="145"/>
      <c r="BT2495" s="145"/>
      <c r="BU2495" s="145"/>
      <c r="BV2495" s="145"/>
      <c r="BW2495" s="145"/>
      <c r="BX2495" s="145"/>
      <c r="BY2495" s="145"/>
      <c r="BZ2495" s="145"/>
      <c r="CA2495" s="145"/>
      <c r="CB2495" s="145"/>
      <c r="CC2495" s="145"/>
      <c r="CD2495" s="145"/>
      <c r="CE2495" s="145"/>
      <c r="CF2495" s="145"/>
      <c r="CG2495" s="145"/>
      <c r="CH2495" s="145"/>
      <c r="CI2495" s="145"/>
      <c r="CJ2495" s="145"/>
      <c r="CK2495" s="145"/>
      <c r="CL2495" s="145"/>
      <c r="CM2495" s="145"/>
      <c r="CN2495" s="145"/>
      <c r="CO2495" s="145"/>
      <c r="CP2495" s="145"/>
      <c r="CQ2495" s="145"/>
      <c r="CR2495" s="145"/>
      <c r="CS2495" s="145"/>
      <c r="CT2495" s="145"/>
      <c r="CU2495" s="145"/>
      <c r="CV2495" s="145"/>
      <c r="CW2495" s="145"/>
      <c r="CX2495" s="145"/>
      <c r="CY2495" s="145"/>
      <c r="CZ2495" s="145"/>
      <c r="DA2495" s="145"/>
      <c r="DB2495" s="145"/>
      <c r="DC2495" s="145"/>
      <c r="DD2495" s="145"/>
      <c r="DE2495" s="145"/>
      <c r="DF2495" s="145"/>
      <c r="DG2495" s="145"/>
      <c r="DH2495" s="145"/>
      <c r="DI2495" s="145"/>
      <c r="DJ2495" s="145"/>
      <c r="DK2495" s="145"/>
      <c r="DL2495" s="145"/>
      <c r="DM2495" s="145"/>
      <c r="DN2495" s="145"/>
      <c r="DO2495" s="145"/>
      <c r="DP2495" s="145"/>
      <c r="DQ2495" s="145"/>
      <c r="DR2495" s="145"/>
      <c r="DS2495" s="145"/>
      <c r="DT2495" s="145"/>
      <c r="DU2495" s="145"/>
      <c r="DV2495" s="145"/>
      <c r="DW2495" s="145"/>
      <c r="DX2495" s="145"/>
      <c r="DY2495" s="145"/>
      <c r="DZ2495" s="145"/>
      <c r="EA2495" s="145"/>
      <c r="EB2495" s="145"/>
      <c r="EC2495" s="145"/>
      <c r="ED2495" s="145"/>
      <c r="EE2495" s="145"/>
      <c r="EF2495" s="145"/>
      <c r="EG2495" s="145"/>
      <c r="EH2495" s="145"/>
      <c r="EI2495" s="145"/>
      <c r="EJ2495" s="145"/>
      <c r="EK2495" s="145"/>
      <c r="EL2495" s="145"/>
      <c r="EM2495" s="145"/>
      <c r="EN2495" s="145"/>
      <c r="EO2495" s="145"/>
      <c r="EP2495" s="145"/>
      <c r="EQ2495" s="145"/>
      <c r="ER2495" s="145"/>
      <c r="ES2495" s="145"/>
      <c r="ET2495" s="145"/>
      <c r="EU2495" s="145"/>
      <c r="EV2495" s="145"/>
      <c r="EW2495" s="145"/>
      <c r="EX2495" s="145"/>
      <c r="EY2495" s="145"/>
      <c r="EZ2495" s="145"/>
      <c r="FA2495" s="145"/>
      <c r="FB2495" s="145"/>
      <c r="FC2495" s="145"/>
      <c r="FD2495" s="145"/>
      <c r="FE2495" s="145"/>
      <c r="FF2495" s="145"/>
      <c r="FG2495" s="145"/>
      <c r="FH2495" s="145"/>
      <c r="FI2495" s="145"/>
      <c r="FJ2495" s="145"/>
      <c r="FK2495" s="145"/>
      <c r="FL2495" s="145"/>
      <c r="FM2495" s="145"/>
      <c r="FN2495" s="145"/>
      <c r="FO2495" s="145"/>
      <c r="FP2495" s="145"/>
      <c r="FQ2495" s="145"/>
      <c r="FR2495" s="145"/>
      <c r="FS2495" s="145"/>
      <c r="FT2495" s="145"/>
      <c r="FU2495" s="145"/>
      <c r="FV2495" s="145"/>
      <c r="FW2495" s="145"/>
      <c r="FX2495" s="145"/>
      <c r="FY2495" s="145"/>
      <c r="FZ2495" s="145"/>
      <c r="GA2495" s="145"/>
      <c r="GB2495" s="145"/>
      <c r="GC2495" s="145"/>
      <c r="GD2495" s="145"/>
      <c r="GE2495" s="145"/>
      <c r="GF2495" s="145"/>
      <c r="GG2495" s="145"/>
      <c r="GH2495" s="145"/>
      <c r="GI2495" s="145"/>
      <c r="GJ2495" s="145"/>
      <c r="GK2495" s="145"/>
      <c r="GL2495" s="145"/>
      <c r="GM2495" s="145"/>
      <c r="GN2495" s="145"/>
      <c r="GO2495" s="145"/>
      <c r="GP2495" s="145"/>
      <c r="GQ2495" s="145"/>
      <c r="GR2495" s="145"/>
      <c r="GS2495" s="145"/>
      <c r="GT2495" s="145"/>
      <c r="GU2495" s="145"/>
      <c r="GV2495" s="145"/>
      <c r="GW2495" s="145"/>
      <c r="GX2495" s="145"/>
      <c r="GY2495" s="145"/>
      <c r="GZ2495" s="145"/>
      <c r="HA2495" s="145"/>
      <c r="HB2495" s="145"/>
      <c r="HC2495" s="145"/>
      <c r="HD2495" s="145"/>
      <c r="HE2495" s="145"/>
      <c r="HF2495" s="145"/>
    </row>
    <row r="2496" spans="1:214" x14ac:dyDescent="0.35">
      <c r="A2496" s="277">
        <f>A2494+1</f>
        <v>252</v>
      </c>
      <c r="B2496" s="277">
        <v>2880</v>
      </c>
      <c r="C2496" s="286" t="s">
        <v>425</v>
      </c>
      <c r="D2496" s="287">
        <v>222.1</v>
      </c>
      <c r="E2496" s="276" t="s">
        <v>633</v>
      </c>
      <c r="F2496" s="276">
        <v>2</v>
      </c>
      <c r="G2496" s="277" t="s">
        <v>71</v>
      </c>
      <c r="H2496" s="136" t="s">
        <v>72</v>
      </c>
      <c r="I2496" s="181">
        <f>I2497+I2498</f>
        <v>1108412.26</v>
      </c>
      <c r="J2496" s="181">
        <f>J2497+J2498</f>
        <v>4990.6000000000004</v>
      </c>
      <c r="K2496" s="181">
        <f>K2497+K2498</f>
        <v>7066</v>
      </c>
      <c r="L2496" s="145"/>
      <c r="M2496" s="145"/>
      <c r="N2496" s="145"/>
      <c r="O2496" s="145"/>
      <c r="P2496" s="145"/>
      <c r="Q2496" s="145"/>
      <c r="R2496" s="145"/>
      <c r="S2496" s="145"/>
      <c r="T2496" s="145"/>
      <c r="U2496" s="145"/>
      <c r="V2496" s="145"/>
      <c r="W2496" s="145"/>
      <c r="X2496" s="145"/>
      <c r="Y2496" s="145"/>
      <c r="Z2496" s="145"/>
      <c r="AA2496" s="145"/>
      <c r="AB2496" s="145"/>
      <c r="AC2496" s="145"/>
      <c r="AD2496" s="145"/>
      <c r="AE2496" s="145"/>
      <c r="AF2496" s="145"/>
      <c r="AG2496" s="145"/>
      <c r="AH2496" s="145"/>
      <c r="AI2496" s="145"/>
      <c r="AJ2496" s="145"/>
      <c r="AK2496" s="145"/>
      <c r="AL2496" s="145"/>
      <c r="AM2496" s="145"/>
      <c r="AN2496" s="145"/>
      <c r="AO2496" s="145"/>
      <c r="AP2496" s="145"/>
      <c r="AQ2496" s="145"/>
      <c r="AR2496" s="145"/>
      <c r="AS2496" s="145"/>
      <c r="AT2496" s="145"/>
      <c r="AU2496" s="145"/>
      <c r="AV2496" s="145"/>
      <c r="AW2496" s="145"/>
      <c r="AX2496" s="145"/>
      <c r="AY2496" s="145"/>
      <c r="AZ2496" s="145"/>
      <c r="BA2496" s="145"/>
      <c r="BB2496" s="145"/>
      <c r="BC2496" s="145"/>
      <c r="BD2496" s="145"/>
      <c r="BE2496" s="145"/>
      <c r="BF2496" s="145"/>
      <c r="BG2496" s="145"/>
      <c r="BH2496" s="145"/>
      <c r="BI2496" s="145"/>
      <c r="BJ2496" s="145"/>
      <c r="BK2496" s="145"/>
      <c r="BL2496" s="145"/>
      <c r="BM2496" s="145"/>
      <c r="BN2496" s="145"/>
      <c r="BO2496" s="145"/>
      <c r="BP2496" s="145"/>
      <c r="BQ2496" s="145"/>
      <c r="BR2496" s="145"/>
      <c r="BS2496" s="145"/>
      <c r="BT2496" s="145"/>
      <c r="BU2496" s="145"/>
      <c r="BV2496" s="145"/>
      <c r="BW2496" s="145"/>
      <c r="BX2496" s="145"/>
      <c r="BY2496" s="145"/>
      <c r="BZ2496" s="145"/>
      <c r="CA2496" s="145"/>
      <c r="CB2496" s="145"/>
      <c r="CC2496" s="145"/>
      <c r="CD2496" s="145"/>
      <c r="CE2496" s="145"/>
      <c r="CF2496" s="145"/>
      <c r="CG2496" s="145"/>
      <c r="CH2496" s="145"/>
      <c r="CI2496" s="145"/>
      <c r="CJ2496" s="145"/>
      <c r="CK2496" s="145"/>
      <c r="CL2496" s="145"/>
      <c r="CM2496" s="145"/>
      <c r="CN2496" s="145"/>
      <c r="CO2496" s="145"/>
      <c r="CP2496" s="145"/>
      <c r="CQ2496" s="145"/>
      <c r="CR2496" s="145"/>
      <c r="CS2496" s="145"/>
      <c r="CT2496" s="145"/>
      <c r="CU2496" s="145"/>
      <c r="CV2496" s="145"/>
      <c r="CW2496" s="145"/>
      <c r="CX2496" s="145"/>
      <c r="CY2496" s="145"/>
      <c r="CZ2496" s="145"/>
      <c r="DA2496" s="145"/>
      <c r="DB2496" s="145"/>
      <c r="DC2496" s="145"/>
      <c r="DD2496" s="145"/>
      <c r="DE2496" s="145"/>
      <c r="DF2496" s="145"/>
      <c r="DG2496" s="145"/>
      <c r="DH2496" s="145"/>
      <c r="DI2496" s="145"/>
      <c r="DJ2496" s="145"/>
      <c r="DK2496" s="145"/>
      <c r="DL2496" s="145"/>
      <c r="DM2496" s="145"/>
      <c r="DN2496" s="145"/>
      <c r="DO2496" s="145"/>
      <c r="DP2496" s="145"/>
      <c r="DQ2496" s="145"/>
      <c r="DR2496" s="145"/>
      <c r="DS2496" s="145"/>
      <c r="DT2496" s="145"/>
      <c r="DU2496" s="145"/>
      <c r="DV2496" s="145"/>
      <c r="DW2496" s="145"/>
      <c r="DX2496" s="145"/>
      <c r="DY2496" s="145"/>
      <c r="DZ2496" s="145"/>
      <c r="EA2496" s="145"/>
      <c r="EB2496" s="145"/>
      <c r="EC2496" s="145"/>
      <c r="ED2496" s="145"/>
      <c r="EE2496" s="145"/>
      <c r="EF2496" s="145"/>
      <c r="EG2496" s="145"/>
      <c r="EH2496" s="145"/>
      <c r="EI2496" s="145"/>
      <c r="EJ2496" s="145"/>
      <c r="EK2496" s="145"/>
      <c r="EL2496" s="145"/>
      <c r="EM2496" s="145"/>
      <c r="EN2496" s="145"/>
      <c r="EO2496" s="145"/>
      <c r="EP2496" s="145"/>
      <c r="EQ2496" s="145"/>
      <c r="ER2496" s="145"/>
      <c r="ES2496" s="145"/>
      <c r="ET2496" s="145"/>
      <c r="EU2496" s="145"/>
      <c r="EV2496" s="145"/>
      <c r="EW2496" s="145"/>
      <c r="EX2496" s="145"/>
      <c r="EY2496" s="145"/>
      <c r="EZ2496" s="145"/>
      <c r="FA2496" s="145"/>
      <c r="FB2496" s="145"/>
      <c r="FC2496" s="145"/>
      <c r="FD2496" s="145"/>
      <c r="FE2496" s="145"/>
      <c r="FF2496" s="145"/>
      <c r="FG2496" s="145"/>
      <c r="FH2496" s="145"/>
      <c r="FI2496" s="145"/>
      <c r="FJ2496" s="145"/>
      <c r="FK2496" s="145"/>
      <c r="FL2496" s="145"/>
      <c r="FM2496" s="145"/>
      <c r="FN2496" s="145"/>
      <c r="FO2496" s="145"/>
      <c r="FP2496" s="145"/>
      <c r="FQ2496" s="145"/>
      <c r="FR2496" s="145"/>
      <c r="FS2496" s="145"/>
      <c r="FT2496" s="145"/>
      <c r="FU2496" s="145"/>
      <c r="FV2496" s="145"/>
      <c r="FW2496" s="145"/>
      <c r="FX2496" s="145"/>
      <c r="FY2496" s="145"/>
      <c r="FZ2496" s="145"/>
      <c r="GA2496" s="145"/>
      <c r="GB2496" s="145"/>
      <c r="GC2496" s="145"/>
      <c r="GD2496" s="145"/>
      <c r="GE2496" s="145"/>
      <c r="GF2496" s="145"/>
      <c r="GG2496" s="145"/>
      <c r="GH2496" s="145"/>
      <c r="GI2496" s="145"/>
      <c r="GJ2496" s="145"/>
      <c r="GK2496" s="145"/>
      <c r="GL2496" s="145"/>
      <c r="GM2496" s="145"/>
      <c r="GN2496" s="145"/>
      <c r="GO2496" s="145"/>
      <c r="GP2496" s="145"/>
      <c r="GQ2496" s="145"/>
      <c r="GR2496" s="145"/>
      <c r="GS2496" s="145"/>
      <c r="GT2496" s="145"/>
      <c r="GU2496" s="145"/>
      <c r="GV2496" s="145"/>
      <c r="GW2496" s="145"/>
      <c r="GX2496" s="145"/>
      <c r="GY2496" s="145"/>
      <c r="GZ2496" s="145"/>
      <c r="HA2496" s="145"/>
      <c r="HB2496" s="145"/>
      <c r="HC2496" s="145"/>
      <c r="HD2496" s="145"/>
      <c r="HE2496" s="145"/>
      <c r="HF2496" s="145"/>
    </row>
    <row r="2497" spans="1:214" x14ac:dyDescent="0.35">
      <c r="A2497" s="277">
        <v>75</v>
      </c>
      <c r="B2497" s="277"/>
      <c r="C2497" s="286"/>
      <c r="D2497" s="287"/>
      <c r="E2497" s="276"/>
      <c r="F2497" s="276"/>
      <c r="G2497" s="277"/>
      <c r="H2497" s="136" t="s">
        <v>73</v>
      </c>
      <c r="I2497" s="181">
        <f>1536487.8*0.7</f>
        <v>1075541.46</v>
      </c>
      <c r="J2497" s="181">
        <f>I2497/D2496</f>
        <v>4842.6000000000004</v>
      </c>
      <c r="K2497" s="181">
        <v>6918</v>
      </c>
      <c r="L2497" s="145"/>
      <c r="M2497" s="145"/>
      <c r="N2497" s="145"/>
      <c r="O2497" s="145"/>
      <c r="P2497" s="145"/>
      <c r="Q2497" s="145"/>
      <c r="R2497" s="145"/>
      <c r="S2497" s="145"/>
      <c r="T2497" s="145"/>
      <c r="U2497" s="145"/>
      <c r="V2497" s="145"/>
      <c r="W2497" s="145"/>
      <c r="X2497" s="145"/>
      <c r="Y2497" s="145"/>
      <c r="Z2497" s="145"/>
      <c r="AA2497" s="145"/>
      <c r="AB2497" s="145"/>
      <c r="AC2497" s="145"/>
      <c r="AD2497" s="145"/>
      <c r="AE2497" s="145"/>
      <c r="AF2497" s="145"/>
      <c r="AG2497" s="145"/>
      <c r="AH2497" s="145"/>
      <c r="AI2497" s="145"/>
      <c r="AJ2497" s="145"/>
      <c r="AK2497" s="145"/>
      <c r="AL2497" s="145"/>
      <c r="AM2497" s="145"/>
      <c r="AN2497" s="145"/>
      <c r="AO2497" s="145"/>
      <c r="AP2497" s="145"/>
      <c r="AQ2497" s="145"/>
      <c r="AR2497" s="145"/>
      <c r="AS2497" s="145"/>
      <c r="AT2497" s="145"/>
      <c r="AU2497" s="145"/>
      <c r="AV2497" s="145"/>
      <c r="AW2497" s="145"/>
      <c r="AX2497" s="145"/>
      <c r="AY2497" s="145"/>
      <c r="AZ2497" s="145"/>
      <c r="BA2497" s="145"/>
      <c r="BB2497" s="145"/>
      <c r="BC2497" s="145"/>
      <c r="BD2497" s="145"/>
      <c r="BE2497" s="145"/>
      <c r="BF2497" s="145"/>
      <c r="BG2497" s="145"/>
      <c r="BH2497" s="145"/>
      <c r="BI2497" s="145"/>
      <c r="BJ2497" s="145"/>
      <c r="BK2497" s="145"/>
      <c r="BL2497" s="145"/>
      <c r="BM2497" s="145"/>
      <c r="BN2497" s="145"/>
      <c r="BO2497" s="145"/>
      <c r="BP2497" s="145"/>
      <c r="BQ2497" s="145"/>
      <c r="BR2497" s="145"/>
      <c r="BS2497" s="145"/>
      <c r="BT2497" s="145"/>
      <c r="BU2497" s="145"/>
      <c r="BV2497" s="145"/>
      <c r="BW2497" s="145"/>
      <c r="BX2497" s="145"/>
      <c r="BY2497" s="145"/>
      <c r="BZ2497" s="145"/>
      <c r="CA2497" s="145"/>
      <c r="CB2497" s="145"/>
      <c r="CC2497" s="145"/>
      <c r="CD2497" s="145"/>
      <c r="CE2497" s="145"/>
      <c r="CF2497" s="145"/>
      <c r="CG2497" s="145"/>
      <c r="CH2497" s="145"/>
      <c r="CI2497" s="145"/>
      <c r="CJ2497" s="145"/>
      <c r="CK2497" s="145"/>
      <c r="CL2497" s="145"/>
      <c r="CM2497" s="145"/>
      <c r="CN2497" s="145"/>
      <c r="CO2497" s="145"/>
      <c r="CP2497" s="145"/>
      <c r="CQ2497" s="145"/>
      <c r="CR2497" s="145"/>
      <c r="CS2497" s="145"/>
      <c r="CT2497" s="145"/>
      <c r="CU2497" s="145"/>
      <c r="CV2497" s="145"/>
      <c r="CW2497" s="145"/>
      <c r="CX2497" s="145"/>
      <c r="CY2497" s="145"/>
      <c r="CZ2497" s="145"/>
      <c r="DA2497" s="145"/>
      <c r="DB2497" s="145"/>
      <c r="DC2497" s="145"/>
      <c r="DD2497" s="145"/>
      <c r="DE2497" s="145"/>
      <c r="DF2497" s="145"/>
      <c r="DG2497" s="145"/>
      <c r="DH2497" s="145"/>
      <c r="DI2497" s="145"/>
      <c r="DJ2497" s="145"/>
      <c r="DK2497" s="145"/>
      <c r="DL2497" s="145"/>
      <c r="DM2497" s="145"/>
      <c r="DN2497" s="145"/>
      <c r="DO2497" s="145"/>
      <c r="DP2497" s="145"/>
      <c r="DQ2497" s="145"/>
      <c r="DR2497" s="145"/>
      <c r="DS2497" s="145"/>
      <c r="DT2497" s="145"/>
      <c r="DU2497" s="145"/>
      <c r="DV2497" s="145"/>
      <c r="DW2497" s="145"/>
      <c r="DX2497" s="145"/>
      <c r="DY2497" s="145"/>
      <c r="DZ2497" s="145"/>
      <c r="EA2497" s="145"/>
      <c r="EB2497" s="145"/>
      <c r="EC2497" s="145"/>
      <c r="ED2497" s="145"/>
      <c r="EE2497" s="145"/>
      <c r="EF2497" s="145"/>
      <c r="EG2497" s="145"/>
      <c r="EH2497" s="145"/>
      <c r="EI2497" s="145"/>
      <c r="EJ2497" s="145"/>
      <c r="EK2497" s="145"/>
      <c r="EL2497" s="145"/>
      <c r="EM2497" s="145"/>
      <c r="EN2497" s="145"/>
      <c r="EO2497" s="145"/>
      <c r="EP2497" s="145"/>
      <c r="EQ2497" s="145"/>
      <c r="ER2497" s="145"/>
      <c r="ES2497" s="145"/>
      <c r="ET2497" s="145"/>
      <c r="EU2497" s="145"/>
      <c r="EV2497" s="145"/>
      <c r="EW2497" s="145"/>
      <c r="EX2497" s="145"/>
      <c r="EY2497" s="145"/>
      <c r="EZ2497" s="145"/>
      <c r="FA2497" s="145"/>
      <c r="FB2497" s="145"/>
      <c r="FC2497" s="145"/>
      <c r="FD2497" s="145"/>
      <c r="FE2497" s="145"/>
      <c r="FF2497" s="145"/>
      <c r="FG2497" s="145"/>
      <c r="FH2497" s="145"/>
      <c r="FI2497" s="145"/>
      <c r="FJ2497" s="145"/>
      <c r="FK2497" s="145"/>
      <c r="FL2497" s="145"/>
      <c r="FM2497" s="145"/>
      <c r="FN2497" s="145"/>
      <c r="FO2497" s="145"/>
      <c r="FP2497" s="145"/>
      <c r="FQ2497" s="145"/>
      <c r="FR2497" s="145"/>
      <c r="FS2497" s="145"/>
      <c r="FT2497" s="145"/>
      <c r="FU2497" s="145"/>
      <c r="FV2497" s="145"/>
      <c r="FW2497" s="145"/>
      <c r="FX2497" s="145"/>
      <c r="FY2497" s="145"/>
      <c r="FZ2497" s="145"/>
      <c r="GA2497" s="145"/>
      <c r="GB2497" s="145"/>
      <c r="GC2497" s="145"/>
      <c r="GD2497" s="145"/>
      <c r="GE2497" s="145"/>
      <c r="GF2497" s="145"/>
      <c r="GG2497" s="145"/>
      <c r="GH2497" s="145"/>
      <c r="GI2497" s="145"/>
      <c r="GJ2497" s="145"/>
      <c r="GK2497" s="145"/>
      <c r="GL2497" s="145"/>
      <c r="GM2497" s="145"/>
      <c r="GN2497" s="145"/>
      <c r="GO2497" s="145"/>
      <c r="GP2497" s="145"/>
      <c r="GQ2497" s="145"/>
      <c r="GR2497" s="145"/>
      <c r="GS2497" s="145"/>
      <c r="GT2497" s="145"/>
      <c r="GU2497" s="145"/>
      <c r="GV2497" s="145"/>
      <c r="GW2497" s="145"/>
      <c r="GX2497" s="145"/>
      <c r="GY2497" s="145"/>
      <c r="GZ2497" s="145"/>
      <c r="HA2497" s="145"/>
      <c r="HB2497" s="145"/>
      <c r="HC2497" s="145"/>
      <c r="HD2497" s="145"/>
      <c r="HE2497" s="145"/>
      <c r="HF2497" s="145"/>
    </row>
    <row r="2498" spans="1:214" x14ac:dyDescent="0.35">
      <c r="A2498" s="277"/>
      <c r="B2498" s="277"/>
      <c r="C2498" s="286"/>
      <c r="D2498" s="287"/>
      <c r="E2498" s="276"/>
      <c r="F2498" s="276"/>
      <c r="G2498" s="277"/>
      <c r="H2498" s="136" t="s">
        <v>75</v>
      </c>
      <c r="I2498" s="181">
        <f>D2496*K2498</f>
        <v>32870.800000000003</v>
      </c>
      <c r="J2498" s="181">
        <f>I2498/D2496</f>
        <v>148</v>
      </c>
      <c r="K2498" s="181">
        <v>148</v>
      </c>
      <c r="L2498" s="145"/>
      <c r="M2498" s="145"/>
      <c r="N2498" s="145"/>
      <c r="O2498" s="145"/>
      <c r="P2498" s="145"/>
      <c r="Q2498" s="145"/>
      <c r="R2498" s="145"/>
      <c r="S2498" s="145"/>
      <c r="T2498" s="145"/>
      <c r="U2498" s="145"/>
      <c r="V2498" s="145"/>
      <c r="W2498" s="145"/>
      <c r="X2498" s="145"/>
      <c r="Y2498" s="145"/>
      <c r="Z2498" s="145"/>
      <c r="AA2498" s="145"/>
      <c r="AB2498" s="145"/>
      <c r="AC2498" s="145"/>
      <c r="AD2498" s="145"/>
      <c r="AE2498" s="145"/>
      <c r="AF2498" s="145"/>
      <c r="AG2498" s="145"/>
      <c r="AH2498" s="145"/>
      <c r="AI2498" s="145"/>
      <c r="AJ2498" s="145"/>
      <c r="AK2498" s="145"/>
      <c r="AL2498" s="145"/>
      <c r="AM2498" s="145"/>
      <c r="AN2498" s="145"/>
      <c r="AO2498" s="145"/>
      <c r="AP2498" s="145"/>
      <c r="AQ2498" s="145"/>
      <c r="AR2498" s="145"/>
      <c r="AS2498" s="145"/>
      <c r="AT2498" s="145"/>
      <c r="AU2498" s="145"/>
      <c r="AV2498" s="145"/>
      <c r="AW2498" s="145"/>
      <c r="AX2498" s="145"/>
      <c r="AY2498" s="145"/>
      <c r="AZ2498" s="145"/>
      <c r="BA2498" s="145"/>
      <c r="BB2498" s="145"/>
      <c r="BC2498" s="145"/>
      <c r="BD2498" s="145"/>
      <c r="BE2498" s="145"/>
      <c r="BF2498" s="145"/>
      <c r="BG2498" s="145"/>
      <c r="BH2498" s="145"/>
      <c r="BI2498" s="145"/>
      <c r="BJ2498" s="145"/>
      <c r="BK2498" s="145"/>
      <c r="BL2498" s="145"/>
      <c r="BM2498" s="145"/>
      <c r="BN2498" s="145"/>
      <c r="BO2498" s="145"/>
      <c r="BP2498" s="145"/>
      <c r="BQ2498" s="145"/>
      <c r="BR2498" s="145"/>
      <c r="BS2498" s="145"/>
      <c r="BT2498" s="145"/>
      <c r="BU2498" s="145"/>
      <c r="BV2498" s="145"/>
      <c r="BW2498" s="145"/>
      <c r="BX2498" s="145"/>
      <c r="BY2498" s="145"/>
      <c r="BZ2498" s="145"/>
      <c r="CA2498" s="145"/>
      <c r="CB2498" s="145"/>
      <c r="CC2498" s="145"/>
      <c r="CD2498" s="145"/>
      <c r="CE2498" s="145"/>
      <c r="CF2498" s="145"/>
      <c r="CG2498" s="145"/>
      <c r="CH2498" s="145"/>
      <c r="CI2498" s="145"/>
      <c r="CJ2498" s="145"/>
      <c r="CK2498" s="145"/>
      <c r="CL2498" s="145"/>
      <c r="CM2498" s="145"/>
      <c r="CN2498" s="145"/>
      <c r="CO2498" s="145"/>
      <c r="CP2498" s="145"/>
      <c r="CQ2498" s="145"/>
      <c r="CR2498" s="145"/>
      <c r="CS2498" s="145"/>
      <c r="CT2498" s="145"/>
      <c r="CU2498" s="145"/>
      <c r="CV2498" s="145"/>
      <c r="CW2498" s="145"/>
      <c r="CX2498" s="145"/>
      <c r="CY2498" s="145"/>
      <c r="CZ2498" s="145"/>
      <c r="DA2498" s="145"/>
      <c r="DB2498" s="145"/>
      <c r="DC2498" s="145"/>
      <c r="DD2498" s="145"/>
      <c r="DE2498" s="145"/>
      <c r="DF2498" s="145"/>
      <c r="DG2498" s="145"/>
      <c r="DH2498" s="145"/>
      <c r="DI2498" s="145"/>
      <c r="DJ2498" s="145"/>
      <c r="DK2498" s="145"/>
      <c r="DL2498" s="145"/>
      <c r="DM2498" s="145"/>
      <c r="DN2498" s="145"/>
      <c r="DO2498" s="145"/>
      <c r="DP2498" s="145"/>
      <c r="DQ2498" s="145"/>
      <c r="DR2498" s="145"/>
      <c r="DS2498" s="145"/>
      <c r="DT2498" s="145"/>
      <c r="DU2498" s="145"/>
      <c r="DV2498" s="145"/>
      <c r="DW2498" s="145"/>
      <c r="DX2498" s="145"/>
      <c r="DY2498" s="145"/>
      <c r="DZ2498" s="145"/>
      <c r="EA2498" s="145"/>
      <c r="EB2498" s="145"/>
      <c r="EC2498" s="145"/>
      <c r="ED2498" s="145"/>
      <c r="EE2498" s="145"/>
      <c r="EF2498" s="145"/>
      <c r="EG2498" s="145"/>
      <c r="EH2498" s="145"/>
      <c r="EI2498" s="145"/>
      <c r="EJ2498" s="145"/>
      <c r="EK2498" s="145"/>
      <c r="EL2498" s="145"/>
      <c r="EM2498" s="145"/>
      <c r="EN2498" s="145"/>
      <c r="EO2498" s="145"/>
      <c r="EP2498" s="145"/>
      <c r="EQ2498" s="145"/>
      <c r="ER2498" s="145"/>
      <c r="ES2498" s="145"/>
      <c r="ET2498" s="145"/>
      <c r="EU2498" s="145"/>
      <c r="EV2498" s="145"/>
      <c r="EW2498" s="145"/>
      <c r="EX2498" s="145"/>
      <c r="EY2498" s="145"/>
      <c r="EZ2498" s="145"/>
      <c r="FA2498" s="145"/>
      <c r="FB2498" s="145"/>
      <c r="FC2498" s="145"/>
      <c r="FD2498" s="145"/>
      <c r="FE2498" s="145"/>
      <c r="FF2498" s="145"/>
      <c r="FG2498" s="145"/>
      <c r="FH2498" s="145"/>
      <c r="FI2498" s="145"/>
      <c r="FJ2498" s="145"/>
      <c r="FK2498" s="145"/>
      <c r="FL2498" s="145"/>
      <c r="FM2498" s="145"/>
      <c r="FN2498" s="145"/>
      <c r="FO2498" s="145"/>
      <c r="FP2498" s="145"/>
      <c r="FQ2498" s="145"/>
      <c r="FR2498" s="145"/>
      <c r="FS2498" s="145"/>
      <c r="FT2498" s="145"/>
      <c r="FU2498" s="145"/>
      <c r="FV2498" s="145"/>
      <c r="FW2498" s="145"/>
      <c r="FX2498" s="145"/>
      <c r="FY2498" s="145"/>
      <c r="FZ2498" s="145"/>
      <c r="GA2498" s="145"/>
      <c r="GB2498" s="145"/>
      <c r="GC2498" s="145"/>
      <c r="GD2498" s="145"/>
      <c r="GE2498" s="145"/>
      <c r="GF2498" s="145"/>
      <c r="GG2498" s="145"/>
      <c r="GH2498" s="145"/>
      <c r="GI2498" s="145"/>
      <c r="GJ2498" s="145"/>
      <c r="GK2498" s="145"/>
      <c r="GL2498" s="145"/>
      <c r="GM2498" s="145"/>
      <c r="GN2498" s="145"/>
      <c r="GO2498" s="145"/>
      <c r="GP2498" s="145"/>
      <c r="GQ2498" s="145"/>
      <c r="GR2498" s="145"/>
      <c r="GS2498" s="145"/>
      <c r="GT2498" s="145"/>
      <c r="GU2498" s="145"/>
      <c r="GV2498" s="145"/>
      <c r="GW2498" s="145"/>
      <c r="GX2498" s="145"/>
      <c r="GY2498" s="145"/>
      <c r="GZ2498" s="145"/>
      <c r="HA2498" s="145"/>
      <c r="HB2498" s="145"/>
      <c r="HC2498" s="145"/>
      <c r="HD2498" s="145"/>
      <c r="HE2498" s="145"/>
      <c r="HF2498" s="145"/>
    </row>
    <row r="2499" spans="1:214" x14ac:dyDescent="0.35">
      <c r="A2499" s="277">
        <f>A2496+1</f>
        <v>253</v>
      </c>
      <c r="B2499" s="277">
        <v>2911</v>
      </c>
      <c r="C2499" s="286" t="s">
        <v>426</v>
      </c>
      <c r="D2499" s="287">
        <v>170.5</v>
      </c>
      <c r="E2499" s="276" t="s">
        <v>79</v>
      </c>
      <c r="F2499" s="276">
        <v>2</v>
      </c>
      <c r="G2499" s="277" t="s">
        <v>71</v>
      </c>
      <c r="H2499" s="136" t="s">
        <v>72</v>
      </c>
      <c r="I2499" s="181">
        <f>I2500</f>
        <v>522122.04</v>
      </c>
      <c r="J2499" s="181">
        <f>J2500</f>
        <v>3062.3</v>
      </c>
      <c r="K2499" s="181">
        <f>K2500</f>
        <v>11888</v>
      </c>
      <c r="L2499" s="145"/>
      <c r="M2499" s="145"/>
      <c r="N2499" s="145"/>
      <c r="O2499" s="145"/>
      <c r="P2499" s="145"/>
      <c r="Q2499" s="145"/>
      <c r="R2499" s="145"/>
      <c r="S2499" s="145"/>
      <c r="T2499" s="145"/>
      <c r="U2499" s="145"/>
      <c r="V2499" s="145"/>
      <c r="W2499" s="145"/>
      <c r="X2499" s="145"/>
      <c r="Y2499" s="145"/>
      <c r="Z2499" s="145"/>
      <c r="AA2499" s="145"/>
      <c r="AB2499" s="145"/>
      <c r="AC2499" s="145"/>
      <c r="AD2499" s="145"/>
      <c r="AE2499" s="145"/>
      <c r="AF2499" s="145"/>
      <c r="AG2499" s="145"/>
      <c r="AH2499" s="145"/>
      <c r="AI2499" s="145"/>
      <c r="AJ2499" s="145"/>
      <c r="AK2499" s="145"/>
      <c r="AL2499" s="145"/>
      <c r="AM2499" s="145"/>
      <c r="AN2499" s="145"/>
      <c r="AO2499" s="145"/>
      <c r="AP2499" s="145"/>
      <c r="AQ2499" s="145"/>
      <c r="AR2499" s="145"/>
      <c r="AS2499" s="145"/>
      <c r="AT2499" s="145"/>
      <c r="AU2499" s="145"/>
      <c r="AV2499" s="145"/>
      <c r="AW2499" s="145"/>
      <c r="AX2499" s="145"/>
      <c r="AY2499" s="145"/>
      <c r="AZ2499" s="145"/>
      <c r="BA2499" s="145"/>
      <c r="BB2499" s="145"/>
      <c r="BC2499" s="145"/>
      <c r="BD2499" s="145"/>
      <c r="BE2499" s="145"/>
      <c r="BF2499" s="145"/>
      <c r="BG2499" s="145"/>
      <c r="BH2499" s="145"/>
      <c r="BI2499" s="145"/>
      <c r="BJ2499" s="145"/>
      <c r="BK2499" s="145"/>
      <c r="BL2499" s="145"/>
      <c r="BM2499" s="145"/>
      <c r="BN2499" s="145"/>
      <c r="BO2499" s="145"/>
      <c r="BP2499" s="145"/>
      <c r="BQ2499" s="145"/>
      <c r="BR2499" s="145"/>
      <c r="BS2499" s="145"/>
      <c r="BT2499" s="145"/>
      <c r="BU2499" s="145"/>
      <c r="BV2499" s="145"/>
      <c r="BW2499" s="145"/>
      <c r="BX2499" s="145"/>
      <c r="BY2499" s="145"/>
      <c r="BZ2499" s="145"/>
      <c r="CA2499" s="145"/>
      <c r="CB2499" s="145"/>
      <c r="CC2499" s="145"/>
      <c r="CD2499" s="145"/>
      <c r="CE2499" s="145"/>
      <c r="CF2499" s="145"/>
      <c r="CG2499" s="145"/>
      <c r="CH2499" s="145"/>
      <c r="CI2499" s="145"/>
      <c r="CJ2499" s="145"/>
      <c r="CK2499" s="145"/>
      <c r="CL2499" s="145"/>
      <c r="CM2499" s="145"/>
      <c r="CN2499" s="145"/>
      <c r="CO2499" s="145"/>
      <c r="CP2499" s="145"/>
      <c r="CQ2499" s="145"/>
      <c r="CR2499" s="145"/>
      <c r="CS2499" s="145"/>
      <c r="CT2499" s="145"/>
      <c r="CU2499" s="145"/>
      <c r="CV2499" s="145"/>
      <c r="CW2499" s="145"/>
      <c r="CX2499" s="145"/>
      <c r="CY2499" s="145"/>
      <c r="CZ2499" s="145"/>
      <c r="DA2499" s="145"/>
      <c r="DB2499" s="145"/>
      <c r="DC2499" s="145"/>
      <c r="DD2499" s="145"/>
      <c r="DE2499" s="145"/>
      <c r="DF2499" s="145"/>
      <c r="DG2499" s="145"/>
      <c r="DH2499" s="145"/>
      <c r="DI2499" s="145"/>
      <c r="DJ2499" s="145"/>
      <c r="DK2499" s="145"/>
      <c r="DL2499" s="145"/>
      <c r="DM2499" s="145"/>
      <c r="DN2499" s="145"/>
      <c r="DO2499" s="145"/>
      <c r="DP2499" s="145"/>
      <c r="DQ2499" s="145"/>
      <c r="DR2499" s="145"/>
      <c r="DS2499" s="145"/>
      <c r="DT2499" s="145"/>
      <c r="DU2499" s="145"/>
      <c r="DV2499" s="145"/>
      <c r="DW2499" s="145"/>
      <c r="DX2499" s="145"/>
      <c r="DY2499" s="145"/>
      <c r="DZ2499" s="145"/>
      <c r="EA2499" s="145"/>
      <c r="EB2499" s="145"/>
      <c r="EC2499" s="145"/>
      <c r="ED2499" s="145"/>
      <c r="EE2499" s="145"/>
      <c r="EF2499" s="145"/>
      <c r="EG2499" s="145"/>
      <c r="EH2499" s="145"/>
      <c r="EI2499" s="145"/>
      <c r="EJ2499" s="145"/>
      <c r="EK2499" s="145"/>
      <c r="EL2499" s="145"/>
      <c r="EM2499" s="145"/>
      <c r="EN2499" s="145"/>
      <c r="EO2499" s="145"/>
      <c r="EP2499" s="145"/>
      <c r="EQ2499" s="145"/>
      <c r="ER2499" s="145"/>
      <c r="ES2499" s="145"/>
      <c r="ET2499" s="145"/>
      <c r="EU2499" s="145"/>
      <c r="EV2499" s="145"/>
      <c r="EW2499" s="145"/>
      <c r="EX2499" s="145"/>
      <c r="EY2499" s="145"/>
      <c r="EZ2499" s="145"/>
      <c r="FA2499" s="145"/>
      <c r="FB2499" s="145"/>
      <c r="FC2499" s="145"/>
      <c r="FD2499" s="145"/>
      <c r="FE2499" s="145"/>
      <c r="FF2499" s="145"/>
      <c r="FG2499" s="145"/>
      <c r="FH2499" s="145"/>
      <c r="FI2499" s="145"/>
      <c r="FJ2499" s="145"/>
      <c r="FK2499" s="145"/>
      <c r="FL2499" s="145"/>
      <c r="FM2499" s="145"/>
      <c r="FN2499" s="145"/>
      <c r="FO2499" s="145"/>
      <c r="FP2499" s="145"/>
      <c r="FQ2499" s="145"/>
      <c r="FR2499" s="145"/>
      <c r="FS2499" s="145"/>
      <c r="FT2499" s="145"/>
      <c r="FU2499" s="145"/>
      <c r="FV2499" s="145"/>
      <c r="FW2499" s="145"/>
      <c r="FX2499" s="145"/>
      <c r="FY2499" s="145"/>
      <c r="FZ2499" s="145"/>
      <c r="GA2499" s="145"/>
      <c r="GB2499" s="145"/>
      <c r="GC2499" s="145"/>
      <c r="GD2499" s="145"/>
      <c r="GE2499" s="145"/>
      <c r="GF2499" s="145"/>
      <c r="GG2499" s="145"/>
      <c r="GH2499" s="145"/>
      <c r="GI2499" s="145"/>
      <c r="GJ2499" s="145"/>
      <c r="GK2499" s="145"/>
      <c r="GL2499" s="145"/>
      <c r="GM2499" s="145"/>
      <c r="GN2499" s="145"/>
      <c r="GO2499" s="145"/>
      <c r="GP2499" s="145"/>
      <c r="GQ2499" s="145"/>
      <c r="GR2499" s="145"/>
      <c r="GS2499" s="145"/>
      <c r="GT2499" s="145"/>
      <c r="GU2499" s="145"/>
      <c r="GV2499" s="145"/>
      <c r="GW2499" s="145"/>
      <c r="GX2499" s="145"/>
      <c r="GY2499" s="145"/>
      <c r="GZ2499" s="145"/>
      <c r="HA2499" s="145"/>
      <c r="HB2499" s="145"/>
      <c r="HC2499" s="145"/>
      <c r="HD2499" s="145"/>
      <c r="HE2499" s="145"/>
      <c r="HF2499" s="145"/>
    </row>
    <row r="2500" spans="1:214" x14ac:dyDescent="0.35">
      <c r="A2500" s="277">
        <v>75</v>
      </c>
      <c r="B2500" s="277"/>
      <c r="C2500" s="286"/>
      <c r="D2500" s="287"/>
      <c r="E2500" s="276"/>
      <c r="F2500" s="276"/>
      <c r="G2500" s="277"/>
      <c r="H2500" s="136" t="s">
        <v>73</v>
      </c>
      <c r="I2500" s="181">
        <f>1740406.8*0.3</f>
        <v>522122.04</v>
      </c>
      <c r="J2500" s="181">
        <f>I2500/D2499</f>
        <v>3062.3</v>
      </c>
      <c r="K2500" s="181">
        <v>11888</v>
      </c>
      <c r="L2500" s="145"/>
      <c r="M2500" s="145"/>
      <c r="N2500" s="145"/>
      <c r="O2500" s="145"/>
      <c r="P2500" s="145"/>
      <c r="Q2500" s="145"/>
      <c r="R2500" s="145"/>
      <c r="S2500" s="145"/>
      <c r="T2500" s="145"/>
      <c r="U2500" s="145"/>
      <c r="V2500" s="145"/>
      <c r="W2500" s="145"/>
      <c r="X2500" s="145"/>
      <c r="Y2500" s="145"/>
      <c r="Z2500" s="145"/>
      <c r="AA2500" s="145"/>
      <c r="AB2500" s="145"/>
      <c r="AC2500" s="145"/>
      <c r="AD2500" s="145"/>
      <c r="AE2500" s="145"/>
      <c r="AF2500" s="145"/>
      <c r="AG2500" s="145"/>
      <c r="AH2500" s="145"/>
      <c r="AI2500" s="145"/>
      <c r="AJ2500" s="145"/>
      <c r="AK2500" s="145"/>
      <c r="AL2500" s="145"/>
      <c r="AM2500" s="145"/>
      <c r="AN2500" s="145"/>
      <c r="AO2500" s="145"/>
      <c r="AP2500" s="145"/>
      <c r="AQ2500" s="145"/>
      <c r="AR2500" s="145"/>
      <c r="AS2500" s="145"/>
      <c r="AT2500" s="145"/>
      <c r="AU2500" s="145"/>
      <c r="AV2500" s="145"/>
      <c r="AW2500" s="145"/>
      <c r="AX2500" s="145"/>
      <c r="AY2500" s="145"/>
      <c r="AZ2500" s="145"/>
      <c r="BA2500" s="145"/>
      <c r="BB2500" s="145"/>
      <c r="BC2500" s="145"/>
      <c r="BD2500" s="145"/>
      <c r="BE2500" s="145"/>
      <c r="BF2500" s="145"/>
      <c r="BG2500" s="145"/>
      <c r="BH2500" s="145"/>
      <c r="BI2500" s="145"/>
      <c r="BJ2500" s="145"/>
      <c r="BK2500" s="145"/>
      <c r="BL2500" s="145"/>
      <c r="BM2500" s="145"/>
      <c r="BN2500" s="145"/>
      <c r="BO2500" s="145"/>
      <c r="BP2500" s="145"/>
      <c r="BQ2500" s="145"/>
      <c r="BR2500" s="145"/>
      <c r="BS2500" s="145"/>
      <c r="BT2500" s="145"/>
      <c r="BU2500" s="145"/>
      <c r="BV2500" s="145"/>
      <c r="BW2500" s="145"/>
      <c r="BX2500" s="145"/>
      <c r="BY2500" s="145"/>
      <c r="BZ2500" s="145"/>
      <c r="CA2500" s="145"/>
      <c r="CB2500" s="145"/>
      <c r="CC2500" s="145"/>
      <c r="CD2500" s="145"/>
      <c r="CE2500" s="145"/>
      <c r="CF2500" s="145"/>
      <c r="CG2500" s="145"/>
      <c r="CH2500" s="145"/>
      <c r="CI2500" s="145"/>
      <c r="CJ2500" s="145"/>
      <c r="CK2500" s="145"/>
      <c r="CL2500" s="145"/>
      <c r="CM2500" s="145"/>
      <c r="CN2500" s="145"/>
      <c r="CO2500" s="145"/>
      <c r="CP2500" s="145"/>
      <c r="CQ2500" s="145"/>
      <c r="CR2500" s="145"/>
      <c r="CS2500" s="145"/>
      <c r="CT2500" s="145"/>
      <c r="CU2500" s="145"/>
      <c r="CV2500" s="145"/>
      <c r="CW2500" s="145"/>
      <c r="CX2500" s="145"/>
      <c r="CY2500" s="145"/>
      <c r="CZ2500" s="145"/>
      <c r="DA2500" s="145"/>
      <c r="DB2500" s="145"/>
      <c r="DC2500" s="145"/>
      <c r="DD2500" s="145"/>
      <c r="DE2500" s="145"/>
      <c r="DF2500" s="145"/>
      <c r="DG2500" s="145"/>
      <c r="DH2500" s="145"/>
      <c r="DI2500" s="145"/>
      <c r="DJ2500" s="145"/>
      <c r="DK2500" s="145"/>
      <c r="DL2500" s="145"/>
      <c r="DM2500" s="145"/>
      <c r="DN2500" s="145"/>
      <c r="DO2500" s="145"/>
      <c r="DP2500" s="145"/>
      <c r="DQ2500" s="145"/>
      <c r="DR2500" s="145"/>
      <c r="DS2500" s="145"/>
      <c r="DT2500" s="145"/>
      <c r="DU2500" s="145"/>
      <c r="DV2500" s="145"/>
      <c r="DW2500" s="145"/>
      <c r="DX2500" s="145"/>
      <c r="DY2500" s="145"/>
      <c r="DZ2500" s="145"/>
      <c r="EA2500" s="145"/>
      <c r="EB2500" s="145"/>
      <c r="EC2500" s="145"/>
      <c r="ED2500" s="145"/>
      <c r="EE2500" s="145"/>
      <c r="EF2500" s="145"/>
      <c r="EG2500" s="145"/>
      <c r="EH2500" s="145"/>
      <c r="EI2500" s="145"/>
      <c r="EJ2500" s="145"/>
      <c r="EK2500" s="145"/>
      <c r="EL2500" s="145"/>
      <c r="EM2500" s="145"/>
      <c r="EN2500" s="145"/>
      <c r="EO2500" s="145"/>
      <c r="EP2500" s="145"/>
      <c r="EQ2500" s="145"/>
      <c r="ER2500" s="145"/>
      <c r="ES2500" s="145"/>
      <c r="ET2500" s="145"/>
      <c r="EU2500" s="145"/>
      <c r="EV2500" s="145"/>
      <c r="EW2500" s="145"/>
      <c r="EX2500" s="145"/>
      <c r="EY2500" s="145"/>
      <c r="EZ2500" s="145"/>
      <c r="FA2500" s="145"/>
      <c r="FB2500" s="145"/>
      <c r="FC2500" s="145"/>
      <c r="FD2500" s="145"/>
      <c r="FE2500" s="145"/>
      <c r="FF2500" s="145"/>
      <c r="FG2500" s="145"/>
      <c r="FH2500" s="145"/>
      <c r="FI2500" s="145"/>
      <c r="FJ2500" s="145"/>
      <c r="FK2500" s="145"/>
      <c r="FL2500" s="145"/>
      <c r="FM2500" s="145"/>
      <c r="FN2500" s="145"/>
      <c r="FO2500" s="145"/>
      <c r="FP2500" s="145"/>
      <c r="FQ2500" s="145"/>
      <c r="FR2500" s="145"/>
      <c r="FS2500" s="145"/>
      <c r="FT2500" s="145"/>
      <c r="FU2500" s="145"/>
      <c r="FV2500" s="145"/>
      <c r="FW2500" s="145"/>
      <c r="FX2500" s="145"/>
      <c r="FY2500" s="145"/>
      <c r="FZ2500" s="145"/>
      <c r="GA2500" s="145"/>
      <c r="GB2500" s="145"/>
      <c r="GC2500" s="145"/>
      <c r="GD2500" s="145"/>
      <c r="GE2500" s="145"/>
      <c r="GF2500" s="145"/>
      <c r="GG2500" s="145"/>
      <c r="GH2500" s="145"/>
      <c r="GI2500" s="145"/>
      <c r="GJ2500" s="145"/>
      <c r="GK2500" s="145"/>
      <c r="GL2500" s="145"/>
      <c r="GM2500" s="145"/>
      <c r="GN2500" s="145"/>
      <c r="GO2500" s="145"/>
      <c r="GP2500" s="145"/>
      <c r="GQ2500" s="145"/>
      <c r="GR2500" s="145"/>
      <c r="GS2500" s="145"/>
      <c r="GT2500" s="145"/>
      <c r="GU2500" s="145"/>
      <c r="GV2500" s="145"/>
      <c r="GW2500" s="145"/>
      <c r="GX2500" s="145"/>
      <c r="GY2500" s="145"/>
      <c r="GZ2500" s="145"/>
      <c r="HA2500" s="145"/>
      <c r="HB2500" s="145"/>
      <c r="HC2500" s="145"/>
      <c r="HD2500" s="145"/>
      <c r="HE2500" s="145"/>
      <c r="HF2500" s="145"/>
    </row>
    <row r="2501" spans="1:214" x14ac:dyDescent="0.35">
      <c r="A2501" s="277">
        <f>A2499+1</f>
        <v>254</v>
      </c>
      <c r="B2501" s="277">
        <v>2482</v>
      </c>
      <c r="C2501" s="286" t="s">
        <v>150</v>
      </c>
      <c r="D2501" s="287">
        <v>949.1</v>
      </c>
      <c r="E2501" s="276" t="s">
        <v>79</v>
      </c>
      <c r="F2501" s="276">
        <v>3</v>
      </c>
      <c r="G2501" s="277" t="s">
        <v>71</v>
      </c>
      <c r="H2501" s="136" t="s">
        <v>72</v>
      </c>
      <c r="I2501" s="181">
        <f>I2502</f>
        <v>196593.11</v>
      </c>
      <c r="J2501" s="181">
        <f>J2502</f>
        <v>207.14</v>
      </c>
      <c r="K2501" s="181">
        <f>K2502</f>
        <v>252</v>
      </c>
      <c r="L2501" s="145"/>
      <c r="M2501" s="145"/>
      <c r="N2501" s="145"/>
      <c r="O2501" s="145"/>
      <c r="P2501" s="145"/>
      <c r="Q2501" s="145"/>
      <c r="R2501" s="145"/>
      <c r="S2501" s="145"/>
      <c r="T2501" s="145"/>
      <c r="U2501" s="145"/>
      <c r="V2501" s="145"/>
      <c r="W2501" s="145"/>
      <c r="X2501" s="145"/>
      <c r="Y2501" s="145"/>
      <c r="Z2501" s="145"/>
      <c r="AA2501" s="145"/>
      <c r="AB2501" s="145"/>
      <c r="AC2501" s="145"/>
      <c r="AD2501" s="145"/>
      <c r="AE2501" s="145"/>
      <c r="AF2501" s="145"/>
      <c r="AG2501" s="145"/>
      <c r="AH2501" s="145"/>
      <c r="AI2501" s="145"/>
      <c r="AJ2501" s="145"/>
      <c r="AK2501" s="145"/>
      <c r="AL2501" s="145"/>
      <c r="AM2501" s="145"/>
      <c r="AN2501" s="145"/>
      <c r="AO2501" s="145"/>
      <c r="AP2501" s="145"/>
      <c r="AQ2501" s="145"/>
      <c r="AR2501" s="145"/>
      <c r="AS2501" s="145"/>
      <c r="AT2501" s="145"/>
      <c r="AU2501" s="145"/>
      <c r="AV2501" s="145"/>
      <c r="AW2501" s="145"/>
      <c r="AX2501" s="145"/>
      <c r="AY2501" s="145"/>
      <c r="AZ2501" s="145"/>
      <c r="BA2501" s="145"/>
      <c r="BB2501" s="145"/>
      <c r="BC2501" s="145"/>
      <c r="BD2501" s="145"/>
      <c r="BE2501" s="145"/>
      <c r="BF2501" s="145"/>
      <c r="BG2501" s="145"/>
      <c r="BH2501" s="145"/>
      <c r="BI2501" s="145"/>
      <c r="BJ2501" s="145"/>
      <c r="BK2501" s="145"/>
      <c r="BL2501" s="145"/>
      <c r="BM2501" s="145"/>
      <c r="BN2501" s="145"/>
      <c r="BO2501" s="145"/>
      <c r="BP2501" s="145"/>
      <c r="BQ2501" s="145"/>
      <c r="BR2501" s="145"/>
      <c r="BS2501" s="145"/>
      <c r="BT2501" s="145"/>
      <c r="BU2501" s="145"/>
      <c r="BV2501" s="145"/>
      <c r="BW2501" s="145"/>
      <c r="BX2501" s="145"/>
      <c r="BY2501" s="145"/>
      <c r="BZ2501" s="145"/>
      <c r="CA2501" s="145"/>
      <c r="CB2501" s="145"/>
      <c r="CC2501" s="145"/>
      <c r="CD2501" s="145"/>
      <c r="CE2501" s="145"/>
      <c r="CF2501" s="145"/>
      <c r="CG2501" s="145"/>
      <c r="CH2501" s="145"/>
      <c r="CI2501" s="145"/>
      <c r="CJ2501" s="145"/>
      <c r="CK2501" s="145"/>
      <c r="CL2501" s="145"/>
      <c r="CM2501" s="145"/>
      <c r="CN2501" s="145"/>
      <c r="CO2501" s="145"/>
      <c r="CP2501" s="145"/>
      <c r="CQ2501" s="145"/>
      <c r="CR2501" s="145"/>
      <c r="CS2501" s="145"/>
      <c r="CT2501" s="145"/>
      <c r="CU2501" s="145"/>
      <c r="CV2501" s="145"/>
      <c r="CW2501" s="145"/>
      <c r="CX2501" s="145"/>
      <c r="CY2501" s="145"/>
      <c r="CZ2501" s="145"/>
      <c r="DA2501" s="145"/>
      <c r="DB2501" s="145"/>
      <c r="DC2501" s="145"/>
      <c r="DD2501" s="145"/>
      <c r="DE2501" s="145"/>
      <c r="DF2501" s="145"/>
      <c r="DG2501" s="145"/>
      <c r="DH2501" s="145"/>
      <c r="DI2501" s="145"/>
      <c r="DJ2501" s="145"/>
      <c r="DK2501" s="145"/>
      <c r="DL2501" s="145"/>
      <c r="DM2501" s="145"/>
      <c r="DN2501" s="145"/>
      <c r="DO2501" s="145"/>
      <c r="DP2501" s="145"/>
      <c r="DQ2501" s="145"/>
      <c r="DR2501" s="145"/>
      <c r="DS2501" s="145"/>
      <c r="DT2501" s="145"/>
      <c r="DU2501" s="145"/>
      <c r="DV2501" s="145"/>
      <c r="DW2501" s="145"/>
      <c r="DX2501" s="145"/>
      <c r="DY2501" s="145"/>
      <c r="DZ2501" s="145"/>
      <c r="EA2501" s="145"/>
      <c r="EB2501" s="145"/>
      <c r="EC2501" s="145"/>
      <c r="ED2501" s="145"/>
      <c r="EE2501" s="145"/>
      <c r="EF2501" s="145"/>
      <c r="EG2501" s="145"/>
      <c r="EH2501" s="145"/>
      <c r="EI2501" s="145"/>
      <c r="EJ2501" s="145"/>
      <c r="EK2501" s="145"/>
      <c r="EL2501" s="145"/>
      <c r="EM2501" s="145"/>
      <c r="EN2501" s="145"/>
      <c r="EO2501" s="145"/>
      <c r="EP2501" s="145"/>
      <c r="EQ2501" s="145"/>
      <c r="ER2501" s="145"/>
      <c r="ES2501" s="145"/>
      <c r="ET2501" s="145"/>
      <c r="EU2501" s="145"/>
      <c r="EV2501" s="145"/>
      <c r="EW2501" s="145"/>
      <c r="EX2501" s="145"/>
      <c r="EY2501" s="145"/>
      <c r="EZ2501" s="145"/>
      <c r="FA2501" s="145"/>
      <c r="FB2501" s="145"/>
      <c r="FC2501" s="145"/>
      <c r="FD2501" s="145"/>
      <c r="FE2501" s="145"/>
      <c r="FF2501" s="145"/>
      <c r="FG2501" s="145"/>
      <c r="FH2501" s="145"/>
      <c r="FI2501" s="145"/>
      <c r="FJ2501" s="145"/>
      <c r="FK2501" s="145"/>
      <c r="FL2501" s="145"/>
      <c r="FM2501" s="145"/>
      <c r="FN2501" s="145"/>
      <c r="FO2501" s="145"/>
      <c r="FP2501" s="145"/>
      <c r="FQ2501" s="145"/>
      <c r="FR2501" s="145"/>
      <c r="FS2501" s="145"/>
      <c r="FT2501" s="145"/>
      <c r="FU2501" s="145"/>
      <c r="FV2501" s="145"/>
      <c r="FW2501" s="145"/>
      <c r="FX2501" s="145"/>
      <c r="FY2501" s="145"/>
      <c r="FZ2501" s="145"/>
      <c r="GA2501" s="145"/>
      <c r="GB2501" s="145"/>
      <c r="GC2501" s="145"/>
      <c r="GD2501" s="145"/>
      <c r="GE2501" s="145"/>
      <c r="GF2501" s="145"/>
      <c r="GG2501" s="145"/>
      <c r="GH2501" s="145"/>
      <c r="GI2501" s="145"/>
      <c r="GJ2501" s="145"/>
      <c r="GK2501" s="145"/>
      <c r="GL2501" s="145"/>
      <c r="GM2501" s="145"/>
      <c r="GN2501" s="145"/>
      <c r="GO2501" s="145"/>
      <c r="GP2501" s="145"/>
      <c r="GQ2501" s="145"/>
      <c r="GR2501" s="145"/>
      <c r="GS2501" s="145"/>
      <c r="GT2501" s="145"/>
      <c r="GU2501" s="145"/>
      <c r="GV2501" s="145"/>
      <c r="GW2501" s="145"/>
      <c r="GX2501" s="145"/>
      <c r="GY2501" s="145"/>
      <c r="GZ2501" s="145"/>
      <c r="HA2501" s="145"/>
      <c r="HB2501" s="145"/>
      <c r="HC2501" s="145"/>
      <c r="HD2501" s="145"/>
      <c r="HE2501" s="145"/>
      <c r="HF2501" s="145"/>
    </row>
    <row r="2502" spans="1:214" ht="46.5" x14ac:dyDescent="0.35">
      <c r="A2502" s="277"/>
      <c r="B2502" s="277"/>
      <c r="C2502" s="286"/>
      <c r="D2502" s="287"/>
      <c r="E2502" s="276"/>
      <c r="F2502" s="276"/>
      <c r="G2502" s="277"/>
      <c r="H2502" s="136" t="s">
        <v>673</v>
      </c>
      <c r="I2502" s="181">
        <f>113072.31+D2501*88</f>
        <v>196593.11</v>
      </c>
      <c r="J2502" s="181">
        <f>I2502/D2501</f>
        <v>207.14</v>
      </c>
      <c r="K2502" s="181">
        <f>164+88</f>
        <v>252</v>
      </c>
      <c r="L2502" s="145"/>
      <c r="M2502" s="145"/>
      <c r="N2502" s="145"/>
      <c r="O2502" s="145"/>
      <c r="P2502" s="145"/>
      <c r="Q2502" s="145"/>
      <c r="R2502" s="145"/>
      <c r="S2502" s="145"/>
      <c r="T2502" s="145"/>
      <c r="U2502" s="145"/>
      <c r="V2502" s="145"/>
      <c r="W2502" s="145"/>
      <c r="X2502" s="145"/>
      <c r="Y2502" s="145"/>
      <c r="Z2502" s="145"/>
      <c r="AA2502" s="145"/>
      <c r="AB2502" s="145"/>
      <c r="AC2502" s="145"/>
      <c r="AD2502" s="145"/>
      <c r="AE2502" s="145"/>
      <c r="AF2502" s="145"/>
      <c r="AG2502" s="145"/>
      <c r="AH2502" s="145"/>
      <c r="AI2502" s="145"/>
      <c r="AJ2502" s="145"/>
      <c r="AK2502" s="145"/>
      <c r="AL2502" s="145"/>
      <c r="AM2502" s="145"/>
      <c r="AN2502" s="145"/>
      <c r="AO2502" s="145"/>
      <c r="AP2502" s="145"/>
      <c r="AQ2502" s="145"/>
      <c r="AR2502" s="145"/>
      <c r="AS2502" s="145"/>
      <c r="AT2502" s="145"/>
      <c r="AU2502" s="145"/>
      <c r="AV2502" s="145"/>
      <c r="AW2502" s="145"/>
      <c r="AX2502" s="145"/>
      <c r="AY2502" s="145"/>
      <c r="AZ2502" s="145"/>
      <c r="BA2502" s="145"/>
      <c r="BB2502" s="145"/>
      <c r="BC2502" s="145"/>
      <c r="BD2502" s="145"/>
      <c r="BE2502" s="145"/>
      <c r="BF2502" s="145"/>
      <c r="BG2502" s="145"/>
      <c r="BH2502" s="145"/>
      <c r="BI2502" s="145"/>
      <c r="BJ2502" s="145"/>
      <c r="BK2502" s="145"/>
      <c r="BL2502" s="145"/>
      <c r="BM2502" s="145"/>
      <c r="BN2502" s="145"/>
      <c r="BO2502" s="145"/>
      <c r="BP2502" s="145"/>
      <c r="BQ2502" s="145"/>
      <c r="BR2502" s="145"/>
      <c r="BS2502" s="145"/>
      <c r="BT2502" s="145"/>
      <c r="BU2502" s="145"/>
      <c r="BV2502" s="145"/>
      <c r="BW2502" s="145"/>
      <c r="BX2502" s="145"/>
      <c r="BY2502" s="145"/>
      <c r="BZ2502" s="145"/>
      <c r="CA2502" s="145"/>
      <c r="CB2502" s="145"/>
      <c r="CC2502" s="145"/>
      <c r="CD2502" s="145"/>
      <c r="CE2502" s="145"/>
      <c r="CF2502" s="145"/>
      <c r="CG2502" s="145"/>
      <c r="CH2502" s="145"/>
      <c r="CI2502" s="145"/>
      <c r="CJ2502" s="145"/>
      <c r="CK2502" s="145"/>
      <c r="CL2502" s="145"/>
      <c r="CM2502" s="145"/>
      <c r="CN2502" s="145"/>
      <c r="CO2502" s="145"/>
      <c r="CP2502" s="145"/>
      <c r="CQ2502" s="145"/>
      <c r="CR2502" s="145"/>
      <c r="CS2502" s="145"/>
      <c r="CT2502" s="145"/>
      <c r="CU2502" s="145"/>
      <c r="CV2502" s="145"/>
      <c r="CW2502" s="145"/>
      <c r="CX2502" s="145"/>
      <c r="CY2502" s="145"/>
      <c r="CZ2502" s="145"/>
      <c r="DA2502" s="145"/>
      <c r="DB2502" s="145"/>
      <c r="DC2502" s="145"/>
      <c r="DD2502" s="145"/>
      <c r="DE2502" s="145"/>
      <c r="DF2502" s="145"/>
      <c r="DG2502" s="145"/>
      <c r="DH2502" s="145"/>
      <c r="DI2502" s="145"/>
      <c r="DJ2502" s="145"/>
      <c r="DK2502" s="145"/>
      <c r="DL2502" s="145"/>
      <c r="DM2502" s="145"/>
      <c r="DN2502" s="145"/>
      <c r="DO2502" s="145"/>
      <c r="DP2502" s="145"/>
      <c r="DQ2502" s="145"/>
      <c r="DR2502" s="145"/>
      <c r="DS2502" s="145"/>
      <c r="DT2502" s="145"/>
      <c r="DU2502" s="145"/>
      <c r="DV2502" s="145"/>
      <c r="DW2502" s="145"/>
      <c r="DX2502" s="145"/>
      <c r="DY2502" s="145"/>
      <c r="DZ2502" s="145"/>
      <c r="EA2502" s="145"/>
      <c r="EB2502" s="145"/>
      <c r="EC2502" s="145"/>
      <c r="ED2502" s="145"/>
      <c r="EE2502" s="145"/>
      <c r="EF2502" s="145"/>
      <c r="EG2502" s="145"/>
      <c r="EH2502" s="145"/>
      <c r="EI2502" s="145"/>
      <c r="EJ2502" s="145"/>
      <c r="EK2502" s="145"/>
      <c r="EL2502" s="145"/>
      <c r="EM2502" s="145"/>
      <c r="EN2502" s="145"/>
      <c r="EO2502" s="145"/>
      <c r="EP2502" s="145"/>
      <c r="EQ2502" s="145"/>
      <c r="ER2502" s="145"/>
      <c r="ES2502" s="145"/>
      <c r="ET2502" s="145"/>
      <c r="EU2502" s="145"/>
      <c r="EV2502" s="145"/>
      <c r="EW2502" s="145"/>
      <c r="EX2502" s="145"/>
      <c r="EY2502" s="145"/>
      <c r="EZ2502" s="145"/>
      <c r="FA2502" s="145"/>
      <c r="FB2502" s="145"/>
      <c r="FC2502" s="145"/>
      <c r="FD2502" s="145"/>
      <c r="FE2502" s="145"/>
      <c r="FF2502" s="145"/>
      <c r="FG2502" s="145"/>
      <c r="FH2502" s="145"/>
      <c r="FI2502" s="145"/>
      <c r="FJ2502" s="145"/>
      <c r="FK2502" s="145"/>
      <c r="FL2502" s="145"/>
      <c r="FM2502" s="145"/>
      <c r="FN2502" s="145"/>
      <c r="FO2502" s="145"/>
      <c r="FP2502" s="145"/>
      <c r="FQ2502" s="145"/>
      <c r="FR2502" s="145"/>
      <c r="FS2502" s="145"/>
      <c r="FT2502" s="145"/>
      <c r="FU2502" s="145"/>
      <c r="FV2502" s="145"/>
      <c r="FW2502" s="145"/>
      <c r="FX2502" s="145"/>
      <c r="FY2502" s="145"/>
      <c r="FZ2502" s="145"/>
      <c r="GA2502" s="145"/>
      <c r="GB2502" s="145"/>
      <c r="GC2502" s="145"/>
      <c r="GD2502" s="145"/>
      <c r="GE2502" s="145"/>
      <c r="GF2502" s="145"/>
      <c r="GG2502" s="145"/>
      <c r="GH2502" s="145"/>
      <c r="GI2502" s="145"/>
      <c r="GJ2502" s="145"/>
      <c r="GK2502" s="145"/>
      <c r="GL2502" s="145"/>
      <c r="GM2502" s="145"/>
      <c r="GN2502" s="145"/>
      <c r="GO2502" s="145"/>
      <c r="GP2502" s="145"/>
      <c r="GQ2502" s="145"/>
      <c r="GR2502" s="145"/>
      <c r="GS2502" s="145"/>
      <c r="GT2502" s="145"/>
      <c r="GU2502" s="145"/>
      <c r="GV2502" s="145"/>
      <c r="GW2502" s="145"/>
      <c r="GX2502" s="145"/>
      <c r="GY2502" s="145"/>
      <c r="GZ2502" s="145"/>
      <c r="HA2502" s="145"/>
      <c r="HB2502" s="145"/>
      <c r="HC2502" s="145"/>
      <c r="HD2502" s="145"/>
      <c r="HE2502" s="145"/>
      <c r="HF2502" s="145"/>
    </row>
    <row r="2503" spans="1:214" x14ac:dyDescent="0.35">
      <c r="A2503" s="168" t="s">
        <v>36</v>
      </c>
      <c r="B2503" s="168"/>
      <c r="C2503" s="170"/>
      <c r="D2503" s="166">
        <f>D2504</f>
        <v>1267</v>
      </c>
      <c r="E2503" s="181"/>
      <c r="F2503" s="181"/>
      <c r="G2503" s="181"/>
      <c r="H2503" s="137"/>
      <c r="I2503" s="181">
        <f>I2504</f>
        <v>247740.95</v>
      </c>
      <c r="J2503" s="181"/>
      <c r="K2503" s="181"/>
      <c r="L2503" s="145"/>
      <c r="M2503" s="145"/>
      <c r="N2503" s="145"/>
      <c r="O2503" s="145"/>
      <c r="P2503" s="145"/>
      <c r="Q2503" s="145"/>
      <c r="R2503" s="145"/>
      <c r="S2503" s="145"/>
      <c r="T2503" s="145"/>
      <c r="U2503" s="145"/>
      <c r="V2503" s="145"/>
      <c r="W2503" s="145"/>
      <c r="X2503" s="145"/>
      <c r="Y2503" s="145"/>
      <c r="Z2503" s="145"/>
      <c r="AA2503" s="145"/>
      <c r="AB2503" s="145"/>
      <c r="AC2503" s="145"/>
      <c r="AD2503" s="145"/>
      <c r="AE2503" s="145"/>
      <c r="AF2503" s="145"/>
      <c r="AG2503" s="145"/>
      <c r="AH2503" s="145"/>
      <c r="AI2503" s="145"/>
      <c r="AJ2503" s="145"/>
      <c r="AK2503" s="145"/>
      <c r="AL2503" s="145"/>
      <c r="AM2503" s="145"/>
      <c r="AN2503" s="145"/>
      <c r="AO2503" s="145"/>
      <c r="AP2503" s="145"/>
      <c r="AQ2503" s="145"/>
      <c r="AR2503" s="145"/>
      <c r="AS2503" s="145"/>
      <c r="AT2503" s="145"/>
      <c r="AU2503" s="145"/>
      <c r="AV2503" s="145"/>
      <c r="AW2503" s="145"/>
      <c r="AX2503" s="145"/>
      <c r="AY2503" s="145"/>
      <c r="AZ2503" s="145"/>
      <c r="BA2503" s="145"/>
      <c r="BB2503" s="145"/>
      <c r="BC2503" s="145"/>
      <c r="BD2503" s="145"/>
      <c r="BE2503" s="145"/>
      <c r="BF2503" s="145"/>
      <c r="BG2503" s="145"/>
      <c r="BH2503" s="145"/>
      <c r="BI2503" s="145"/>
      <c r="BJ2503" s="145"/>
      <c r="BK2503" s="145"/>
      <c r="BL2503" s="145"/>
      <c r="BM2503" s="145"/>
      <c r="BN2503" s="145"/>
      <c r="BO2503" s="145"/>
      <c r="BP2503" s="145"/>
      <c r="BQ2503" s="145"/>
      <c r="BR2503" s="145"/>
      <c r="BS2503" s="145"/>
      <c r="BT2503" s="145"/>
      <c r="BU2503" s="145"/>
      <c r="BV2503" s="145"/>
      <c r="BW2503" s="145"/>
      <c r="BX2503" s="145"/>
      <c r="BY2503" s="145"/>
      <c r="BZ2503" s="145"/>
      <c r="CA2503" s="145"/>
      <c r="CB2503" s="145"/>
      <c r="CC2503" s="145"/>
      <c r="CD2503" s="145"/>
      <c r="CE2503" s="145"/>
      <c r="CF2503" s="145"/>
      <c r="CG2503" s="145"/>
      <c r="CH2503" s="145"/>
      <c r="CI2503" s="145"/>
      <c r="CJ2503" s="145"/>
      <c r="CK2503" s="145"/>
      <c r="CL2503" s="145"/>
      <c r="CM2503" s="145"/>
      <c r="CN2503" s="145"/>
      <c r="CO2503" s="145"/>
      <c r="CP2503" s="145"/>
      <c r="CQ2503" s="145"/>
      <c r="CR2503" s="145"/>
      <c r="CS2503" s="145"/>
      <c r="CT2503" s="145"/>
      <c r="CU2503" s="145"/>
      <c r="CV2503" s="145"/>
      <c r="CW2503" s="145"/>
      <c r="CX2503" s="145"/>
      <c r="CY2503" s="145"/>
      <c r="CZ2503" s="145"/>
      <c r="DA2503" s="145"/>
      <c r="DB2503" s="145"/>
      <c r="DC2503" s="145"/>
      <c r="DD2503" s="145"/>
      <c r="DE2503" s="145"/>
      <c r="DF2503" s="145"/>
      <c r="DG2503" s="145"/>
      <c r="DH2503" s="145"/>
      <c r="DI2503" s="145"/>
      <c r="DJ2503" s="145"/>
      <c r="DK2503" s="145"/>
      <c r="DL2503" s="145"/>
      <c r="DM2503" s="145"/>
      <c r="DN2503" s="145"/>
      <c r="DO2503" s="145"/>
      <c r="DP2503" s="145"/>
      <c r="DQ2503" s="145"/>
      <c r="DR2503" s="145"/>
      <c r="DS2503" s="145"/>
      <c r="DT2503" s="145"/>
      <c r="DU2503" s="145"/>
      <c r="DV2503" s="145"/>
      <c r="DW2503" s="145"/>
      <c r="DX2503" s="145"/>
      <c r="DY2503" s="145"/>
      <c r="DZ2503" s="145"/>
      <c r="EA2503" s="145"/>
      <c r="EB2503" s="145"/>
      <c r="EC2503" s="145"/>
      <c r="ED2503" s="145"/>
      <c r="EE2503" s="145"/>
      <c r="EF2503" s="145"/>
      <c r="EG2503" s="145"/>
      <c r="EH2503" s="145"/>
      <c r="EI2503" s="145"/>
      <c r="EJ2503" s="145"/>
      <c r="EK2503" s="145"/>
      <c r="EL2503" s="145"/>
      <c r="EM2503" s="145"/>
      <c r="EN2503" s="145"/>
      <c r="EO2503" s="145"/>
      <c r="EP2503" s="145"/>
      <c r="EQ2503" s="145"/>
      <c r="ER2503" s="145"/>
      <c r="ES2503" s="145"/>
      <c r="ET2503" s="145"/>
      <c r="EU2503" s="145"/>
      <c r="EV2503" s="145"/>
      <c r="EW2503" s="145"/>
      <c r="EX2503" s="145"/>
      <c r="EY2503" s="145"/>
      <c r="EZ2503" s="145"/>
      <c r="FA2503" s="145"/>
      <c r="FB2503" s="145"/>
      <c r="FC2503" s="145"/>
      <c r="FD2503" s="145"/>
      <c r="FE2503" s="145"/>
      <c r="FF2503" s="145"/>
      <c r="FG2503" s="145"/>
      <c r="FH2503" s="145"/>
      <c r="FI2503" s="145"/>
      <c r="FJ2503" s="145"/>
      <c r="FK2503" s="145"/>
      <c r="FL2503" s="145"/>
      <c r="FM2503" s="145"/>
      <c r="FN2503" s="145"/>
      <c r="FO2503" s="145"/>
      <c r="FP2503" s="145"/>
      <c r="FQ2503" s="145"/>
      <c r="FR2503" s="145"/>
      <c r="FS2503" s="145"/>
      <c r="FT2503" s="145"/>
      <c r="FU2503" s="145"/>
      <c r="FV2503" s="145"/>
      <c r="FW2503" s="145"/>
      <c r="FX2503" s="145"/>
      <c r="FY2503" s="145"/>
      <c r="FZ2503" s="145"/>
      <c r="GA2503" s="145"/>
      <c r="GB2503" s="145"/>
      <c r="GC2503" s="145"/>
      <c r="GD2503" s="145"/>
      <c r="GE2503" s="145"/>
      <c r="GF2503" s="145"/>
      <c r="GG2503" s="145"/>
      <c r="GH2503" s="145"/>
      <c r="GI2503" s="145"/>
      <c r="GJ2503" s="145"/>
      <c r="GK2503" s="145"/>
      <c r="GL2503" s="145"/>
      <c r="GM2503" s="145"/>
      <c r="GN2503" s="145"/>
      <c r="GO2503" s="145"/>
      <c r="GP2503" s="145"/>
      <c r="GQ2503" s="145"/>
      <c r="GR2503" s="145"/>
      <c r="GS2503" s="145"/>
      <c r="GT2503" s="145"/>
      <c r="GU2503" s="145"/>
      <c r="GV2503" s="145"/>
      <c r="GW2503" s="145"/>
      <c r="GX2503" s="145"/>
      <c r="GY2503" s="145"/>
      <c r="GZ2503" s="145"/>
      <c r="HA2503" s="145"/>
      <c r="HB2503" s="145"/>
      <c r="HC2503" s="145"/>
      <c r="HD2503" s="145"/>
      <c r="HE2503" s="145"/>
      <c r="HF2503" s="145"/>
    </row>
    <row r="2504" spans="1:214" x14ac:dyDescent="0.35">
      <c r="A2504" s="270">
        <v>1</v>
      </c>
      <c r="B2504" s="270">
        <v>4850</v>
      </c>
      <c r="C2504" s="278" t="s">
        <v>592</v>
      </c>
      <c r="D2504" s="273">
        <v>1267</v>
      </c>
      <c r="E2504" s="282" t="s">
        <v>74</v>
      </c>
      <c r="F2504" s="282">
        <v>3</v>
      </c>
      <c r="G2504" s="270" t="s">
        <v>71</v>
      </c>
      <c r="H2504" s="136" t="s">
        <v>72</v>
      </c>
      <c r="I2504" s="181">
        <f>I2505</f>
        <v>247740.95</v>
      </c>
      <c r="J2504" s="181">
        <f>J2505</f>
        <v>195.53</v>
      </c>
      <c r="K2504" s="181">
        <f>K2505</f>
        <v>239</v>
      </c>
      <c r="L2504" s="145"/>
      <c r="M2504" s="145"/>
      <c r="N2504" s="145"/>
      <c r="O2504" s="145"/>
      <c r="P2504" s="145"/>
      <c r="Q2504" s="145"/>
      <c r="R2504" s="145"/>
      <c r="S2504" s="145"/>
      <c r="T2504" s="145"/>
      <c r="U2504" s="145"/>
      <c r="V2504" s="145"/>
      <c r="W2504" s="145"/>
      <c r="X2504" s="145"/>
      <c r="Y2504" s="145"/>
      <c r="Z2504" s="145"/>
      <c r="AA2504" s="145"/>
      <c r="AB2504" s="145"/>
      <c r="AC2504" s="145"/>
      <c r="AD2504" s="145"/>
      <c r="AE2504" s="145"/>
      <c r="AF2504" s="145"/>
      <c r="AG2504" s="145"/>
      <c r="AH2504" s="145"/>
      <c r="AI2504" s="145"/>
      <c r="AJ2504" s="145"/>
      <c r="AK2504" s="145"/>
      <c r="AL2504" s="145"/>
      <c r="AM2504" s="145"/>
      <c r="AN2504" s="145"/>
      <c r="AO2504" s="145"/>
      <c r="AP2504" s="145"/>
      <c r="AQ2504" s="145"/>
      <c r="AR2504" s="145"/>
      <c r="AS2504" s="145"/>
      <c r="AT2504" s="145"/>
      <c r="AU2504" s="145"/>
      <c r="AV2504" s="145"/>
      <c r="AW2504" s="145"/>
      <c r="AX2504" s="145"/>
      <c r="AY2504" s="145"/>
      <c r="AZ2504" s="145"/>
      <c r="BA2504" s="145"/>
      <c r="BB2504" s="145"/>
      <c r="BC2504" s="145"/>
      <c r="BD2504" s="145"/>
      <c r="BE2504" s="145"/>
      <c r="BF2504" s="145"/>
      <c r="BG2504" s="145"/>
      <c r="BH2504" s="145"/>
      <c r="BI2504" s="145"/>
      <c r="BJ2504" s="145"/>
      <c r="BK2504" s="145"/>
      <c r="BL2504" s="145"/>
      <c r="BM2504" s="145"/>
      <c r="BN2504" s="145"/>
      <c r="BO2504" s="145"/>
      <c r="BP2504" s="145"/>
      <c r="BQ2504" s="145"/>
      <c r="BR2504" s="145"/>
      <c r="BS2504" s="145"/>
      <c r="BT2504" s="145"/>
      <c r="BU2504" s="145"/>
      <c r="BV2504" s="145"/>
      <c r="BW2504" s="145"/>
      <c r="BX2504" s="145"/>
      <c r="BY2504" s="145"/>
      <c r="BZ2504" s="145"/>
      <c r="CA2504" s="145"/>
      <c r="CB2504" s="145"/>
      <c r="CC2504" s="145"/>
      <c r="CD2504" s="145"/>
      <c r="CE2504" s="145"/>
      <c r="CF2504" s="145"/>
      <c r="CG2504" s="145"/>
      <c r="CH2504" s="145"/>
      <c r="CI2504" s="145"/>
      <c r="CJ2504" s="145"/>
      <c r="CK2504" s="145"/>
      <c r="CL2504" s="145"/>
      <c r="CM2504" s="145"/>
      <c r="CN2504" s="145"/>
      <c r="CO2504" s="145"/>
      <c r="CP2504" s="145"/>
      <c r="CQ2504" s="145"/>
      <c r="CR2504" s="145"/>
      <c r="CS2504" s="145"/>
      <c r="CT2504" s="145"/>
      <c r="CU2504" s="145"/>
      <c r="CV2504" s="145"/>
      <c r="CW2504" s="145"/>
      <c r="CX2504" s="145"/>
      <c r="CY2504" s="145"/>
      <c r="CZ2504" s="145"/>
      <c r="DA2504" s="145"/>
      <c r="DB2504" s="145"/>
      <c r="DC2504" s="145"/>
      <c r="DD2504" s="145"/>
      <c r="DE2504" s="145"/>
      <c r="DF2504" s="145"/>
      <c r="DG2504" s="145"/>
      <c r="DH2504" s="145"/>
      <c r="DI2504" s="145"/>
      <c r="DJ2504" s="145"/>
      <c r="DK2504" s="145"/>
      <c r="DL2504" s="145"/>
      <c r="DM2504" s="145"/>
      <c r="DN2504" s="145"/>
      <c r="DO2504" s="145"/>
      <c r="DP2504" s="145"/>
      <c r="DQ2504" s="145"/>
      <c r="DR2504" s="145"/>
      <c r="DS2504" s="145"/>
      <c r="DT2504" s="145"/>
      <c r="DU2504" s="145"/>
      <c r="DV2504" s="145"/>
      <c r="DW2504" s="145"/>
      <c r="DX2504" s="145"/>
      <c r="DY2504" s="145"/>
      <c r="DZ2504" s="145"/>
      <c r="EA2504" s="145"/>
      <c r="EB2504" s="145"/>
      <c r="EC2504" s="145"/>
      <c r="ED2504" s="145"/>
      <c r="EE2504" s="145"/>
      <c r="EF2504" s="145"/>
      <c r="EG2504" s="145"/>
      <c r="EH2504" s="145"/>
      <c r="EI2504" s="145"/>
      <c r="EJ2504" s="145"/>
      <c r="EK2504" s="145"/>
      <c r="EL2504" s="145"/>
      <c r="EM2504" s="145"/>
      <c r="EN2504" s="145"/>
      <c r="EO2504" s="145"/>
      <c r="EP2504" s="145"/>
      <c r="EQ2504" s="145"/>
      <c r="ER2504" s="145"/>
      <c r="ES2504" s="145"/>
      <c r="ET2504" s="145"/>
      <c r="EU2504" s="145"/>
      <c r="EV2504" s="145"/>
      <c r="EW2504" s="145"/>
      <c r="EX2504" s="145"/>
      <c r="EY2504" s="145"/>
      <c r="EZ2504" s="145"/>
      <c r="FA2504" s="145"/>
      <c r="FB2504" s="145"/>
      <c r="FC2504" s="145"/>
      <c r="FD2504" s="145"/>
      <c r="FE2504" s="145"/>
      <c r="FF2504" s="145"/>
      <c r="FG2504" s="145"/>
      <c r="FH2504" s="145"/>
      <c r="FI2504" s="145"/>
      <c r="FJ2504" s="145"/>
      <c r="FK2504" s="145"/>
      <c r="FL2504" s="145"/>
      <c r="FM2504" s="145"/>
      <c r="FN2504" s="145"/>
      <c r="FO2504" s="145"/>
      <c r="FP2504" s="145"/>
      <c r="FQ2504" s="145"/>
      <c r="FR2504" s="145"/>
      <c r="FS2504" s="145"/>
      <c r="FT2504" s="145"/>
      <c r="FU2504" s="145"/>
      <c r="FV2504" s="145"/>
      <c r="FW2504" s="145"/>
      <c r="FX2504" s="145"/>
      <c r="FY2504" s="145"/>
      <c r="FZ2504" s="145"/>
      <c r="GA2504" s="145"/>
      <c r="GB2504" s="145"/>
      <c r="GC2504" s="145"/>
      <c r="GD2504" s="145"/>
      <c r="GE2504" s="145"/>
      <c r="GF2504" s="145"/>
      <c r="GG2504" s="145"/>
      <c r="GH2504" s="145"/>
      <c r="GI2504" s="145"/>
      <c r="GJ2504" s="145"/>
      <c r="GK2504" s="145"/>
      <c r="GL2504" s="145"/>
      <c r="GM2504" s="145"/>
      <c r="GN2504" s="145"/>
      <c r="GO2504" s="145"/>
      <c r="GP2504" s="145"/>
      <c r="GQ2504" s="145"/>
      <c r="GR2504" s="145"/>
      <c r="GS2504" s="145"/>
      <c r="GT2504" s="145"/>
      <c r="GU2504" s="145"/>
      <c r="GV2504" s="145"/>
      <c r="GW2504" s="145"/>
      <c r="GX2504" s="145"/>
      <c r="GY2504" s="145"/>
      <c r="GZ2504" s="145"/>
      <c r="HA2504" s="145"/>
      <c r="HB2504" s="145"/>
      <c r="HC2504" s="145"/>
      <c r="HD2504" s="145"/>
      <c r="HE2504" s="145"/>
      <c r="HF2504" s="145"/>
    </row>
    <row r="2505" spans="1:214" ht="46.5" x14ac:dyDescent="0.35">
      <c r="A2505" s="271">
        <v>15</v>
      </c>
      <c r="B2505" s="272"/>
      <c r="C2505" s="279"/>
      <c r="D2505" s="274"/>
      <c r="E2505" s="283"/>
      <c r="F2505" s="283"/>
      <c r="G2505" s="271"/>
      <c r="H2505" s="136" t="s">
        <v>673</v>
      </c>
      <c r="I2505" s="181">
        <f>136244.95+D2504*88</f>
        <v>247740.95</v>
      </c>
      <c r="J2505" s="181">
        <f>I2505/D2504</f>
        <v>195.53</v>
      </c>
      <c r="K2505" s="181">
        <f>151+88</f>
        <v>239</v>
      </c>
      <c r="L2505" s="145"/>
      <c r="M2505" s="145"/>
      <c r="N2505" s="145"/>
      <c r="O2505" s="145"/>
      <c r="P2505" s="145"/>
      <c r="Q2505" s="145"/>
      <c r="R2505" s="145"/>
      <c r="S2505" s="145"/>
      <c r="T2505" s="145"/>
      <c r="U2505" s="145"/>
      <c r="V2505" s="145"/>
      <c r="W2505" s="145"/>
      <c r="X2505" s="145"/>
      <c r="Y2505" s="145"/>
      <c r="Z2505" s="145"/>
      <c r="AA2505" s="145"/>
      <c r="AB2505" s="145"/>
      <c r="AC2505" s="145"/>
      <c r="AD2505" s="145"/>
      <c r="AE2505" s="145"/>
      <c r="AF2505" s="145"/>
      <c r="AG2505" s="145"/>
      <c r="AH2505" s="145"/>
      <c r="AI2505" s="145"/>
      <c r="AJ2505" s="145"/>
      <c r="AK2505" s="145"/>
      <c r="AL2505" s="145"/>
      <c r="AM2505" s="145"/>
      <c r="AN2505" s="145"/>
      <c r="AO2505" s="145"/>
      <c r="AP2505" s="145"/>
      <c r="AQ2505" s="145"/>
      <c r="AR2505" s="145"/>
      <c r="AS2505" s="145"/>
      <c r="AT2505" s="145"/>
      <c r="AU2505" s="145"/>
      <c r="AV2505" s="145"/>
      <c r="AW2505" s="145"/>
      <c r="AX2505" s="145"/>
      <c r="AY2505" s="145"/>
      <c r="AZ2505" s="145"/>
      <c r="BA2505" s="145"/>
      <c r="BB2505" s="145"/>
      <c r="BC2505" s="145"/>
      <c r="BD2505" s="145"/>
      <c r="BE2505" s="145"/>
      <c r="BF2505" s="145"/>
      <c r="BG2505" s="145"/>
      <c r="BH2505" s="145"/>
      <c r="BI2505" s="145"/>
      <c r="BJ2505" s="145"/>
      <c r="BK2505" s="145"/>
      <c r="BL2505" s="145"/>
      <c r="BM2505" s="145"/>
      <c r="BN2505" s="145"/>
      <c r="BO2505" s="145"/>
      <c r="BP2505" s="145"/>
      <c r="BQ2505" s="145"/>
      <c r="BR2505" s="145"/>
      <c r="BS2505" s="145"/>
      <c r="BT2505" s="145"/>
      <c r="BU2505" s="145"/>
      <c r="BV2505" s="145"/>
      <c r="BW2505" s="145"/>
      <c r="BX2505" s="145"/>
      <c r="BY2505" s="145"/>
      <c r="BZ2505" s="145"/>
      <c r="CA2505" s="145"/>
      <c r="CB2505" s="145"/>
      <c r="CC2505" s="145"/>
      <c r="CD2505" s="145"/>
      <c r="CE2505" s="145"/>
      <c r="CF2505" s="145"/>
      <c r="CG2505" s="145"/>
      <c r="CH2505" s="145"/>
      <c r="CI2505" s="145"/>
      <c r="CJ2505" s="145"/>
      <c r="CK2505" s="145"/>
      <c r="CL2505" s="145"/>
      <c r="CM2505" s="145"/>
      <c r="CN2505" s="145"/>
      <c r="CO2505" s="145"/>
      <c r="CP2505" s="145"/>
      <c r="CQ2505" s="145"/>
      <c r="CR2505" s="145"/>
      <c r="CS2505" s="145"/>
      <c r="CT2505" s="145"/>
      <c r="CU2505" s="145"/>
      <c r="CV2505" s="145"/>
      <c r="CW2505" s="145"/>
      <c r="CX2505" s="145"/>
      <c r="CY2505" s="145"/>
      <c r="CZ2505" s="145"/>
      <c r="DA2505" s="145"/>
      <c r="DB2505" s="145"/>
      <c r="DC2505" s="145"/>
      <c r="DD2505" s="145"/>
      <c r="DE2505" s="145"/>
      <c r="DF2505" s="145"/>
      <c r="DG2505" s="145"/>
      <c r="DH2505" s="145"/>
      <c r="DI2505" s="145"/>
      <c r="DJ2505" s="145"/>
      <c r="DK2505" s="145"/>
      <c r="DL2505" s="145"/>
      <c r="DM2505" s="145"/>
      <c r="DN2505" s="145"/>
      <c r="DO2505" s="145"/>
      <c r="DP2505" s="145"/>
      <c r="DQ2505" s="145"/>
      <c r="DR2505" s="145"/>
      <c r="DS2505" s="145"/>
      <c r="DT2505" s="145"/>
      <c r="DU2505" s="145"/>
      <c r="DV2505" s="145"/>
      <c r="DW2505" s="145"/>
      <c r="DX2505" s="145"/>
      <c r="DY2505" s="145"/>
      <c r="DZ2505" s="145"/>
      <c r="EA2505" s="145"/>
      <c r="EB2505" s="145"/>
      <c r="EC2505" s="145"/>
      <c r="ED2505" s="145"/>
      <c r="EE2505" s="145"/>
      <c r="EF2505" s="145"/>
      <c r="EG2505" s="145"/>
      <c r="EH2505" s="145"/>
      <c r="EI2505" s="145"/>
      <c r="EJ2505" s="145"/>
      <c r="EK2505" s="145"/>
      <c r="EL2505" s="145"/>
      <c r="EM2505" s="145"/>
      <c r="EN2505" s="145"/>
      <c r="EO2505" s="145"/>
      <c r="EP2505" s="145"/>
      <c r="EQ2505" s="145"/>
      <c r="ER2505" s="145"/>
      <c r="ES2505" s="145"/>
      <c r="ET2505" s="145"/>
      <c r="EU2505" s="145"/>
      <c r="EV2505" s="145"/>
      <c r="EW2505" s="145"/>
      <c r="EX2505" s="145"/>
      <c r="EY2505" s="145"/>
      <c r="EZ2505" s="145"/>
      <c r="FA2505" s="145"/>
      <c r="FB2505" s="145"/>
      <c r="FC2505" s="145"/>
      <c r="FD2505" s="145"/>
      <c r="FE2505" s="145"/>
      <c r="FF2505" s="145"/>
      <c r="FG2505" s="145"/>
      <c r="FH2505" s="145"/>
      <c r="FI2505" s="145"/>
      <c r="FJ2505" s="145"/>
      <c r="FK2505" s="145"/>
      <c r="FL2505" s="145"/>
      <c r="FM2505" s="145"/>
      <c r="FN2505" s="145"/>
      <c r="FO2505" s="145"/>
      <c r="FP2505" s="145"/>
      <c r="FQ2505" s="145"/>
      <c r="FR2505" s="145"/>
      <c r="FS2505" s="145"/>
      <c r="FT2505" s="145"/>
      <c r="FU2505" s="145"/>
      <c r="FV2505" s="145"/>
      <c r="FW2505" s="145"/>
      <c r="FX2505" s="145"/>
      <c r="FY2505" s="145"/>
      <c r="FZ2505" s="145"/>
      <c r="GA2505" s="145"/>
      <c r="GB2505" s="145"/>
      <c r="GC2505" s="145"/>
      <c r="GD2505" s="145"/>
      <c r="GE2505" s="145"/>
      <c r="GF2505" s="145"/>
      <c r="GG2505" s="145"/>
      <c r="GH2505" s="145"/>
      <c r="GI2505" s="145"/>
      <c r="GJ2505" s="145"/>
      <c r="GK2505" s="145"/>
      <c r="GL2505" s="145"/>
      <c r="GM2505" s="145"/>
      <c r="GN2505" s="145"/>
      <c r="GO2505" s="145"/>
      <c r="GP2505" s="145"/>
      <c r="GQ2505" s="145"/>
      <c r="GR2505" s="145"/>
      <c r="GS2505" s="145"/>
      <c r="GT2505" s="145"/>
      <c r="GU2505" s="145"/>
      <c r="GV2505" s="145"/>
      <c r="GW2505" s="145"/>
      <c r="GX2505" s="145"/>
      <c r="GY2505" s="145"/>
      <c r="GZ2505" s="145"/>
      <c r="HA2505" s="145"/>
      <c r="HB2505" s="145"/>
      <c r="HC2505" s="145"/>
      <c r="HD2505" s="145"/>
      <c r="HE2505" s="145"/>
      <c r="HF2505" s="145"/>
    </row>
    <row r="2506" spans="1:214" x14ac:dyDescent="0.35">
      <c r="A2506" s="168" t="s">
        <v>37</v>
      </c>
      <c r="B2506" s="168"/>
      <c r="C2506" s="170"/>
      <c r="D2506" s="181">
        <f>D2507+D2510+D2513</f>
        <v>1135.81</v>
      </c>
      <c r="E2506" s="181"/>
      <c r="F2506" s="174"/>
      <c r="G2506" s="166"/>
      <c r="H2506" s="164"/>
      <c r="I2506" s="181">
        <f>I2513+I2507+I2510</f>
        <v>3242197.93</v>
      </c>
      <c r="J2506" s="181"/>
      <c r="K2506" s="181"/>
      <c r="L2506" s="145"/>
      <c r="M2506" s="145"/>
      <c r="N2506" s="145"/>
      <c r="O2506" s="145"/>
      <c r="P2506" s="145"/>
      <c r="Q2506" s="145"/>
      <c r="R2506" s="145"/>
      <c r="S2506" s="145"/>
      <c r="T2506" s="145"/>
      <c r="U2506" s="145"/>
      <c r="V2506" s="145"/>
      <c r="W2506" s="145"/>
      <c r="X2506" s="145"/>
      <c r="Y2506" s="145"/>
      <c r="Z2506" s="145"/>
      <c r="AA2506" s="145"/>
      <c r="AB2506" s="145"/>
      <c r="AC2506" s="145"/>
      <c r="AD2506" s="145"/>
      <c r="AE2506" s="145"/>
      <c r="AF2506" s="145"/>
      <c r="AG2506" s="145"/>
      <c r="AH2506" s="145"/>
      <c r="AI2506" s="145"/>
      <c r="AJ2506" s="145"/>
      <c r="AK2506" s="145"/>
      <c r="AL2506" s="145"/>
      <c r="AM2506" s="145"/>
      <c r="AN2506" s="145"/>
      <c r="AO2506" s="145"/>
      <c r="AP2506" s="145"/>
      <c r="AQ2506" s="145"/>
      <c r="AR2506" s="145"/>
      <c r="AS2506" s="145"/>
      <c r="AT2506" s="145"/>
      <c r="AU2506" s="145"/>
      <c r="AV2506" s="145"/>
      <c r="AW2506" s="145"/>
      <c r="AX2506" s="145"/>
      <c r="AY2506" s="145"/>
      <c r="AZ2506" s="145"/>
      <c r="BA2506" s="145"/>
      <c r="BB2506" s="145"/>
      <c r="BC2506" s="145"/>
      <c r="BD2506" s="145"/>
      <c r="BE2506" s="145"/>
      <c r="BF2506" s="145"/>
      <c r="BG2506" s="145"/>
      <c r="BH2506" s="145"/>
      <c r="BI2506" s="145"/>
      <c r="BJ2506" s="145"/>
      <c r="BK2506" s="145"/>
      <c r="BL2506" s="145"/>
      <c r="BM2506" s="145"/>
      <c r="BN2506" s="145"/>
      <c r="BO2506" s="145"/>
      <c r="BP2506" s="145"/>
      <c r="BQ2506" s="145"/>
      <c r="BR2506" s="145"/>
      <c r="BS2506" s="145"/>
      <c r="BT2506" s="145"/>
      <c r="BU2506" s="145"/>
      <c r="BV2506" s="145"/>
      <c r="BW2506" s="145"/>
      <c r="BX2506" s="145"/>
      <c r="BY2506" s="145"/>
      <c r="BZ2506" s="145"/>
      <c r="CA2506" s="145"/>
      <c r="CB2506" s="145"/>
      <c r="CC2506" s="145"/>
      <c r="CD2506" s="145"/>
      <c r="CE2506" s="145"/>
      <c r="CF2506" s="145"/>
      <c r="CG2506" s="145"/>
      <c r="CH2506" s="145"/>
      <c r="CI2506" s="145"/>
      <c r="CJ2506" s="145"/>
      <c r="CK2506" s="145"/>
      <c r="CL2506" s="145"/>
      <c r="CM2506" s="145"/>
      <c r="CN2506" s="145"/>
      <c r="CO2506" s="145"/>
      <c r="CP2506" s="145"/>
      <c r="CQ2506" s="145"/>
      <c r="CR2506" s="145"/>
      <c r="CS2506" s="145"/>
      <c r="CT2506" s="145"/>
      <c r="CU2506" s="145"/>
      <c r="CV2506" s="145"/>
      <c r="CW2506" s="145"/>
      <c r="CX2506" s="145"/>
      <c r="CY2506" s="145"/>
      <c r="CZ2506" s="145"/>
      <c r="DA2506" s="145"/>
      <c r="DB2506" s="145"/>
      <c r="DC2506" s="145"/>
      <c r="DD2506" s="145"/>
      <c r="DE2506" s="145"/>
      <c r="DF2506" s="145"/>
      <c r="DG2506" s="145"/>
      <c r="DH2506" s="145"/>
      <c r="DI2506" s="145"/>
      <c r="DJ2506" s="145"/>
      <c r="DK2506" s="145"/>
      <c r="DL2506" s="145"/>
      <c r="DM2506" s="145"/>
      <c r="DN2506" s="145"/>
      <c r="DO2506" s="145"/>
      <c r="DP2506" s="145"/>
      <c r="DQ2506" s="145"/>
      <c r="DR2506" s="145"/>
      <c r="DS2506" s="145"/>
      <c r="DT2506" s="145"/>
      <c r="DU2506" s="145"/>
      <c r="DV2506" s="145"/>
      <c r="DW2506" s="145"/>
      <c r="DX2506" s="145"/>
      <c r="DY2506" s="145"/>
      <c r="DZ2506" s="145"/>
      <c r="EA2506" s="145"/>
      <c r="EB2506" s="145"/>
      <c r="EC2506" s="145"/>
      <c r="ED2506" s="145"/>
      <c r="EE2506" s="145"/>
      <c r="EF2506" s="145"/>
      <c r="EG2506" s="145"/>
      <c r="EH2506" s="145"/>
      <c r="EI2506" s="145"/>
      <c r="EJ2506" s="145"/>
      <c r="EK2506" s="145"/>
      <c r="EL2506" s="145"/>
      <c r="EM2506" s="145"/>
      <c r="EN2506" s="145"/>
      <c r="EO2506" s="145"/>
      <c r="EP2506" s="145"/>
      <c r="EQ2506" s="145"/>
      <c r="ER2506" s="145"/>
      <c r="ES2506" s="145"/>
      <c r="ET2506" s="145"/>
      <c r="EU2506" s="145"/>
      <c r="EV2506" s="145"/>
      <c r="EW2506" s="145"/>
      <c r="EX2506" s="145"/>
      <c r="EY2506" s="145"/>
      <c r="EZ2506" s="145"/>
      <c r="FA2506" s="145"/>
      <c r="FB2506" s="145"/>
      <c r="FC2506" s="145"/>
      <c r="FD2506" s="145"/>
      <c r="FE2506" s="145"/>
      <c r="FF2506" s="145"/>
      <c r="FG2506" s="145"/>
      <c r="FH2506" s="145"/>
      <c r="FI2506" s="145"/>
      <c r="FJ2506" s="145"/>
      <c r="FK2506" s="145"/>
      <c r="FL2506" s="145"/>
      <c r="FM2506" s="145"/>
      <c r="FN2506" s="145"/>
      <c r="FO2506" s="145"/>
      <c r="FP2506" s="145"/>
      <c r="FQ2506" s="145"/>
      <c r="FR2506" s="145"/>
      <c r="FS2506" s="145"/>
      <c r="FT2506" s="145"/>
      <c r="FU2506" s="145"/>
      <c r="FV2506" s="145"/>
      <c r="FW2506" s="145"/>
      <c r="FX2506" s="145"/>
      <c r="FY2506" s="145"/>
      <c r="FZ2506" s="145"/>
      <c r="GA2506" s="145"/>
      <c r="GB2506" s="145"/>
      <c r="GC2506" s="145"/>
      <c r="GD2506" s="145"/>
      <c r="GE2506" s="145"/>
      <c r="GF2506" s="145"/>
      <c r="GG2506" s="145"/>
      <c r="GH2506" s="145"/>
      <c r="GI2506" s="145"/>
      <c r="GJ2506" s="145"/>
      <c r="GK2506" s="145"/>
      <c r="GL2506" s="145"/>
      <c r="GM2506" s="145"/>
      <c r="GN2506" s="145"/>
      <c r="GO2506" s="145"/>
      <c r="GP2506" s="145"/>
      <c r="GQ2506" s="145"/>
      <c r="GR2506" s="145"/>
      <c r="GS2506" s="145"/>
      <c r="GT2506" s="145"/>
      <c r="GU2506" s="145"/>
      <c r="GV2506" s="145"/>
      <c r="GW2506" s="145"/>
      <c r="GX2506" s="145"/>
      <c r="GY2506" s="145"/>
      <c r="GZ2506" s="145"/>
      <c r="HA2506" s="145"/>
      <c r="HB2506" s="145"/>
      <c r="HC2506" s="145"/>
      <c r="HD2506" s="145"/>
      <c r="HE2506" s="145"/>
      <c r="HF2506" s="145"/>
    </row>
    <row r="2507" spans="1:214" x14ac:dyDescent="0.35">
      <c r="A2507" s="337">
        <v>1</v>
      </c>
      <c r="B2507" s="305">
        <v>7336</v>
      </c>
      <c r="C2507" s="333" t="s">
        <v>692</v>
      </c>
      <c r="D2507" s="273">
        <v>288.99</v>
      </c>
      <c r="E2507" s="273" t="s">
        <v>633</v>
      </c>
      <c r="F2507" s="282">
        <v>2</v>
      </c>
      <c r="G2507" s="270" t="s">
        <v>84</v>
      </c>
      <c r="H2507" s="136" t="s">
        <v>672</v>
      </c>
      <c r="I2507" s="181">
        <f>I2508+I2509</f>
        <v>123398.73</v>
      </c>
      <c r="J2507" s="181">
        <f>J2508+J2509</f>
        <v>427</v>
      </c>
      <c r="K2507" s="181">
        <f>K2508+K2509</f>
        <v>427</v>
      </c>
      <c r="L2507" s="145"/>
      <c r="M2507" s="145"/>
      <c r="N2507" s="145"/>
      <c r="O2507" s="145"/>
      <c r="P2507" s="145"/>
      <c r="Q2507" s="145"/>
      <c r="R2507" s="145"/>
      <c r="S2507" s="145"/>
      <c r="T2507" s="145"/>
      <c r="U2507" s="145"/>
      <c r="V2507" s="145"/>
      <c r="W2507" s="145"/>
      <c r="X2507" s="145"/>
      <c r="Y2507" s="145"/>
      <c r="Z2507" s="145"/>
      <c r="AA2507" s="145"/>
      <c r="AB2507" s="145"/>
      <c r="AC2507" s="145"/>
      <c r="AD2507" s="145"/>
      <c r="AE2507" s="145"/>
      <c r="AF2507" s="145"/>
      <c r="AG2507" s="145"/>
      <c r="AH2507" s="145"/>
      <c r="AI2507" s="145"/>
      <c r="AJ2507" s="145"/>
      <c r="AK2507" s="145"/>
      <c r="AL2507" s="145"/>
      <c r="AM2507" s="145"/>
      <c r="AN2507" s="145"/>
      <c r="AO2507" s="145"/>
      <c r="AP2507" s="145"/>
      <c r="AQ2507" s="145"/>
      <c r="AR2507" s="145"/>
      <c r="AS2507" s="145"/>
      <c r="AT2507" s="145"/>
      <c r="AU2507" s="145"/>
      <c r="AV2507" s="145"/>
      <c r="AW2507" s="145"/>
      <c r="AX2507" s="145"/>
      <c r="AY2507" s="145"/>
      <c r="AZ2507" s="145"/>
      <c r="BA2507" s="145"/>
      <c r="BB2507" s="145"/>
      <c r="BC2507" s="145"/>
      <c r="BD2507" s="145"/>
      <c r="BE2507" s="145"/>
      <c r="BF2507" s="145"/>
      <c r="BG2507" s="145"/>
      <c r="BH2507" s="145"/>
      <c r="BI2507" s="145"/>
      <c r="BJ2507" s="145"/>
      <c r="BK2507" s="145"/>
      <c r="BL2507" s="145"/>
      <c r="BM2507" s="145"/>
      <c r="BN2507" s="145"/>
      <c r="BO2507" s="145"/>
      <c r="BP2507" s="145"/>
      <c r="BQ2507" s="145"/>
      <c r="BR2507" s="145"/>
      <c r="BS2507" s="145"/>
      <c r="BT2507" s="145"/>
      <c r="BU2507" s="145"/>
      <c r="BV2507" s="145"/>
      <c r="BW2507" s="145"/>
      <c r="BX2507" s="145"/>
      <c r="BY2507" s="145"/>
      <c r="BZ2507" s="145"/>
      <c r="CA2507" s="145"/>
      <c r="CB2507" s="145"/>
      <c r="CC2507" s="145"/>
      <c r="CD2507" s="145"/>
      <c r="CE2507" s="145"/>
      <c r="CF2507" s="145"/>
      <c r="CG2507" s="145"/>
      <c r="CH2507" s="145"/>
      <c r="CI2507" s="145"/>
      <c r="CJ2507" s="145"/>
      <c r="CK2507" s="145"/>
      <c r="CL2507" s="145"/>
      <c r="CM2507" s="145"/>
      <c r="CN2507" s="145"/>
      <c r="CO2507" s="145"/>
      <c r="CP2507" s="145"/>
      <c r="CQ2507" s="145"/>
      <c r="CR2507" s="145"/>
      <c r="CS2507" s="145"/>
      <c r="CT2507" s="145"/>
      <c r="CU2507" s="145"/>
      <c r="CV2507" s="145"/>
      <c r="CW2507" s="145"/>
      <c r="CX2507" s="145"/>
      <c r="CY2507" s="145"/>
      <c r="CZ2507" s="145"/>
      <c r="DA2507" s="145"/>
      <c r="DB2507" s="145"/>
      <c r="DC2507" s="145"/>
      <c r="DD2507" s="145"/>
      <c r="DE2507" s="145"/>
      <c r="DF2507" s="145"/>
      <c r="DG2507" s="145"/>
      <c r="DH2507" s="145"/>
      <c r="DI2507" s="145"/>
      <c r="DJ2507" s="145"/>
      <c r="DK2507" s="145"/>
      <c r="DL2507" s="145"/>
      <c r="DM2507" s="145"/>
      <c r="DN2507" s="145"/>
      <c r="DO2507" s="145"/>
      <c r="DP2507" s="145"/>
      <c r="DQ2507" s="145"/>
      <c r="DR2507" s="145"/>
      <c r="DS2507" s="145"/>
      <c r="DT2507" s="145"/>
      <c r="DU2507" s="145"/>
      <c r="DV2507" s="145"/>
      <c r="DW2507" s="145"/>
      <c r="DX2507" s="145"/>
      <c r="DY2507" s="145"/>
      <c r="DZ2507" s="145"/>
      <c r="EA2507" s="145"/>
      <c r="EB2507" s="145"/>
      <c r="EC2507" s="145"/>
      <c r="ED2507" s="145"/>
      <c r="EE2507" s="145"/>
      <c r="EF2507" s="145"/>
      <c r="EG2507" s="145"/>
      <c r="EH2507" s="145"/>
      <c r="EI2507" s="145"/>
      <c r="EJ2507" s="145"/>
      <c r="EK2507" s="145"/>
      <c r="EL2507" s="145"/>
      <c r="EM2507" s="145"/>
      <c r="EN2507" s="145"/>
      <c r="EO2507" s="145"/>
      <c r="EP2507" s="145"/>
      <c r="EQ2507" s="145"/>
      <c r="ER2507" s="145"/>
      <c r="ES2507" s="145"/>
      <c r="ET2507" s="145"/>
      <c r="EU2507" s="145"/>
      <c r="EV2507" s="145"/>
      <c r="EW2507" s="145"/>
      <c r="EX2507" s="145"/>
      <c r="EY2507" s="145"/>
      <c r="EZ2507" s="145"/>
      <c r="FA2507" s="145"/>
      <c r="FB2507" s="145"/>
      <c r="FC2507" s="145"/>
      <c r="FD2507" s="145"/>
      <c r="FE2507" s="145"/>
      <c r="FF2507" s="145"/>
      <c r="FG2507" s="145"/>
      <c r="FH2507" s="145"/>
      <c r="FI2507" s="145"/>
      <c r="FJ2507" s="145"/>
      <c r="FK2507" s="145"/>
      <c r="FL2507" s="145"/>
      <c r="FM2507" s="145"/>
      <c r="FN2507" s="145"/>
      <c r="FO2507" s="145"/>
      <c r="FP2507" s="145"/>
      <c r="FQ2507" s="145"/>
      <c r="FR2507" s="145"/>
      <c r="FS2507" s="145"/>
      <c r="FT2507" s="145"/>
      <c r="FU2507" s="145"/>
      <c r="FV2507" s="145"/>
      <c r="FW2507" s="145"/>
      <c r="FX2507" s="145"/>
      <c r="FY2507" s="145"/>
      <c r="FZ2507" s="145"/>
      <c r="GA2507" s="145"/>
      <c r="GB2507" s="145"/>
      <c r="GC2507" s="145"/>
      <c r="GD2507" s="145"/>
      <c r="GE2507" s="145"/>
      <c r="GF2507" s="145"/>
      <c r="GG2507" s="145"/>
      <c r="GH2507" s="145"/>
      <c r="GI2507" s="145"/>
      <c r="GJ2507" s="145"/>
      <c r="GK2507" s="145"/>
      <c r="GL2507" s="145"/>
      <c r="GM2507" s="145"/>
      <c r="GN2507" s="145"/>
      <c r="GO2507" s="145"/>
      <c r="GP2507" s="145"/>
      <c r="GQ2507" s="145"/>
      <c r="GR2507" s="145"/>
      <c r="GS2507" s="145"/>
      <c r="GT2507" s="145"/>
      <c r="GU2507" s="145"/>
      <c r="GV2507" s="145"/>
      <c r="GW2507" s="145"/>
      <c r="GX2507" s="145"/>
      <c r="GY2507" s="145"/>
      <c r="GZ2507" s="145"/>
      <c r="HA2507" s="145"/>
      <c r="HB2507" s="145"/>
      <c r="HC2507" s="145"/>
      <c r="HD2507" s="145"/>
      <c r="HE2507" s="145"/>
      <c r="HF2507" s="145"/>
    </row>
    <row r="2508" spans="1:214" ht="46.5" x14ac:dyDescent="0.35">
      <c r="A2508" s="337"/>
      <c r="B2508" s="306"/>
      <c r="C2508" s="334"/>
      <c r="D2508" s="274"/>
      <c r="E2508" s="274"/>
      <c r="F2508" s="283"/>
      <c r="G2508" s="271"/>
      <c r="H2508" s="136" t="s">
        <v>673</v>
      </c>
      <c r="I2508" s="181">
        <f>60687.9+27*D2507</f>
        <v>68490.63</v>
      </c>
      <c r="J2508" s="181">
        <f>I2508/D2507</f>
        <v>237</v>
      </c>
      <c r="K2508" s="181">
        <f>210+27</f>
        <v>237</v>
      </c>
      <c r="L2508" s="145"/>
      <c r="M2508" s="145"/>
      <c r="N2508" s="145"/>
      <c r="O2508" s="145"/>
      <c r="P2508" s="145"/>
      <c r="Q2508" s="145"/>
      <c r="R2508" s="145"/>
      <c r="S2508" s="145"/>
      <c r="T2508" s="145"/>
      <c r="U2508" s="145"/>
      <c r="V2508" s="145"/>
      <c r="W2508" s="145"/>
      <c r="X2508" s="145"/>
      <c r="Y2508" s="145"/>
      <c r="Z2508" s="145"/>
      <c r="AA2508" s="145"/>
      <c r="AB2508" s="145"/>
      <c r="AC2508" s="145"/>
      <c r="AD2508" s="145"/>
      <c r="AE2508" s="145"/>
      <c r="AF2508" s="145"/>
      <c r="AG2508" s="145"/>
      <c r="AH2508" s="145"/>
      <c r="AI2508" s="145"/>
      <c r="AJ2508" s="145"/>
      <c r="AK2508" s="145"/>
      <c r="AL2508" s="145"/>
      <c r="AM2508" s="145"/>
      <c r="AN2508" s="145"/>
      <c r="AO2508" s="145"/>
      <c r="AP2508" s="145"/>
      <c r="AQ2508" s="145"/>
      <c r="AR2508" s="145"/>
      <c r="AS2508" s="145"/>
      <c r="AT2508" s="145"/>
      <c r="AU2508" s="145"/>
      <c r="AV2508" s="145"/>
      <c r="AW2508" s="145"/>
      <c r="AX2508" s="145"/>
      <c r="AY2508" s="145"/>
      <c r="AZ2508" s="145"/>
      <c r="BA2508" s="145"/>
      <c r="BB2508" s="145"/>
      <c r="BC2508" s="145"/>
      <c r="BD2508" s="145"/>
      <c r="BE2508" s="145"/>
      <c r="BF2508" s="145"/>
      <c r="BG2508" s="145"/>
      <c r="BH2508" s="145"/>
      <c r="BI2508" s="145"/>
      <c r="BJ2508" s="145"/>
      <c r="BK2508" s="145"/>
      <c r="BL2508" s="145"/>
      <c r="BM2508" s="145"/>
      <c r="BN2508" s="145"/>
      <c r="BO2508" s="145"/>
      <c r="BP2508" s="145"/>
      <c r="BQ2508" s="145"/>
      <c r="BR2508" s="145"/>
      <c r="BS2508" s="145"/>
      <c r="BT2508" s="145"/>
      <c r="BU2508" s="145"/>
      <c r="BV2508" s="145"/>
      <c r="BW2508" s="145"/>
      <c r="BX2508" s="145"/>
      <c r="BY2508" s="145"/>
      <c r="BZ2508" s="145"/>
      <c r="CA2508" s="145"/>
      <c r="CB2508" s="145"/>
      <c r="CC2508" s="145"/>
      <c r="CD2508" s="145"/>
      <c r="CE2508" s="145"/>
      <c r="CF2508" s="145"/>
      <c r="CG2508" s="145"/>
      <c r="CH2508" s="145"/>
      <c r="CI2508" s="145"/>
      <c r="CJ2508" s="145"/>
      <c r="CK2508" s="145"/>
      <c r="CL2508" s="145"/>
      <c r="CM2508" s="145"/>
      <c r="CN2508" s="145"/>
      <c r="CO2508" s="145"/>
      <c r="CP2508" s="145"/>
      <c r="CQ2508" s="145"/>
      <c r="CR2508" s="145"/>
      <c r="CS2508" s="145"/>
      <c r="CT2508" s="145"/>
      <c r="CU2508" s="145"/>
      <c r="CV2508" s="145"/>
      <c r="CW2508" s="145"/>
      <c r="CX2508" s="145"/>
      <c r="CY2508" s="145"/>
      <c r="CZ2508" s="145"/>
      <c r="DA2508" s="145"/>
      <c r="DB2508" s="145"/>
      <c r="DC2508" s="145"/>
      <c r="DD2508" s="145"/>
      <c r="DE2508" s="145"/>
      <c r="DF2508" s="145"/>
      <c r="DG2508" s="145"/>
      <c r="DH2508" s="145"/>
      <c r="DI2508" s="145"/>
      <c r="DJ2508" s="145"/>
      <c r="DK2508" s="145"/>
      <c r="DL2508" s="145"/>
      <c r="DM2508" s="145"/>
      <c r="DN2508" s="145"/>
      <c r="DO2508" s="145"/>
      <c r="DP2508" s="145"/>
      <c r="DQ2508" s="145"/>
      <c r="DR2508" s="145"/>
      <c r="DS2508" s="145"/>
      <c r="DT2508" s="145"/>
      <c r="DU2508" s="145"/>
      <c r="DV2508" s="145"/>
      <c r="DW2508" s="145"/>
      <c r="DX2508" s="145"/>
      <c r="DY2508" s="145"/>
      <c r="DZ2508" s="145"/>
      <c r="EA2508" s="145"/>
      <c r="EB2508" s="145"/>
      <c r="EC2508" s="145"/>
      <c r="ED2508" s="145"/>
      <c r="EE2508" s="145"/>
      <c r="EF2508" s="145"/>
      <c r="EG2508" s="145"/>
      <c r="EH2508" s="145"/>
      <c r="EI2508" s="145"/>
      <c r="EJ2508" s="145"/>
      <c r="EK2508" s="145"/>
      <c r="EL2508" s="145"/>
      <c r="EM2508" s="145"/>
      <c r="EN2508" s="145"/>
      <c r="EO2508" s="145"/>
      <c r="EP2508" s="145"/>
      <c r="EQ2508" s="145"/>
      <c r="ER2508" s="145"/>
      <c r="ES2508" s="145"/>
      <c r="ET2508" s="145"/>
      <c r="EU2508" s="145"/>
      <c r="EV2508" s="145"/>
      <c r="EW2508" s="145"/>
      <c r="EX2508" s="145"/>
      <c r="EY2508" s="145"/>
      <c r="EZ2508" s="145"/>
      <c r="FA2508" s="145"/>
      <c r="FB2508" s="145"/>
      <c r="FC2508" s="145"/>
      <c r="FD2508" s="145"/>
      <c r="FE2508" s="145"/>
      <c r="FF2508" s="145"/>
      <c r="FG2508" s="145"/>
      <c r="FH2508" s="145"/>
      <c r="FI2508" s="145"/>
      <c r="FJ2508" s="145"/>
      <c r="FK2508" s="145"/>
      <c r="FL2508" s="145"/>
      <c r="FM2508" s="145"/>
      <c r="FN2508" s="145"/>
      <c r="FO2508" s="145"/>
      <c r="FP2508" s="145"/>
      <c r="FQ2508" s="145"/>
      <c r="FR2508" s="145"/>
      <c r="FS2508" s="145"/>
      <c r="FT2508" s="145"/>
      <c r="FU2508" s="145"/>
      <c r="FV2508" s="145"/>
      <c r="FW2508" s="145"/>
      <c r="FX2508" s="145"/>
      <c r="FY2508" s="145"/>
      <c r="FZ2508" s="145"/>
      <c r="GA2508" s="145"/>
      <c r="GB2508" s="145"/>
      <c r="GC2508" s="145"/>
      <c r="GD2508" s="145"/>
      <c r="GE2508" s="145"/>
      <c r="GF2508" s="145"/>
      <c r="GG2508" s="145"/>
      <c r="GH2508" s="145"/>
      <c r="GI2508" s="145"/>
      <c r="GJ2508" s="145"/>
      <c r="GK2508" s="145"/>
      <c r="GL2508" s="145"/>
      <c r="GM2508" s="145"/>
      <c r="GN2508" s="145"/>
      <c r="GO2508" s="145"/>
      <c r="GP2508" s="145"/>
      <c r="GQ2508" s="145"/>
      <c r="GR2508" s="145"/>
      <c r="GS2508" s="145"/>
      <c r="GT2508" s="145"/>
      <c r="GU2508" s="145"/>
      <c r="GV2508" s="145"/>
      <c r="GW2508" s="145"/>
      <c r="GX2508" s="145"/>
      <c r="GY2508" s="145"/>
      <c r="GZ2508" s="145"/>
      <c r="HA2508" s="145"/>
      <c r="HB2508" s="145"/>
      <c r="HC2508" s="145"/>
      <c r="HD2508" s="145"/>
      <c r="HE2508" s="145"/>
      <c r="HF2508" s="145"/>
    </row>
    <row r="2509" spans="1:214" ht="46.5" x14ac:dyDescent="0.35">
      <c r="A2509" s="337">
        <v>2232.3333333333298</v>
      </c>
      <c r="B2509" s="307"/>
      <c r="C2509" s="334"/>
      <c r="D2509" s="274"/>
      <c r="E2509" s="274"/>
      <c r="F2509" s="283"/>
      <c r="G2509" s="271"/>
      <c r="H2509" s="136" t="s">
        <v>674</v>
      </c>
      <c r="I2509" s="181">
        <f>46816.38+28*D2507</f>
        <v>54908.1</v>
      </c>
      <c r="J2509" s="181">
        <f>I2509/D2507</f>
        <v>190</v>
      </c>
      <c r="K2509" s="181">
        <f>162+28</f>
        <v>190</v>
      </c>
      <c r="L2509" s="145"/>
      <c r="M2509" s="145"/>
      <c r="N2509" s="145"/>
      <c r="O2509" s="145"/>
      <c r="P2509" s="145"/>
      <c r="Q2509" s="145"/>
      <c r="R2509" s="145"/>
      <c r="S2509" s="145"/>
      <c r="T2509" s="145"/>
      <c r="U2509" s="145"/>
      <c r="V2509" s="145"/>
      <c r="W2509" s="145"/>
      <c r="X2509" s="145"/>
      <c r="Y2509" s="145"/>
      <c r="Z2509" s="145"/>
      <c r="AA2509" s="145"/>
      <c r="AB2509" s="145"/>
      <c r="AC2509" s="145"/>
      <c r="AD2509" s="145"/>
      <c r="AE2509" s="145"/>
      <c r="AF2509" s="145"/>
      <c r="AG2509" s="145"/>
      <c r="AH2509" s="145"/>
      <c r="AI2509" s="145"/>
      <c r="AJ2509" s="145"/>
      <c r="AK2509" s="145"/>
      <c r="AL2509" s="145"/>
      <c r="AM2509" s="145"/>
      <c r="AN2509" s="145"/>
      <c r="AO2509" s="145"/>
      <c r="AP2509" s="145"/>
      <c r="AQ2509" s="145"/>
      <c r="AR2509" s="145"/>
      <c r="AS2509" s="145"/>
      <c r="AT2509" s="145"/>
      <c r="AU2509" s="145"/>
      <c r="AV2509" s="145"/>
      <c r="AW2509" s="145"/>
      <c r="AX2509" s="145"/>
      <c r="AY2509" s="145"/>
      <c r="AZ2509" s="145"/>
      <c r="BA2509" s="145"/>
      <c r="BB2509" s="145"/>
      <c r="BC2509" s="145"/>
      <c r="BD2509" s="145"/>
      <c r="BE2509" s="145"/>
      <c r="BF2509" s="145"/>
      <c r="BG2509" s="145"/>
      <c r="BH2509" s="145"/>
      <c r="BI2509" s="145"/>
      <c r="BJ2509" s="145"/>
      <c r="BK2509" s="145"/>
      <c r="BL2509" s="145"/>
      <c r="BM2509" s="145"/>
      <c r="BN2509" s="145"/>
      <c r="BO2509" s="145"/>
      <c r="BP2509" s="145"/>
      <c r="BQ2509" s="145"/>
      <c r="BR2509" s="145"/>
      <c r="BS2509" s="145"/>
      <c r="BT2509" s="145"/>
      <c r="BU2509" s="145"/>
      <c r="BV2509" s="145"/>
      <c r="BW2509" s="145"/>
      <c r="BX2509" s="145"/>
      <c r="BY2509" s="145"/>
      <c r="BZ2509" s="145"/>
      <c r="CA2509" s="145"/>
      <c r="CB2509" s="145"/>
      <c r="CC2509" s="145"/>
      <c r="CD2509" s="145"/>
      <c r="CE2509" s="145"/>
      <c r="CF2509" s="145"/>
      <c r="CG2509" s="145"/>
      <c r="CH2509" s="145"/>
      <c r="CI2509" s="145"/>
      <c r="CJ2509" s="145"/>
      <c r="CK2509" s="145"/>
      <c r="CL2509" s="145"/>
      <c r="CM2509" s="145"/>
      <c r="CN2509" s="145"/>
      <c r="CO2509" s="145"/>
      <c r="CP2509" s="145"/>
      <c r="CQ2509" s="145"/>
      <c r="CR2509" s="145"/>
      <c r="CS2509" s="145"/>
      <c r="CT2509" s="145"/>
      <c r="CU2509" s="145"/>
      <c r="CV2509" s="145"/>
      <c r="CW2509" s="145"/>
      <c r="CX2509" s="145"/>
      <c r="CY2509" s="145"/>
      <c r="CZ2509" s="145"/>
      <c r="DA2509" s="145"/>
      <c r="DB2509" s="145"/>
      <c r="DC2509" s="145"/>
      <c r="DD2509" s="145"/>
      <c r="DE2509" s="145"/>
      <c r="DF2509" s="145"/>
      <c r="DG2509" s="145"/>
      <c r="DH2509" s="145"/>
      <c r="DI2509" s="145"/>
      <c r="DJ2509" s="145"/>
      <c r="DK2509" s="145"/>
      <c r="DL2509" s="145"/>
      <c r="DM2509" s="145"/>
      <c r="DN2509" s="145"/>
      <c r="DO2509" s="145"/>
      <c r="DP2509" s="145"/>
      <c r="DQ2509" s="145"/>
      <c r="DR2509" s="145"/>
      <c r="DS2509" s="145"/>
      <c r="DT2509" s="145"/>
      <c r="DU2509" s="145"/>
      <c r="DV2509" s="145"/>
      <c r="DW2509" s="145"/>
      <c r="DX2509" s="145"/>
      <c r="DY2509" s="145"/>
      <c r="DZ2509" s="145"/>
      <c r="EA2509" s="145"/>
      <c r="EB2509" s="145"/>
      <c r="EC2509" s="145"/>
      <c r="ED2509" s="145"/>
      <c r="EE2509" s="145"/>
      <c r="EF2509" s="145"/>
      <c r="EG2509" s="145"/>
      <c r="EH2509" s="145"/>
      <c r="EI2509" s="145"/>
      <c r="EJ2509" s="145"/>
      <c r="EK2509" s="145"/>
      <c r="EL2509" s="145"/>
      <c r="EM2509" s="145"/>
      <c r="EN2509" s="145"/>
      <c r="EO2509" s="145"/>
      <c r="EP2509" s="145"/>
      <c r="EQ2509" s="145"/>
      <c r="ER2509" s="145"/>
      <c r="ES2509" s="145"/>
      <c r="ET2509" s="145"/>
      <c r="EU2509" s="145"/>
      <c r="EV2509" s="145"/>
      <c r="EW2509" s="145"/>
      <c r="EX2509" s="145"/>
      <c r="EY2509" s="145"/>
      <c r="EZ2509" s="145"/>
      <c r="FA2509" s="145"/>
      <c r="FB2509" s="145"/>
      <c r="FC2509" s="145"/>
      <c r="FD2509" s="145"/>
      <c r="FE2509" s="145"/>
      <c r="FF2509" s="145"/>
      <c r="FG2509" s="145"/>
      <c r="FH2509" s="145"/>
      <c r="FI2509" s="145"/>
      <c r="FJ2509" s="145"/>
      <c r="FK2509" s="145"/>
      <c r="FL2509" s="145"/>
      <c r="FM2509" s="145"/>
      <c r="FN2509" s="145"/>
      <c r="FO2509" s="145"/>
      <c r="FP2509" s="145"/>
      <c r="FQ2509" s="145"/>
      <c r="FR2509" s="145"/>
      <c r="FS2509" s="145"/>
      <c r="FT2509" s="145"/>
      <c r="FU2509" s="145"/>
      <c r="FV2509" s="145"/>
      <c r="FW2509" s="145"/>
      <c r="FX2509" s="145"/>
      <c r="FY2509" s="145"/>
      <c r="FZ2509" s="145"/>
      <c r="GA2509" s="145"/>
      <c r="GB2509" s="145"/>
      <c r="GC2509" s="145"/>
      <c r="GD2509" s="145"/>
      <c r="GE2509" s="145"/>
      <c r="GF2509" s="145"/>
      <c r="GG2509" s="145"/>
      <c r="GH2509" s="145"/>
      <c r="GI2509" s="145"/>
      <c r="GJ2509" s="145"/>
      <c r="GK2509" s="145"/>
      <c r="GL2509" s="145"/>
      <c r="GM2509" s="145"/>
      <c r="GN2509" s="145"/>
      <c r="GO2509" s="145"/>
      <c r="GP2509" s="145"/>
      <c r="GQ2509" s="145"/>
      <c r="GR2509" s="145"/>
      <c r="GS2509" s="145"/>
      <c r="GT2509" s="145"/>
      <c r="GU2509" s="145"/>
      <c r="GV2509" s="145"/>
      <c r="GW2509" s="145"/>
      <c r="GX2509" s="145"/>
      <c r="GY2509" s="145"/>
      <c r="GZ2509" s="145"/>
      <c r="HA2509" s="145"/>
      <c r="HB2509" s="145"/>
      <c r="HC2509" s="145"/>
      <c r="HD2509" s="145"/>
      <c r="HE2509" s="145"/>
      <c r="HF2509" s="145"/>
    </row>
    <row r="2510" spans="1:214" x14ac:dyDescent="0.35">
      <c r="A2510" s="270">
        <f>A2507+1</f>
        <v>2</v>
      </c>
      <c r="B2510" s="270">
        <v>7309</v>
      </c>
      <c r="C2510" s="278" t="s">
        <v>693</v>
      </c>
      <c r="D2510" s="273">
        <v>527.49</v>
      </c>
      <c r="E2510" s="273" t="s">
        <v>633</v>
      </c>
      <c r="F2510" s="282">
        <v>2</v>
      </c>
      <c r="G2510" s="270" t="s">
        <v>694</v>
      </c>
      <c r="H2510" s="136" t="s">
        <v>72</v>
      </c>
      <c r="I2510" s="181">
        <f>I2511+I2512</f>
        <v>165367.6</v>
      </c>
      <c r="J2510" s="181">
        <f>J2511+J2512</f>
        <v>313.5</v>
      </c>
      <c r="K2510" s="181">
        <f>K2511+K2512</f>
        <v>427</v>
      </c>
      <c r="L2510" s="145"/>
      <c r="M2510" s="145"/>
      <c r="N2510" s="145"/>
      <c r="O2510" s="145"/>
      <c r="P2510" s="145"/>
      <c r="Q2510" s="145"/>
      <c r="R2510" s="145"/>
      <c r="S2510" s="145"/>
      <c r="T2510" s="145"/>
      <c r="U2510" s="145"/>
      <c r="V2510" s="145"/>
      <c r="W2510" s="145"/>
      <c r="X2510" s="145"/>
      <c r="Y2510" s="145"/>
      <c r="Z2510" s="145"/>
      <c r="AA2510" s="145"/>
      <c r="AB2510" s="145"/>
      <c r="AC2510" s="145"/>
      <c r="AD2510" s="145"/>
      <c r="AE2510" s="145"/>
      <c r="AF2510" s="145"/>
      <c r="AG2510" s="145"/>
      <c r="AH2510" s="145"/>
      <c r="AI2510" s="145"/>
      <c r="AJ2510" s="145"/>
      <c r="AK2510" s="145"/>
      <c r="AL2510" s="145"/>
      <c r="AM2510" s="145"/>
      <c r="AN2510" s="145"/>
      <c r="AO2510" s="145"/>
      <c r="AP2510" s="145"/>
      <c r="AQ2510" s="145"/>
      <c r="AR2510" s="145"/>
      <c r="AS2510" s="145"/>
      <c r="AT2510" s="145"/>
      <c r="AU2510" s="145"/>
      <c r="AV2510" s="145"/>
      <c r="AW2510" s="145"/>
      <c r="AX2510" s="145"/>
      <c r="AY2510" s="145"/>
      <c r="AZ2510" s="145"/>
      <c r="BA2510" s="145"/>
      <c r="BB2510" s="145"/>
      <c r="BC2510" s="145"/>
      <c r="BD2510" s="145"/>
      <c r="BE2510" s="145"/>
      <c r="BF2510" s="145"/>
      <c r="BG2510" s="145"/>
      <c r="BH2510" s="145"/>
      <c r="BI2510" s="145"/>
      <c r="BJ2510" s="145"/>
      <c r="BK2510" s="145"/>
      <c r="BL2510" s="145"/>
      <c r="BM2510" s="145"/>
      <c r="BN2510" s="145"/>
      <c r="BO2510" s="145"/>
      <c r="BP2510" s="145"/>
      <c r="BQ2510" s="145"/>
      <c r="BR2510" s="145"/>
      <c r="BS2510" s="145"/>
      <c r="BT2510" s="145"/>
      <c r="BU2510" s="145"/>
      <c r="BV2510" s="145"/>
      <c r="BW2510" s="145"/>
      <c r="BX2510" s="145"/>
      <c r="BY2510" s="145"/>
      <c r="BZ2510" s="145"/>
      <c r="CA2510" s="145"/>
      <c r="CB2510" s="145"/>
      <c r="CC2510" s="145"/>
      <c r="CD2510" s="145"/>
      <c r="CE2510" s="145"/>
      <c r="CF2510" s="145"/>
      <c r="CG2510" s="145"/>
      <c r="CH2510" s="145"/>
      <c r="CI2510" s="145"/>
      <c r="CJ2510" s="145"/>
      <c r="CK2510" s="145"/>
      <c r="CL2510" s="145"/>
      <c r="CM2510" s="145"/>
      <c r="CN2510" s="145"/>
      <c r="CO2510" s="145"/>
      <c r="CP2510" s="145"/>
      <c r="CQ2510" s="145"/>
      <c r="CR2510" s="145"/>
      <c r="CS2510" s="145"/>
      <c r="CT2510" s="145"/>
      <c r="CU2510" s="145"/>
      <c r="CV2510" s="145"/>
      <c r="CW2510" s="145"/>
      <c r="CX2510" s="145"/>
      <c r="CY2510" s="145"/>
      <c r="CZ2510" s="145"/>
      <c r="DA2510" s="145"/>
      <c r="DB2510" s="145"/>
      <c r="DC2510" s="145"/>
      <c r="DD2510" s="145"/>
      <c r="DE2510" s="145"/>
      <c r="DF2510" s="145"/>
      <c r="DG2510" s="145"/>
      <c r="DH2510" s="145"/>
      <c r="DI2510" s="145"/>
      <c r="DJ2510" s="145"/>
      <c r="DK2510" s="145"/>
      <c r="DL2510" s="145"/>
      <c r="DM2510" s="145"/>
      <c r="DN2510" s="145"/>
      <c r="DO2510" s="145"/>
      <c r="DP2510" s="145"/>
      <c r="DQ2510" s="145"/>
      <c r="DR2510" s="145"/>
      <c r="DS2510" s="145"/>
      <c r="DT2510" s="145"/>
      <c r="DU2510" s="145"/>
      <c r="DV2510" s="145"/>
      <c r="DW2510" s="145"/>
      <c r="DX2510" s="145"/>
      <c r="DY2510" s="145"/>
      <c r="DZ2510" s="145"/>
      <c r="EA2510" s="145"/>
      <c r="EB2510" s="145"/>
      <c r="EC2510" s="145"/>
      <c r="ED2510" s="145"/>
      <c r="EE2510" s="145"/>
      <c r="EF2510" s="145"/>
      <c r="EG2510" s="145"/>
      <c r="EH2510" s="145"/>
      <c r="EI2510" s="145"/>
      <c r="EJ2510" s="145"/>
      <c r="EK2510" s="145"/>
      <c r="EL2510" s="145"/>
      <c r="EM2510" s="145"/>
      <c r="EN2510" s="145"/>
      <c r="EO2510" s="145"/>
      <c r="EP2510" s="145"/>
      <c r="EQ2510" s="145"/>
      <c r="ER2510" s="145"/>
      <c r="ES2510" s="145"/>
      <c r="ET2510" s="145"/>
      <c r="EU2510" s="145"/>
      <c r="EV2510" s="145"/>
      <c r="EW2510" s="145"/>
      <c r="EX2510" s="145"/>
      <c r="EY2510" s="145"/>
      <c r="EZ2510" s="145"/>
      <c r="FA2510" s="145"/>
      <c r="FB2510" s="145"/>
      <c r="FC2510" s="145"/>
      <c r="FD2510" s="145"/>
      <c r="FE2510" s="145"/>
      <c r="FF2510" s="145"/>
      <c r="FG2510" s="145"/>
      <c r="FH2510" s="145"/>
      <c r="FI2510" s="145"/>
      <c r="FJ2510" s="145"/>
      <c r="FK2510" s="145"/>
      <c r="FL2510" s="145"/>
      <c r="FM2510" s="145"/>
      <c r="FN2510" s="145"/>
      <c r="FO2510" s="145"/>
      <c r="FP2510" s="145"/>
      <c r="FQ2510" s="145"/>
      <c r="FR2510" s="145"/>
      <c r="FS2510" s="145"/>
      <c r="FT2510" s="145"/>
      <c r="FU2510" s="145"/>
      <c r="FV2510" s="145"/>
      <c r="FW2510" s="145"/>
      <c r="FX2510" s="145"/>
      <c r="FY2510" s="145"/>
      <c r="FZ2510" s="145"/>
      <c r="GA2510" s="145"/>
      <c r="GB2510" s="145"/>
      <c r="GC2510" s="145"/>
      <c r="GD2510" s="145"/>
      <c r="GE2510" s="145"/>
      <c r="GF2510" s="145"/>
      <c r="GG2510" s="145"/>
      <c r="GH2510" s="145"/>
      <c r="GI2510" s="145"/>
      <c r="GJ2510" s="145"/>
      <c r="GK2510" s="145"/>
      <c r="GL2510" s="145"/>
      <c r="GM2510" s="145"/>
      <c r="GN2510" s="145"/>
      <c r="GO2510" s="145"/>
      <c r="GP2510" s="145"/>
      <c r="GQ2510" s="145"/>
      <c r="GR2510" s="145"/>
      <c r="GS2510" s="145"/>
      <c r="GT2510" s="145"/>
      <c r="GU2510" s="145"/>
      <c r="GV2510" s="145"/>
      <c r="GW2510" s="145"/>
      <c r="GX2510" s="145"/>
      <c r="GY2510" s="145"/>
      <c r="GZ2510" s="145"/>
      <c r="HA2510" s="145"/>
      <c r="HB2510" s="145"/>
      <c r="HC2510" s="145"/>
      <c r="HD2510" s="145"/>
      <c r="HE2510" s="145"/>
      <c r="HF2510" s="145"/>
    </row>
    <row r="2511" spans="1:214" ht="46.5" x14ac:dyDescent="0.35">
      <c r="A2511" s="271"/>
      <c r="B2511" s="271"/>
      <c r="C2511" s="279"/>
      <c r="D2511" s="274"/>
      <c r="E2511" s="274"/>
      <c r="F2511" s="283"/>
      <c r="G2511" s="271"/>
      <c r="H2511" s="136" t="s">
        <v>673</v>
      </c>
      <c r="I2511" s="181">
        <v>72529.36</v>
      </c>
      <c r="J2511" s="181">
        <f>I2511/D2510</f>
        <v>137.5</v>
      </c>
      <c r="K2511" s="181">
        <f>210+27</f>
        <v>237</v>
      </c>
      <c r="L2511" s="145"/>
      <c r="M2511" s="145"/>
      <c r="N2511" s="145"/>
      <c r="O2511" s="145"/>
      <c r="P2511" s="145"/>
      <c r="Q2511" s="145"/>
      <c r="R2511" s="145"/>
      <c r="S2511" s="145"/>
      <c r="T2511" s="145"/>
      <c r="U2511" s="145"/>
      <c r="V2511" s="145"/>
      <c r="W2511" s="145"/>
      <c r="X2511" s="145"/>
      <c r="Y2511" s="145"/>
      <c r="Z2511" s="145"/>
      <c r="AA2511" s="145"/>
      <c r="AB2511" s="145"/>
      <c r="AC2511" s="145"/>
      <c r="AD2511" s="145"/>
      <c r="AE2511" s="145"/>
      <c r="AF2511" s="145"/>
      <c r="AG2511" s="145"/>
      <c r="AH2511" s="145"/>
      <c r="AI2511" s="145"/>
      <c r="AJ2511" s="145"/>
      <c r="AK2511" s="145"/>
      <c r="AL2511" s="145"/>
      <c r="AM2511" s="145"/>
      <c r="AN2511" s="145"/>
      <c r="AO2511" s="145"/>
      <c r="AP2511" s="145"/>
      <c r="AQ2511" s="145"/>
      <c r="AR2511" s="145"/>
      <c r="AS2511" s="145"/>
      <c r="AT2511" s="145"/>
      <c r="AU2511" s="145"/>
      <c r="AV2511" s="145"/>
      <c r="AW2511" s="145"/>
      <c r="AX2511" s="145"/>
      <c r="AY2511" s="145"/>
      <c r="AZ2511" s="145"/>
      <c r="BA2511" s="145"/>
      <c r="BB2511" s="145"/>
      <c r="BC2511" s="145"/>
      <c r="BD2511" s="145"/>
      <c r="BE2511" s="145"/>
      <c r="BF2511" s="145"/>
      <c r="BG2511" s="145"/>
      <c r="BH2511" s="145"/>
      <c r="BI2511" s="145"/>
      <c r="BJ2511" s="145"/>
      <c r="BK2511" s="145"/>
      <c r="BL2511" s="145"/>
      <c r="BM2511" s="145"/>
      <c r="BN2511" s="145"/>
      <c r="BO2511" s="145"/>
      <c r="BP2511" s="145"/>
      <c r="BQ2511" s="145"/>
      <c r="BR2511" s="145"/>
      <c r="BS2511" s="145"/>
      <c r="BT2511" s="145"/>
      <c r="BU2511" s="145"/>
      <c r="BV2511" s="145"/>
      <c r="BW2511" s="145"/>
      <c r="BX2511" s="145"/>
      <c r="BY2511" s="145"/>
      <c r="BZ2511" s="145"/>
      <c r="CA2511" s="145"/>
      <c r="CB2511" s="145"/>
      <c r="CC2511" s="145"/>
      <c r="CD2511" s="145"/>
      <c r="CE2511" s="145"/>
      <c r="CF2511" s="145"/>
      <c r="CG2511" s="145"/>
      <c r="CH2511" s="145"/>
      <c r="CI2511" s="145"/>
      <c r="CJ2511" s="145"/>
      <c r="CK2511" s="145"/>
      <c r="CL2511" s="145"/>
      <c r="CM2511" s="145"/>
      <c r="CN2511" s="145"/>
      <c r="CO2511" s="145"/>
      <c r="CP2511" s="145"/>
      <c r="CQ2511" s="145"/>
      <c r="CR2511" s="145"/>
      <c r="CS2511" s="145"/>
      <c r="CT2511" s="145"/>
      <c r="CU2511" s="145"/>
      <c r="CV2511" s="145"/>
      <c r="CW2511" s="145"/>
      <c r="CX2511" s="145"/>
      <c r="CY2511" s="145"/>
      <c r="CZ2511" s="145"/>
      <c r="DA2511" s="145"/>
      <c r="DB2511" s="145"/>
      <c r="DC2511" s="145"/>
      <c r="DD2511" s="145"/>
      <c r="DE2511" s="145"/>
      <c r="DF2511" s="145"/>
      <c r="DG2511" s="145"/>
      <c r="DH2511" s="145"/>
      <c r="DI2511" s="145"/>
      <c r="DJ2511" s="145"/>
      <c r="DK2511" s="145"/>
      <c r="DL2511" s="145"/>
      <c r="DM2511" s="145"/>
      <c r="DN2511" s="145"/>
      <c r="DO2511" s="145"/>
      <c r="DP2511" s="145"/>
      <c r="DQ2511" s="145"/>
      <c r="DR2511" s="145"/>
      <c r="DS2511" s="145"/>
      <c r="DT2511" s="145"/>
      <c r="DU2511" s="145"/>
      <c r="DV2511" s="145"/>
      <c r="DW2511" s="145"/>
      <c r="DX2511" s="145"/>
      <c r="DY2511" s="145"/>
      <c r="DZ2511" s="145"/>
      <c r="EA2511" s="145"/>
      <c r="EB2511" s="145"/>
      <c r="EC2511" s="145"/>
      <c r="ED2511" s="145"/>
      <c r="EE2511" s="145"/>
      <c r="EF2511" s="145"/>
      <c r="EG2511" s="145"/>
      <c r="EH2511" s="145"/>
      <c r="EI2511" s="145"/>
      <c r="EJ2511" s="145"/>
      <c r="EK2511" s="145"/>
      <c r="EL2511" s="145"/>
      <c r="EM2511" s="145"/>
      <c r="EN2511" s="145"/>
      <c r="EO2511" s="145"/>
      <c r="EP2511" s="145"/>
      <c r="EQ2511" s="145"/>
      <c r="ER2511" s="145"/>
      <c r="ES2511" s="145"/>
      <c r="ET2511" s="145"/>
      <c r="EU2511" s="145"/>
      <c r="EV2511" s="145"/>
      <c r="EW2511" s="145"/>
      <c r="EX2511" s="145"/>
      <c r="EY2511" s="145"/>
      <c r="EZ2511" s="145"/>
      <c r="FA2511" s="145"/>
      <c r="FB2511" s="145"/>
      <c r="FC2511" s="145"/>
      <c r="FD2511" s="145"/>
      <c r="FE2511" s="145"/>
      <c r="FF2511" s="145"/>
      <c r="FG2511" s="145"/>
      <c r="FH2511" s="145"/>
      <c r="FI2511" s="145"/>
      <c r="FJ2511" s="145"/>
      <c r="FK2511" s="145"/>
      <c r="FL2511" s="145"/>
      <c r="FM2511" s="145"/>
      <c r="FN2511" s="145"/>
      <c r="FO2511" s="145"/>
      <c r="FP2511" s="145"/>
      <c r="FQ2511" s="145"/>
      <c r="FR2511" s="145"/>
      <c r="FS2511" s="145"/>
      <c r="FT2511" s="145"/>
      <c r="FU2511" s="145"/>
      <c r="FV2511" s="145"/>
      <c r="FW2511" s="145"/>
      <c r="FX2511" s="145"/>
      <c r="FY2511" s="145"/>
      <c r="FZ2511" s="145"/>
      <c r="GA2511" s="145"/>
      <c r="GB2511" s="145"/>
      <c r="GC2511" s="145"/>
      <c r="GD2511" s="145"/>
      <c r="GE2511" s="145"/>
      <c r="GF2511" s="145"/>
      <c r="GG2511" s="145"/>
      <c r="GH2511" s="145"/>
      <c r="GI2511" s="145"/>
      <c r="GJ2511" s="145"/>
      <c r="GK2511" s="145"/>
      <c r="GL2511" s="145"/>
      <c r="GM2511" s="145"/>
      <c r="GN2511" s="145"/>
      <c r="GO2511" s="145"/>
      <c r="GP2511" s="145"/>
      <c r="GQ2511" s="145"/>
      <c r="GR2511" s="145"/>
      <c r="GS2511" s="145"/>
      <c r="GT2511" s="145"/>
      <c r="GU2511" s="145"/>
      <c r="GV2511" s="145"/>
      <c r="GW2511" s="145"/>
      <c r="GX2511" s="145"/>
      <c r="GY2511" s="145"/>
      <c r="GZ2511" s="145"/>
      <c r="HA2511" s="145"/>
      <c r="HB2511" s="145"/>
      <c r="HC2511" s="145"/>
      <c r="HD2511" s="145"/>
      <c r="HE2511" s="145"/>
      <c r="HF2511" s="145"/>
    </row>
    <row r="2512" spans="1:214" ht="46.5" x14ac:dyDescent="0.35">
      <c r="A2512" s="271"/>
      <c r="B2512" s="272"/>
      <c r="C2512" s="279"/>
      <c r="D2512" s="274"/>
      <c r="E2512" s="274"/>
      <c r="F2512" s="283"/>
      <c r="G2512" s="271"/>
      <c r="H2512" s="136" t="s">
        <v>674</v>
      </c>
      <c r="I2512" s="181">
        <v>92838.24</v>
      </c>
      <c r="J2512" s="181">
        <f>I2512/D2510</f>
        <v>176</v>
      </c>
      <c r="K2512" s="181">
        <f>162+28</f>
        <v>190</v>
      </c>
      <c r="L2512" s="145"/>
      <c r="M2512" s="145"/>
      <c r="N2512" s="145"/>
      <c r="O2512" s="145"/>
      <c r="P2512" s="145"/>
      <c r="Q2512" s="145"/>
      <c r="R2512" s="145"/>
      <c r="S2512" s="145"/>
      <c r="T2512" s="145"/>
      <c r="U2512" s="145"/>
      <c r="V2512" s="145"/>
      <c r="W2512" s="145"/>
      <c r="X2512" s="145"/>
      <c r="Y2512" s="145"/>
      <c r="Z2512" s="145"/>
      <c r="AA2512" s="145"/>
      <c r="AB2512" s="145"/>
      <c r="AC2512" s="145"/>
      <c r="AD2512" s="145"/>
      <c r="AE2512" s="145"/>
      <c r="AF2512" s="145"/>
      <c r="AG2512" s="145"/>
      <c r="AH2512" s="145"/>
      <c r="AI2512" s="145"/>
      <c r="AJ2512" s="145"/>
      <c r="AK2512" s="145"/>
      <c r="AL2512" s="145"/>
      <c r="AM2512" s="145"/>
      <c r="AN2512" s="145"/>
      <c r="AO2512" s="145"/>
      <c r="AP2512" s="145"/>
      <c r="AQ2512" s="145"/>
      <c r="AR2512" s="145"/>
      <c r="AS2512" s="145"/>
      <c r="AT2512" s="145"/>
      <c r="AU2512" s="145"/>
      <c r="AV2512" s="145"/>
      <c r="AW2512" s="145"/>
      <c r="AX2512" s="145"/>
      <c r="AY2512" s="145"/>
      <c r="AZ2512" s="145"/>
      <c r="BA2512" s="145"/>
      <c r="BB2512" s="145"/>
      <c r="BC2512" s="145"/>
      <c r="BD2512" s="145"/>
      <c r="BE2512" s="145"/>
      <c r="BF2512" s="145"/>
      <c r="BG2512" s="145"/>
      <c r="BH2512" s="145"/>
      <c r="BI2512" s="145"/>
      <c r="BJ2512" s="145"/>
      <c r="BK2512" s="145"/>
      <c r="BL2512" s="145"/>
      <c r="BM2512" s="145"/>
      <c r="BN2512" s="145"/>
      <c r="BO2512" s="145"/>
      <c r="BP2512" s="145"/>
      <c r="BQ2512" s="145"/>
      <c r="BR2512" s="145"/>
      <c r="BS2512" s="145"/>
      <c r="BT2512" s="145"/>
      <c r="BU2512" s="145"/>
      <c r="BV2512" s="145"/>
      <c r="BW2512" s="145"/>
      <c r="BX2512" s="145"/>
      <c r="BY2512" s="145"/>
      <c r="BZ2512" s="145"/>
      <c r="CA2512" s="145"/>
      <c r="CB2512" s="145"/>
      <c r="CC2512" s="145"/>
      <c r="CD2512" s="145"/>
      <c r="CE2512" s="145"/>
      <c r="CF2512" s="145"/>
      <c r="CG2512" s="145"/>
      <c r="CH2512" s="145"/>
      <c r="CI2512" s="145"/>
      <c r="CJ2512" s="145"/>
      <c r="CK2512" s="145"/>
      <c r="CL2512" s="145"/>
      <c r="CM2512" s="145"/>
      <c r="CN2512" s="145"/>
      <c r="CO2512" s="145"/>
      <c r="CP2512" s="145"/>
      <c r="CQ2512" s="145"/>
      <c r="CR2512" s="145"/>
      <c r="CS2512" s="145"/>
      <c r="CT2512" s="145"/>
      <c r="CU2512" s="145"/>
      <c r="CV2512" s="145"/>
      <c r="CW2512" s="145"/>
      <c r="CX2512" s="145"/>
      <c r="CY2512" s="145"/>
      <c r="CZ2512" s="145"/>
      <c r="DA2512" s="145"/>
      <c r="DB2512" s="145"/>
      <c r="DC2512" s="145"/>
      <c r="DD2512" s="145"/>
      <c r="DE2512" s="145"/>
      <c r="DF2512" s="145"/>
      <c r="DG2512" s="145"/>
      <c r="DH2512" s="145"/>
      <c r="DI2512" s="145"/>
      <c r="DJ2512" s="145"/>
      <c r="DK2512" s="145"/>
      <c r="DL2512" s="145"/>
      <c r="DM2512" s="145"/>
      <c r="DN2512" s="145"/>
      <c r="DO2512" s="145"/>
      <c r="DP2512" s="145"/>
      <c r="DQ2512" s="145"/>
      <c r="DR2512" s="145"/>
      <c r="DS2512" s="145"/>
      <c r="DT2512" s="145"/>
      <c r="DU2512" s="145"/>
      <c r="DV2512" s="145"/>
      <c r="DW2512" s="145"/>
      <c r="DX2512" s="145"/>
      <c r="DY2512" s="145"/>
      <c r="DZ2512" s="145"/>
      <c r="EA2512" s="145"/>
      <c r="EB2512" s="145"/>
      <c r="EC2512" s="145"/>
      <c r="ED2512" s="145"/>
      <c r="EE2512" s="145"/>
      <c r="EF2512" s="145"/>
      <c r="EG2512" s="145"/>
      <c r="EH2512" s="145"/>
      <c r="EI2512" s="145"/>
      <c r="EJ2512" s="145"/>
      <c r="EK2512" s="145"/>
      <c r="EL2512" s="145"/>
      <c r="EM2512" s="145"/>
      <c r="EN2512" s="145"/>
      <c r="EO2512" s="145"/>
      <c r="EP2512" s="145"/>
      <c r="EQ2512" s="145"/>
      <c r="ER2512" s="145"/>
      <c r="ES2512" s="145"/>
      <c r="ET2512" s="145"/>
      <c r="EU2512" s="145"/>
      <c r="EV2512" s="145"/>
      <c r="EW2512" s="145"/>
      <c r="EX2512" s="145"/>
      <c r="EY2512" s="145"/>
      <c r="EZ2512" s="145"/>
      <c r="FA2512" s="145"/>
      <c r="FB2512" s="145"/>
      <c r="FC2512" s="145"/>
      <c r="FD2512" s="145"/>
      <c r="FE2512" s="145"/>
      <c r="FF2512" s="145"/>
      <c r="FG2512" s="145"/>
      <c r="FH2512" s="145"/>
      <c r="FI2512" s="145"/>
      <c r="FJ2512" s="145"/>
      <c r="FK2512" s="145"/>
      <c r="FL2512" s="145"/>
      <c r="FM2512" s="145"/>
      <c r="FN2512" s="145"/>
      <c r="FO2512" s="145"/>
      <c r="FP2512" s="145"/>
      <c r="FQ2512" s="145"/>
      <c r="FR2512" s="145"/>
      <c r="FS2512" s="145"/>
      <c r="FT2512" s="145"/>
      <c r="FU2512" s="145"/>
      <c r="FV2512" s="145"/>
      <c r="FW2512" s="145"/>
      <c r="FX2512" s="145"/>
      <c r="FY2512" s="145"/>
      <c r="FZ2512" s="145"/>
      <c r="GA2512" s="145"/>
      <c r="GB2512" s="145"/>
      <c r="GC2512" s="145"/>
      <c r="GD2512" s="145"/>
      <c r="GE2512" s="145"/>
      <c r="GF2512" s="145"/>
      <c r="GG2512" s="145"/>
      <c r="GH2512" s="145"/>
      <c r="GI2512" s="145"/>
      <c r="GJ2512" s="145"/>
      <c r="GK2512" s="145"/>
      <c r="GL2512" s="145"/>
      <c r="GM2512" s="145"/>
      <c r="GN2512" s="145"/>
      <c r="GO2512" s="145"/>
      <c r="GP2512" s="145"/>
      <c r="GQ2512" s="145"/>
      <c r="GR2512" s="145"/>
      <c r="GS2512" s="145"/>
      <c r="GT2512" s="145"/>
      <c r="GU2512" s="145"/>
      <c r="GV2512" s="145"/>
      <c r="GW2512" s="145"/>
      <c r="GX2512" s="145"/>
      <c r="GY2512" s="145"/>
      <c r="GZ2512" s="145"/>
      <c r="HA2512" s="145"/>
      <c r="HB2512" s="145"/>
      <c r="HC2512" s="145"/>
      <c r="HD2512" s="145"/>
      <c r="HE2512" s="145"/>
      <c r="HF2512" s="145"/>
    </row>
    <row r="2513" spans="1:214" x14ac:dyDescent="0.35">
      <c r="A2513" s="305">
        <f>A2510+1</f>
        <v>3</v>
      </c>
      <c r="B2513" s="305">
        <v>7310</v>
      </c>
      <c r="C2513" s="308" t="s">
        <v>671</v>
      </c>
      <c r="D2513" s="273">
        <v>319.33</v>
      </c>
      <c r="E2513" s="273" t="s">
        <v>633</v>
      </c>
      <c r="F2513" s="282">
        <v>2</v>
      </c>
      <c r="G2513" s="270" t="s">
        <v>84</v>
      </c>
      <c r="H2513" s="136" t="s">
        <v>72</v>
      </c>
      <c r="I2513" s="181">
        <f>I2514+I2515+I2516+I2517</f>
        <v>2953431.6</v>
      </c>
      <c r="J2513" s="181">
        <f>J2514+J2515+J2516+J2517</f>
        <v>9248.84</v>
      </c>
      <c r="K2513" s="181">
        <f>K2514+K2515+K2516+K2517</f>
        <v>9492</v>
      </c>
      <c r="L2513" s="145"/>
      <c r="M2513" s="145"/>
      <c r="N2513" s="145"/>
      <c r="O2513" s="145"/>
      <c r="P2513" s="145"/>
      <c r="Q2513" s="145"/>
      <c r="R2513" s="145"/>
      <c r="S2513" s="145"/>
      <c r="T2513" s="145"/>
      <c r="U2513" s="145"/>
      <c r="V2513" s="145"/>
      <c r="W2513" s="145"/>
      <c r="X2513" s="145"/>
      <c r="Y2513" s="145"/>
      <c r="Z2513" s="145"/>
      <c r="AA2513" s="145"/>
      <c r="AB2513" s="145"/>
      <c r="AC2513" s="145"/>
      <c r="AD2513" s="145"/>
      <c r="AE2513" s="145"/>
      <c r="AF2513" s="145"/>
      <c r="AG2513" s="145"/>
      <c r="AH2513" s="145"/>
      <c r="AI2513" s="145"/>
      <c r="AJ2513" s="145"/>
      <c r="AK2513" s="145"/>
      <c r="AL2513" s="145"/>
      <c r="AM2513" s="145"/>
      <c r="AN2513" s="145"/>
      <c r="AO2513" s="145"/>
      <c r="AP2513" s="145"/>
      <c r="AQ2513" s="145"/>
      <c r="AR2513" s="145"/>
      <c r="AS2513" s="145"/>
      <c r="AT2513" s="145"/>
      <c r="AU2513" s="145"/>
      <c r="AV2513" s="145"/>
      <c r="AW2513" s="145"/>
      <c r="AX2513" s="145"/>
      <c r="AY2513" s="145"/>
      <c r="AZ2513" s="145"/>
      <c r="BA2513" s="145"/>
      <c r="BB2513" s="145"/>
      <c r="BC2513" s="145"/>
      <c r="BD2513" s="145"/>
      <c r="BE2513" s="145"/>
      <c r="BF2513" s="145"/>
      <c r="BG2513" s="145"/>
      <c r="BH2513" s="145"/>
      <c r="BI2513" s="145"/>
      <c r="BJ2513" s="145"/>
      <c r="BK2513" s="145"/>
      <c r="BL2513" s="145"/>
      <c r="BM2513" s="145"/>
      <c r="BN2513" s="145"/>
      <c r="BO2513" s="145"/>
      <c r="BP2513" s="145"/>
      <c r="BQ2513" s="145"/>
      <c r="BR2513" s="145"/>
      <c r="BS2513" s="145"/>
      <c r="BT2513" s="145"/>
      <c r="BU2513" s="145"/>
      <c r="BV2513" s="145"/>
      <c r="BW2513" s="145"/>
      <c r="BX2513" s="145"/>
      <c r="BY2513" s="145"/>
      <c r="BZ2513" s="145"/>
      <c r="CA2513" s="145"/>
      <c r="CB2513" s="145"/>
      <c r="CC2513" s="145"/>
      <c r="CD2513" s="145"/>
      <c r="CE2513" s="145"/>
      <c r="CF2513" s="145"/>
      <c r="CG2513" s="145"/>
      <c r="CH2513" s="145"/>
      <c r="CI2513" s="145"/>
      <c r="CJ2513" s="145"/>
      <c r="CK2513" s="145"/>
      <c r="CL2513" s="145"/>
      <c r="CM2513" s="145"/>
      <c r="CN2513" s="145"/>
      <c r="CO2513" s="145"/>
      <c r="CP2513" s="145"/>
      <c r="CQ2513" s="145"/>
      <c r="CR2513" s="145"/>
      <c r="CS2513" s="145"/>
      <c r="CT2513" s="145"/>
      <c r="CU2513" s="145"/>
      <c r="CV2513" s="145"/>
      <c r="CW2513" s="145"/>
      <c r="CX2513" s="145"/>
      <c r="CY2513" s="145"/>
      <c r="CZ2513" s="145"/>
      <c r="DA2513" s="145"/>
      <c r="DB2513" s="145"/>
      <c r="DC2513" s="145"/>
      <c r="DD2513" s="145"/>
      <c r="DE2513" s="145"/>
      <c r="DF2513" s="145"/>
      <c r="DG2513" s="145"/>
      <c r="DH2513" s="145"/>
      <c r="DI2513" s="145"/>
      <c r="DJ2513" s="145"/>
      <c r="DK2513" s="145"/>
      <c r="DL2513" s="145"/>
      <c r="DM2513" s="145"/>
      <c r="DN2513" s="145"/>
      <c r="DO2513" s="145"/>
      <c r="DP2513" s="145"/>
      <c r="DQ2513" s="145"/>
      <c r="DR2513" s="145"/>
      <c r="DS2513" s="145"/>
      <c r="DT2513" s="145"/>
      <c r="DU2513" s="145"/>
      <c r="DV2513" s="145"/>
      <c r="DW2513" s="145"/>
      <c r="DX2513" s="145"/>
      <c r="DY2513" s="145"/>
      <c r="DZ2513" s="145"/>
      <c r="EA2513" s="145"/>
      <c r="EB2513" s="145"/>
      <c r="EC2513" s="145"/>
      <c r="ED2513" s="145"/>
      <c r="EE2513" s="145"/>
      <c r="EF2513" s="145"/>
      <c r="EG2513" s="145"/>
      <c r="EH2513" s="145"/>
      <c r="EI2513" s="145"/>
      <c r="EJ2513" s="145"/>
      <c r="EK2513" s="145"/>
      <c r="EL2513" s="145"/>
      <c r="EM2513" s="145"/>
      <c r="EN2513" s="145"/>
      <c r="EO2513" s="145"/>
      <c r="EP2513" s="145"/>
      <c r="EQ2513" s="145"/>
      <c r="ER2513" s="145"/>
      <c r="ES2513" s="145"/>
      <c r="ET2513" s="145"/>
      <c r="EU2513" s="145"/>
      <c r="EV2513" s="145"/>
      <c r="EW2513" s="145"/>
      <c r="EX2513" s="145"/>
      <c r="EY2513" s="145"/>
      <c r="EZ2513" s="145"/>
      <c r="FA2513" s="145"/>
      <c r="FB2513" s="145"/>
      <c r="FC2513" s="145"/>
      <c r="FD2513" s="145"/>
      <c r="FE2513" s="145"/>
      <c r="FF2513" s="145"/>
      <c r="FG2513" s="145"/>
      <c r="FH2513" s="145"/>
      <c r="FI2513" s="145"/>
      <c r="FJ2513" s="145"/>
      <c r="FK2513" s="145"/>
      <c r="FL2513" s="145"/>
      <c r="FM2513" s="145"/>
      <c r="FN2513" s="145"/>
      <c r="FO2513" s="145"/>
      <c r="FP2513" s="145"/>
      <c r="FQ2513" s="145"/>
      <c r="FR2513" s="145"/>
      <c r="FS2513" s="145"/>
      <c r="FT2513" s="145"/>
      <c r="FU2513" s="145"/>
      <c r="FV2513" s="145"/>
      <c r="FW2513" s="145"/>
      <c r="FX2513" s="145"/>
      <c r="FY2513" s="145"/>
      <c r="FZ2513" s="145"/>
      <c r="GA2513" s="145"/>
      <c r="GB2513" s="145"/>
      <c r="GC2513" s="145"/>
      <c r="GD2513" s="145"/>
      <c r="GE2513" s="145"/>
      <c r="GF2513" s="145"/>
      <c r="GG2513" s="145"/>
      <c r="GH2513" s="145"/>
      <c r="GI2513" s="145"/>
      <c r="GJ2513" s="145"/>
      <c r="GK2513" s="145"/>
      <c r="GL2513" s="145"/>
      <c r="GM2513" s="145"/>
      <c r="GN2513" s="145"/>
      <c r="GO2513" s="145"/>
      <c r="GP2513" s="145"/>
      <c r="GQ2513" s="145"/>
      <c r="GR2513" s="145"/>
      <c r="GS2513" s="145"/>
      <c r="GT2513" s="145"/>
      <c r="GU2513" s="145"/>
      <c r="GV2513" s="145"/>
      <c r="GW2513" s="145"/>
      <c r="GX2513" s="145"/>
      <c r="GY2513" s="145"/>
      <c r="GZ2513" s="145"/>
      <c r="HA2513" s="145"/>
      <c r="HB2513" s="145"/>
      <c r="HC2513" s="145"/>
      <c r="HD2513" s="145"/>
      <c r="HE2513" s="145"/>
      <c r="HF2513" s="145"/>
    </row>
    <row r="2514" spans="1:214" x14ac:dyDescent="0.35">
      <c r="A2514" s="306"/>
      <c r="B2514" s="306"/>
      <c r="C2514" s="309"/>
      <c r="D2514" s="274"/>
      <c r="E2514" s="274"/>
      <c r="F2514" s="283"/>
      <c r="G2514" s="271"/>
      <c r="H2514" s="136" t="s">
        <v>73</v>
      </c>
      <c r="I2514" s="181">
        <v>1611606.21</v>
      </c>
      <c r="J2514" s="181">
        <f>I2514/D2513</f>
        <v>5046.84</v>
      </c>
      <c r="K2514" s="181">
        <v>5248</v>
      </c>
      <c r="L2514" s="145"/>
      <c r="M2514" s="145"/>
      <c r="N2514" s="145"/>
      <c r="O2514" s="145"/>
      <c r="P2514" s="145"/>
      <c r="Q2514" s="145"/>
      <c r="R2514" s="145"/>
      <c r="S2514" s="145"/>
      <c r="T2514" s="145"/>
      <c r="U2514" s="145"/>
      <c r="V2514" s="145"/>
      <c r="W2514" s="145"/>
      <c r="X2514" s="145"/>
      <c r="Y2514" s="145"/>
      <c r="Z2514" s="145"/>
      <c r="AA2514" s="145"/>
      <c r="AB2514" s="145"/>
      <c r="AC2514" s="145"/>
      <c r="AD2514" s="145"/>
      <c r="AE2514" s="145"/>
      <c r="AF2514" s="145"/>
      <c r="AG2514" s="145"/>
      <c r="AH2514" s="145"/>
      <c r="AI2514" s="145"/>
      <c r="AJ2514" s="145"/>
      <c r="AK2514" s="145"/>
      <c r="AL2514" s="145"/>
      <c r="AM2514" s="145"/>
      <c r="AN2514" s="145"/>
      <c r="AO2514" s="145"/>
      <c r="AP2514" s="145"/>
      <c r="AQ2514" s="145"/>
      <c r="AR2514" s="145"/>
      <c r="AS2514" s="145"/>
      <c r="AT2514" s="145"/>
      <c r="AU2514" s="145"/>
      <c r="AV2514" s="145"/>
      <c r="AW2514" s="145"/>
      <c r="AX2514" s="145"/>
      <c r="AY2514" s="145"/>
      <c r="AZ2514" s="145"/>
      <c r="BA2514" s="145"/>
      <c r="BB2514" s="145"/>
      <c r="BC2514" s="145"/>
      <c r="BD2514" s="145"/>
      <c r="BE2514" s="145"/>
      <c r="BF2514" s="145"/>
      <c r="BG2514" s="145"/>
      <c r="BH2514" s="145"/>
      <c r="BI2514" s="145"/>
      <c r="BJ2514" s="145"/>
      <c r="BK2514" s="145"/>
      <c r="BL2514" s="145"/>
      <c r="BM2514" s="145"/>
      <c r="BN2514" s="145"/>
      <c r="BO2514" s="145"/>
      <c r="BP2514" s="145"/>
      <c r="BQ2514" s="145"/>
      <c r="BR2514" s="145"/>
      <c r="BS2514" s="145"/>
      <c r="BT2514" s="145"/>
      <c r="BU2514" s="145"/>
      <c r="BV2514" s="145"/>
      <c r="BW2514" s="145"/>
      <c r="BX2514" s="145"/>
      <c r="BY2514" s="145"/>
      <c r="BZ2514" s="145"/>
      <c r="CA2514" s="145"/>
      <c r="CB2514" s="145"/>
      <c r="CC2514" s="145"/>
      <c r="CD2514" s="145"/>
      <c r="CE2514" s="145"/>
      <c r="CF2514" s="145"/>
      <c r="CG2514" s="145"/>
      <c r="CH2514" s="145"/>
      <c r="CI2514" s="145"/>
      <c r="CJ2514" s="145"/>
      <c r="CK2514" s="145"/>
      <c r="CL2514" s="145"/>
      <c r="CM2514" s="145"/>
      <c r="CN2514" s="145"/>
      <c r="CO2514" s="145"/>
      <c r="CP2514" s="145"/>
      <c r="CQ2514" s="145"/>
      <c r="CR2514" s="145"/>
      <c r="CS2514" s="145"/>
      <c r="CT2514" s="145"/>
      <c r="CU2514" s="145"/>
      <c r="CV2514" s="145"/>
      <c r="CW2514" s="145"/>
      <c r="CX2514" s="145"/>
      <c r="CY2514" s="145"/>
      <c r="CZ2514" s="145"/>
      <c r="DA2514" s="145"/>
      <c r="DB2514" s="145"/>
      <c r="DC2514" s="145"/>
      <c r="DD2514" s="145"/>
      <c r="DE2514" s="145"/>
      <c r="DF2514" s="145"/>
      <c r="DG2514" s="145"/>
      <c r="DH2514" s="145"/>
      <c r="DI2514" s="145"/>
      <c r="DJ2514" s="145"/>
      <c r="DK2514" s="145"/>
      <c r="DL2514" s="145"/>
      <c r="DM2514" s="145"/>
      <c r="DN2514" s="145"/>
      <c r="DO2514" s="145"/>
      <c r="DP2514" s="145"/>
      <c r="DQ2514" s="145"/>
      <c r="DR2514" s="145"/>
      <c r="DS2514" s="145"/>
      <c r="DT2514" s="145"/>
      <c r="DU2514" s="145"/>
      <c r="DV2514" s="145"/>
      <c r="DW2514" s="145"/>
      <c r="DX2514" s="145"/>
      <c r="DY2514" s="145"/>
      <c r="DZ2514" s="145"/>
      <c r="EA2514" s="145"/>
      <c r="EB2514" s="145"/>
      <c r="EC2514" s="145"/>
      <c r="ED2514" s="145"/>
      <c r="EE2514" s="145"/>
      <c r="EF2514" s="145"/>
      <c r="EG2514" s="145"/>
      <c r="EH2514" s="145"/>
      <c r="EI2514" s="145"/>
      <c r="EJ2514" s="145"/>
      <c r="EK2514" s="145"/>
      <c r="EL2514" s="145"/>
      <c r="EM2514" s="145"/>
      <c r="EN2514" s="145"/>
      <c r="EO2514" s="145"/>
      <c r="EP2514" s="145"/>
      <c r="EQ2514" s="145"/>
      <c r="ER2514" s="145"/>
      <c r="ES2514" s="145"/>
      <c r="ET2514" s="145"/>
      <c r="EU2514" s="145"/>
      <c r="EV2514" s="145"/>
      <c r="EW2514" s="145"/>
      <c r="EX2514" s="145"/>
      <c r="EY2514" s="145"/>
      <c r="EZ2514" s="145"/>
      <c r="FA2514" s="145"/>
      <c r="FB2514" s="145"/>
      <c r="FC2514" s="145"/>
      <c r="FD2514" s="145"/>
      <c r="FE2514" s="145"/>
      <c r="FF2514" s="145"/>
      <c r="FG2514" s="145"/>
      <c r="FH2514" s="145"/>
      <c r="FI2514" s="145"/>
      <c r="FJ2514" s="145"/>
      <c r="FK2514" s="145"/>
      <c r="FL2514" s="145"/>
      <c r="FM2514" s="145"/>
      <c r="FN2514" s="145"/>
      <c r="FO2514" s="145"/>
      <c r="FP2514" s="145"/>
      <c r="FQ2514" s="145"/>
      <c r="FR2514" s="145"/>
      <c r="FS2514" s="145"/>
      <c r="FT2514" s="145"/>
      <c r="FU2514" s="145"/>
      <c r="FV2514" s="145"/>
      <c r="FW2514" s="145"/>
      <c r="FX2514" s="145"/>
      <c r="FY2514" s="145"/>
      <c r="FZ2514" s="145"/>
      <c r="GA2514" s="145"/>
      <c r="GB2514" s="145"/>
      <c r="GC2514" s="145"/>
      <c r="GD2514" s="145"/>
      <c r="GE2514" s="145"/>
      <c r="GF2514" s="145"/>
      <c r="GG2514" s="145"/>
      <c r="GH2514" s="145"/>
      <c r="GI2514" s="145"/>
      <c r="GJ2514" s="145"/>
      <c r="GK2514" s="145"/>
      <c r="GL2514" s="145"/>
      <c r="GM2514" s="145"/>
      <c r="GN2514" s="145"/>
      <c r="GO2514" s="145"/>
      <c r="GP2514" s="145"/>
      <c r="GQ2514" s="145"/>
      <c r="GR2514" s="145"/>
      <c r="GS2514" s="145"/>
      <c r="GT2514" s="145"/>
      <c r="GU2514" s="145"/>
      <c r="GV2514" s="145"/>
      <c r="GW2514" s="145"/>
      <c r="GX2514" s="145"/>
      <c r="GY2514" s="145"/>
      <c r="GZ2514" s="145"/>
      <c r="HA2514" s="145"/>
      <c r="HB2514" s="145"/>
      <c r="HC2514" s="145"/>
      <c r="HD2514" s="145"/>
      <c r="HE2514" s="145"/>
      <c r="HF2514" s="145"/>
    </row>
    <row r="2515" spans="1:214" x14ac:dyDescent="0.35">
      <c r="A2515" s="306"/>
      <c r="B2515" s="306"/>
      <c r="C2515" s="309"/>
      <c r="D2515" s="274"/>
      <c r="E2515" s="274"/>
      <c r="F2515" s="283"/>
      <c r="G2515" s="271"/>
      <c r="H2515" s="136" t="s">
        <v>75</v>
      </c>
      <c r="I2515" s="181">
        <f>I2514*0.0214</f>
        <v>34488.370000000003</v>
      </c>
      <c r="J2515" s="181">
        <f>I2515/D2513</f>
        <v>108</v>
      </c>
      <c r="K2515" s="181">
        <v>112</v>
      </c>
      <c r="L2515" s="145"/>
      <c r="M2515" s="145"/>
      <c r="N2515" s="145"/>
      <c r="O2515" s="145"/>
      <c r="P2515" s="145"/>
      <c r="Q2515" s="145"/>
      <c r="R2515" s="145"/>
      <c r="S2515" s="145"/>
      <c r="T2515" s="145"/>
      <c r="U2515" s="145"/>
      <c r="V2515" s="145"/>
      <c r="W2515" s="145"/>
      <c r="X2515" s="145"/>
      <c r="Y2515" s="145"/>
      <c r="Z2515" s="145"/>
      <c r="AA2515" s="145"/>
      <c r="AB2515" s="145"/>
      <c r="AC2515" s="145"/>
      <c r="AD2515" s="145"/>
      <c r="AE2515" s="145"/>
      <c r="AF2515" s="145"/>
      <c r="AG2515" s="145"/>
      <c r="AH2515" s="145"/>
      <c r="AI2515" s="145"/>
      <c r="AJ2515" s="145"/>
      <c r="AK2515" s="145"/>
      <c r="AL2515" s="145"/>
      <c r="AM2515" s="145"/>
      <c r="AN2515" s="145"/>
      <c r="AO2515" s="145"/>
      <c r="AP2515" s="145"/>
      <c r="AQ2515" s="145"/>
      <c r="AR2515" s="145"/>
      <c r="AS2515" s="145"/>
      <c r="AT2515" s="145"/>
      <c r="AU2515" s="145"/>
      <c r="AV2515" s="145"/>
      <c r="AW2515" s="145"/>
      <c r="AX2515" s="145"/>
      <c r="AY2515" s="145"/>
      <c r="AZ2515" s="145"/>
      <c r="BA2515" s="145"/>
      <c r="BB2515" s="145"/>
      <c r="BC2515" s="145"/>
      <c r="BD2515" s="145"/>
      <c r="BE2515" s="145"/>
      <c r="BF2515" s="145"/>
      <c r="BG2515" s="145"/>
      <c r="BH2515" s="145"/>
      <c r="BI2515" s="145"/>
      <c r="BJ2515" s="145"/>
      <c r="BK2515" s="145"/>
      <c r="BL2515" s="145"/>
      <c r="BM2515" s="145"/>
      <c r="BN2515" s="145"/>
      <c r="BO2515" s="145"/>
      <c r="BP2515" s="145"/>
      <c r="BQ2515" s="145"/>
      <c r="BR2515" s="145"/>
      <c r="BS2515" s="145"/>
      <c r="BT2515" s="145"/>
      <c r="BU2515" s="145"/>
      <c r="BV2515" s="145"/>
      <c r="BW2515" s="145"/>
      <c r="BX2515" s="145"/>
      <c r="BY2515" s="145"/>
      <c r="BZ2515" s="145"/>
      <c r="CA2515" s="145"/>
      <c r="CB2515" s="145"/>
      <c r="CC2515" s="145"/>
      <c r="CD2515" s="145"/>
      <c r="CE2515" s="145"/>
      <c r="CF2515" s="145"/>
      <c r="CG2515" s="145"/>
      <c r="CH2515" s="145"/>
      <c r="CI2515" s="145"/>
      <c r="CJ2515" s="145"/>
      <c r="CK2515" s="145"/>
      <c r="CL2515" s="145"/>
      <c r="CM2515" s="145"/>
      <c r="CN2515" s="145"/>
      <c r="CO2515" s="145"/>
      <c r="CP2515" s="145"/>
      <c r="CQ2515" s="145"/>
      <c r="CR2515" s="145"/>
      <c r="CS2515" s="145"/>
      <c r="CT2515" s="145"/>
      <c r="CU2515" s="145"/>
      <c r="CV2515" s="145"/>
      <c r="CW2515" s="145"/>
      <c r="CX2515" s="145"/>
      <c r="CY2515" s="145"/>
      <c r="CZ2515" s="145"/>
      <c r="DA2515" s="145"/>
      <c r="DB2515" s="145"/>
      <c r="DC2515" s="145"/>
      <c r="DD2515" s="145"/>
      <c r="DE2515" s="145"/>
      <c r="DF2515" s="145"/>
      <c r="DG2515" s="145"/>
      <c r="DH2515" s="145"/>
      <c r="DI2515" s="145"/>
      <c r="DJ2515" s="145"/>
      <c r="DK2515" s="145"/>
      <c r="DL2515" s="145"/>
      <c r="DM2515" s="145"/>
      <c r="DN2515" s="145"/>
      <c r="DO2515" s="145"/>
      <c r="DP2515" s="145"/>
      <c r="DQ2515" s="145"/>
      <c r="DR2515" s="145"/>
      <c r="DS2515" s="145"/>
      <c r="DT2515" s="145"/>
      <c r="DU2515" s="145"/>
      <c r="DV2515" s="145"/>
      <c r="DW2515" s="145"/>
      <c r="DX2515" s="145"/>
      <c r="DY2515" s="145"/>
      <c r="DZ2515" s="145"/>
      <c r="EA2515" s="145"/>
      <c r="EB2515" s="145"/>
      <c r="EC2515" s="145"/>
      <c r="ED2515" s="145"/>
      <c r="EE2515" s="145"/>
      <c r="EF2515" s="145"/>
      <c r="EG2515" s="145"/>
      <c r="EH2515" s="145"/>
      <c r="EI2515" s="145"/>
      <c r="EJ2515" s="145"/>
      <c r="EK2515" s="145"/>
      <c r="EL2515" s="145"/>
      <c r="EM2515" s="145"/>
      <c r="EN2515" s="145"/>
      <c r="EO2515" s="145"/>
      <c r="EP2515" s="145"/>
      <c r="EQ2515" s="145"/>
      <c r="ER2515" s="145"/>
      <c r="ES2515" s="145"/>
      <c r="ET2515" s="145"/>
      <c r="EU2515" s="145"/>
      <c r="EV2515" s="145"/>
      <c r="EW2515" s="145"/>
      <c r="EX2515" s="145"/>
      <c r="EY2515" s="145"/>
      <c r="EZ2515" s="145"/>
      <c r="FA2515" s="145"/>
      <c r="FB2515" s="145"/>
      <c r="FC2515" s="145"/>
      <c r="FD2515" s="145"/>
      <c r="FE2515" s="145"/>
      <c r="FF2515" s="145"/>
      <c r="FG2515" s="145"/>
      <c r="FH2515" s="145"/>
      <c r="FI2515" s="145"/>
      <c r="FJ2515" s="145"/>
      <c r="FK2515" s="145"/>
      <c r="FL2515" s="145"/>
      <c r="FM2515" s="145"/>
      <c r="FN2515" s="145"/>
      <c r="FO2515" s="145"/>
      <c r="FP2515" s="145"/>
      <c r="FQ2515" s="145"/>
      <c r="FR2515" s="145"/>
      <c r="FS2515" s="145"/>
      <c r="FT2515" s="145"/>
      <c r="FU2515" s="145"/>
      <c r="FV2515" s="145"/>
      <c r="FW2515" s="145"/>
      <c r="FX2515" s="145"/>
      <c r="FY2515" s="145"/>
      <c r="FZ2515" s="145"/>
      <c r="GA2515" s="145"/>
      <c r="GB2515" s="145"/>
      <c r="GC2515" s="145"/>
      <c r="GD2515" s="145"/>
      <c r="GE2515" s="145"/>
      <c r="GF2515" s="145"/>
      <c r="GG2515" s="145"/>
      <c r="GH2515" s="145"/>
      <c r="GI2515" s="145"/>
      <c r="GJ2515" s="145"/>
      <c r="GK2515" s="145"/>
      <c r="GL2515" s="145"/>
      <c r="GM2515" s="145"/>
      <c r="GN2515" s="145"/>
      <c r="GO2515" s="145"/>
      <c r="GP2515" s="145"/>
      <c r="GQ2515" s="145"/>
      <c r="GR2515" s="145"/>
      <c r="GS2515" s="145"/>
      <c r="GT2515" s="145"/>
      <c r="GU2515" s="145"/>
      <c r="GV2515" s="145"/>
      <c r="GW2515" s="145"/>
      <c r="GX2515" s="145"/>
      <c r="GY2515" s="145"/>
      <c r="GZ2515" s="145"/>
      <c r="HA2515" s="145"/>
      <c r="HB2515" s="145"/>
      <c r="HC2515" s="145"/>
      <c r="HD2515" s="145"/>
      <c r="HE2515" s="145"/>
      <c r="HF2515" s="145"/>
    </row>
    <row r="2516" spans="1:214" x14ac:dyDescent="0.35">
      <c r="A2516" s="306"/>
      <c r="B2516" s="306"/>
      <c r="C2516" s="309"/>
      <c r="D2516" s="274"/>
      <c r="E2516" s="274"/>
      <c r="F2516" s="283"/>
      <c r="G2516" s="271"/>
      <c r="H2516" s="136" t="s">
        <v>676</v>
      </c>
      <c r="I2516" s="181">
        <f>K2516*D2513</f>
        <v>1291689.8500000001</v>
      </c>
      <c r="J2516" s="181">
        <f>I2516/D2513</f>
        <v>4045</v>
      </c>
      <c r="K2516" s="181">
        <v>4045</v>
      </c>
      <c r="L2516" s="145"/>
      <c r="M2516" s="145"/>
      <c r="N2516" s="145"/>
      <c r="O2516" s="145"/>
      <c r="P2516" s="145"/>
      <c r="Q2516" s="145"/>
      <c r="R2516" s="145"/>
      <c r="S2516" s="145"/>
      <c r="T2516" s="145"/>
      <c r="U2516" s="145"/>
      <c r="V2516" s="145"/>
      <c r="W2516" s="145"/>
      <c r="X2516" s="145"/>
      <c r="Y2516" s="145"/>
      <c r="Z2516" s="145"/>
      <c r="AA2516" s="145"/>
      <c r="AB2516" s="145"/>
      <c r="AC2516" s="145"/>
      <c r="AD2516" s="145"/>
      <c r="AE2516" s="145"/>
      <c r="AF2516" s="145"/>
      <c r="AG2516" s="145"/>
      <c r="AH2516" s="145"/>
      <c r="AI2516" s="145"/>
      <c r="AJ2516" s="145"/>
      <c r="AK2516" s="145"/>
      <c r="AL2516" s="145"/>
      <c r="AM2516" s="145"/>
      <c r="AN2516" s="145"/>
      <c r="AO2516" s="145"/>
      <c r="AP2516" s="145"/>
      <c r="AQ2516" s="145"/>
      <c r="AR2516" s="145"/>
      <c r="AS2516" s="145"/>
      <c r="AT2516" s="145"/>
      <c r="AU2516" s="145"/>
      <c r="AV2516" s="145"/>
      <c r="AW2516" s="145"/>
      <c r="AX2516" s="145"/>
      <c r="AY2516" s="145"/>
      <c r="AZ2516" s="145"/>
      <c r="BA2516" s="145"/>
      <c r="BB2516" s="145"/>
      <c r="BC2516" s="145"/>
      <c r="BD2516" s="145"/>
      <c r="BE2516" s="145"/>
      <c r="BF2516" s="145"/>
      <c r="BG2516" s="145"/>
      <c r="BH2516" s="145"/>
      <c r="BI2516" s="145"/>
      <c r="BJ2516" s="145"/>
      <c r="BK2516" s="145"/>
      <c r="BL2516" s="145"/>
      <c r="BM2516" s="145"/>
      <c r="BN2516" s="145"/>
      <c r="BO2516" s="145"/>
      <c r="BP2516" s="145"/>
      <c r="BQ2516" s="145"/>
      <c r="BR2516" s="145"/>
      <c r="BS2516" s="145"/>
      <c r="BT2516" s="145"/>
      <c r="BU2516" s="145"/>
      <c r="BV2516" s="145"/>
      <c r="BW2516" s="145"/>
      <c r="BX2516" s="145"/>
      <c r="BY2516" s="145"/>
      <c r="BZ2516" s="145"/>
      <c r="CA2516" s="145"/>
      <c r="CB2516" s="145"/>
      <c r="CC2516" s="145"/>
      <c r="CD2516" s="145"/>
      <c r="CE2516" s="145"/>
      <c r="CF2516" s="145"/>
      <c r="CG2516" s="145"/>
      <c r="CH2516" s="145"/>
      <c r="CI2516" s="145"/>
      <c r="CJ2516" s="145"/>
      <c r="CK2516" s="145"/>
      <c r="CL2516" s="145"/>
      <c r="CM2516" s="145"/>
      <c r="CN2516" s="145"/>
      <c r="CO2516" s="145"/>
      <c r="CP2516" s="145"/>
      <c r="CQ2516" s="145"/>
      <c r="CR2516" s="145"/>
      <c r="CS2516" s="145"/>
      <c r="CT2516" s="145"/>
      <c r="CU2516" s="145"/>
      <c r="CV2516" s="145"/>
      <c r="CW2516" s="145"/>
      <c r="CX2516" s="145"/>
      <c r="CY2516" s="145"/>
      <c r="CZ2516" s="145"/>
      <c r="DA2516" s="145"/>
      <c r="DB2516" s="145"/>
      <c r="DC2516" s="145"/>
      <c r="DD2516" s="145"/>
      <c r="DE2516" s="145"/>
      <c r="DF2516" s="145"/>
      <c r="DG2516" s="145"/>
      <c r="DH2516" s="145"/>
      <c r="DI2516" s="145"/>
      <c r="DJ2516" s="145"/>
      <c r="DK2516" s="145"/>
      <c r="DL2516" s="145"/>
      <c r="DM2516" s="145"/>
      <c r="DN2516" s="145"/>
      <c r="DO2516" s="145"/>
      <c r="DP2516" s="145"/>
      <c r="DQ2516" s="145"/>
      <c r="DR2516" s="145"/>
      <c r="DS2516" s="145"/>
      <c r="DT2516" s="145"/>
      <c r="DU2516" s="145"/>
      <c r="DV2516" s="145"/>
      <c r="DW2516" s="145"/>
      <c r="DX2516" s="145"/>
      <c r="DY2516" s="145"/>
      <c r="DZ2516" s="145"/>
      <c r="EA2516" s="145"/>
      <c r="EB2516" s="145"/>
      <c r="EC2516" s="145"/>
      <c r="ED2516" s="145"/>
      <c r="EE2516" s="145"/>
      <c r="EF2516" s="145"/>
      <c r="EG2516" s="145"/>
      <c r="EH2516" s="145"/>
      <c r="EI2516" s="145"/>
      <c r="EJ2516" s="145"/>
      <c r="EK2516" s="145"/>
      <c r="EL2516" s="145"/>
      <c r="EM2516" s="145"/>
      <c r="EN2516" s="145"/>
      <c r="EO2516" s="145"/>
      <c r="EP2516" s="145"/>
      <c r="EQ2516" s="145"/>
      <c r="ER2516" s="145"/>
      <c r="ES2516" s="145"/>
      <c r="ET2516" s="145"/>
      <c r="EU2516" s="145"/>
      <c r="EV2516" s="145"/>
      <c r="EW2516" s="145"/>
      <c r="EX2516" s="145"/>
      <c r="EY2516" s="145"/>
      <c r="EZ2516" s="145"/>
      <c r="FA2516" s="145"/>
      <c r="FB2516" s="145"/>
      <c r="FC2516" s="145"/>
      <c r="FD2516" s="145"/>
      <c r="FE2516" s="145"/>
      <c r="FF2516" s="145"/>
      <c r="FG2516" s="145"/>
      <c r="FH2516" s="145"/>
      <c r="FI2516" s="145"/>
      <c r="FJ2516" s="145"/>
      <c r="FK2516" s="145"/>
      <c r="FL2516" s="145"/>
      <c r="FM2516" s="145"/>
      <c r="FN2516" s="145"/>
      <c r="FO2516" s="145"/>
      <c r="FP2516" s="145"/>
      <c r="FQ2516" s="145"/>
      <c r="FR2516" s="145"/>
      <c r="FS2516" s="145"/>
      <c r="FT2516" s="145"/>
      <c r="FU2516" s="145"/>
      <c r="FV2516" s="145"/>
      <c r="FW2516" s="145"/>
      <c r="FX2516" s="145"/>
      <c r="FY2516" s="145"/>
      <c r="FZ2516" s="145"/>
      <c r="GA2516" s="145"/>
      <c r="GB2516" s="145"/>
      <c r="GC2516" s="145"/>
      <c r="GD2516" s="145"/>
      <c r="GE2516" s="145"/>
      <c r="GF2516" s="145"/>
      <c r="GG2516" s="145"/>
      <c r="GH2516" s="145"/>
      <c r="GI2516" s="145"/>
      <c r="GJ2516" s="145"/>
      <c r="GK2516" s="145"/>
      <c r="GL2516" s="145"/>
      <c r="GM2516" s="145"/>
      <c r="GN2516" s="145"/>
      <c r="GO2516" s="145"/>
      <c r="GP2516" s="145"/>
      <c r="GQ2516" s="145"/>
      <c r="GR2516" s="145"/>
      <c r="GS2516" s="145"/>
      <c r="GT2516" s="145"/>
      <c r="GU2516" s="145"/>
      <c r="GV2516" s="145"/>
      <c r="GW2516" s="145"/>
      <c r="GX2516" s="145"/>
      <c r="GY2516" s="145"/>
      <c r="GZ2516" s="145"/>
      <c r="HA2516" s="145"/>
      <c r="HB2516" s="145"/>
      <c r="HC2516" s="145"/>
      <c r="HD2516" s="145"/>
      <c r="HE2516" s="145"/>
      <c r="HF2516" s="145"/>
    </row>
    <row r="2517" spans="1:214" x14ac:dyDescent="0.35">
      <c r="A2517" s="307"/>
      <c r="B2517" s="307"/>
      <c r="C2517" s="310"/>
      <c r="D2517" s="275"/>
      <c r="E2517" s="275"/>
      <c r="F2517" s="284"/>
      <c r="G2517" s="272"/>
      <c r="H2517" s="136" t="s">
        <v>75</v>
      </c>
      <c r="I2517" s="181">
        <v>15647.17</v>
      </c>
      <c r="J2517" s="181">
        <f>I2517/D2513</f>
        <v>49</v>
      </c>
      <c r="K2517" s="181">
        <v>87</v>
      </c>
      <c r="L2517" s="145"/>
      <c r="M2517" s="145"/>
      <c r="N2517" s="145"/>
      <c r="O2517" s="145"/>
      <c r="P2517" s="145"/>
      <c r="Q2517" s="145"/>
      <c r="R2517" s="145"/>
      <c r="S2517" s="145"/>
      <c r="T2517" s="145"/>
      <c r="U2517" s="145"/>
      <c r="V2517" s="145"/>
      <c r="W2517" s="145"/>
      <c r="X2517" s="145"/>
      <c r="Y2517" s="145"/>
      <c r="Z2517" s="145"/>
      <c r="AA2517" s="145"/>
      <c r="AB2517" s="145"/>
      <c r="AC2517" s="145"/>
      <c r="AD2517" s="145"/>
      <c r="AE2517" s="145"/>
      <c r="AF2517" s="145"/>
      <c r="AG2517" s="145"/>
      <c r="AH2517" s="145"/>
      <c r="AI2517" s="145"/>
      <c r="AJ2517" s="145"/>
      <c r="AK2517" s="145"/>
      <c r="AL2517" s="145"/>
      <c r="AM2517" s="145"/>
      <c r="AN2517" s="145"/>
      <c r="AO2517" s="145"/>
      <c r="AP2517" s="145"/>
      <c r="AQ2517" s="145"/>
      <c r="AR2517" s="145"/>
      <c r="AS2517" s="145"/>
      <c r="AT2517" s="145"/>
      <c r="AU2517" s="145"/>
      <c r="AV2517" s="145"/>
      <c r="AW2517" s="145"/>
      <c r="AX2517" s="145"/>
      <c r="AY2517" s="145"/>
      <c r="AZ2517" s="145"/>
      <c r="BA2517" s="145"/>
      <c r="BB2517" s="145"/>
      <c r="BC2517" s="145"/>
      <c r="BD2517" s="145"/>
      <c r="BE2517" s="145"/>
      <c r="BF2517" s="145"/>
      <c r="BG2517" s="145"/>
      <c r="BH2517" s="145"/>
      <c r="BI2517" s="145"/>
      <c r="BJ2517" s="145"/>
      <c r="BK2517" s="145"/>
      <c r="BL2517" s="145"/>
      <c r="BM2517" s="145"/>
      <c r="BN2517" s="145"/>
      <c r="BO2517" s="145"/>
      <c r="BP2517" s="145"/>
      <c r="BQ2517" s="145"/>
      <c r="BR2517" s="145"/>
      <c r="BS2517" s="145"/>
      <c r="BT2517" s="145"/>
      <c r="BU2517" s="145"/>
      <c r="BV2517" s="145"/>
      <c r="BW2517" s="145"/>
      <c r="BX2517" s="145"/>
      <c r="BY2517" s="145"/>
      <c r="BZ2517" s="145"/>
      <c r="CA2517" s="145"/>
      <c r="CB2517" s="145"/>
      <c r="CC2517" s="145"/>
      <c r="CD2517" s="145"/>
      <c r="CE2517" s="145"/>
      <c r="CF2517" s="145"/>
      <c r="CG2517" s="145"/>
      <c r="CH2517" s="145"/>
      <c r="CI2517" s="145"/>
      <c r="CJ2517" s="145"/>
      <c r="CK2517" s="145"/>
      <c r="CL2517" s="145"/>
      <c r="CM2517" s="145"/>
      <c r="CN2517" s="145"/>
      <c r="CO2517" s="145"/>
      <c r="CP2517" s="145"/>
      <c r="CQ2517" s="145"/>
      <c r="CR2517" s="145"/>
      <c r="CS2517" s="145"/>
      <c r="CT2517" s="145"/>
      <c r="CU2517" s="145"/>
      <c r="CV2517" s="145"/>
      <c r="CW2517" s="145"/>
      <c r="CX2517" s="145"/>
      <c r="CY2517" s="145"/>
      <c r="CZ2517" s="145"/>
      <c r="DA2517" s="145"/>
      <c r="DB2517" s="145"/>
      <c r="DC2517" s="145"/>
      <c r="DD2517" s="145"/>
      <c r="DE2517" s="145"/>
      <c r="DF2517" s="145"/>
      <c r="DG2517" s="145"/>
      <c r="DH2517" s="145"/>
      <c r="DI2517" s="145"/>
      <c r="DJ2517" s="145"/>
      <c r="DK2517" s="145"/>
      <c r="DL2517" s="145"/>
      <c r="DM2517" s="145"/>
      <c r="DN2517" s="145"/>
      <c r="DO2517" s="145"/>
      <c r="DP2517" s="145"/>
      <c r="DQ2517" s="145"/>
      <c r="DR2517" s="145"/>
      <c r="DS2517" s="145"/>
      <c r="DT2517" s="145"/>
      <c r="DU2517" s="145"/>
      <c r="DV2517" s="145"/>
      <c r="DW2517" s="145"/>
      <c r="DX2517" s="145"/>
      <c r="DY2517" s="145"/>
      <c r="DZ2517" s="145"/>
      <c r="EA2517" s="145"/>
      <c r="EB2517" s="145"/>
      <c r="EC2517" s="145"/>
      <c r="ED2517" s="145"/>
      <c r="EE2517" s="145"/>
      <c r="EF2517" s="145"/>
      <c r="EG2517" s="145"/>
      <c r="EH2517" s="145"/>
      <c r="EI2517" s="145"/>
      <c r="EJ2517" s="145"/>
      <c r="EK2517" s="145"/>
      <c r="EL2517" s="145"/>
      <c r="EM2517" s="145"/>
      <c r="EN2517" s="145"/>
      <c r="EO2517" s="145"/>
      <c r="EP2517" s="145"/>
      <c r="EQ2517" s="145"/>
      <c r="ER2517" s="145"/>
      <c r="ES2517" s="145"/>
      <c r="ET2517" s="145"/>
      <c r="EU2517" s="145"/>
      <c r="EV2517" s="145"/>
      <c r="EW2517" s="145"/>
      <c r="EX2517" s="145"/>
      <c r="EY2517" s="145"/>
      <c r="EZ2517" s="145"/>
      <c r="FA2517" s="145"/>
      <c r="FB2517" s="145"/>
      <c r="FC2517" s="145"/>
      <c r="FD2517" s="145"/>
      <c r="FE2517" s="145"/>
      <c r="FF2517" s="145"/>
      <c r="FG2517" s="145"/>
      <c r="FH2517" s="145"/>
      <c r="FI2517" s="145"/>
      <c r="FJ2517" s="145"/>
      <c r="FK2517" s="145"/>
      <c r="FL2517" s="145"/>
      <c r="FM2517" s="145"/>
      <c r="FN2517" s="145"/>
      <c r="FO2517" s="145"/>
      <c r="FP2517" s="145"/>
      <c r="FQ2517" s="145"/>
      <c r="FR2517" s="145"/>
      <c r="FS2517" s="145"/>
      <c r="FT2517" s="145"/>
      <c r="FU2517" s="145"/>
      <c r="FV2517" s="145"/>
      <c r="FW2517" s="145"/>
      <c r="FX2517" s="145"/>
      <c r="FY2517" s="145"/>
      <c r="FZ2517" s="145"/>
      <c r="GA2517" s="145"/>
      <c r="GB2517" s="145"/>
      <c r="GC2517" s="145"/>
      <c r="GD2517" s="145"/>
      <c r="GE2517" s="145"/>
      <c r="GF2517" s="145"/>
      <c r="GG2517" s="145"/>
      <c r="GH2517" s="145"/>
      <c r="GI2517" s="145"/>
      <c r="GJ2517" s="145"/>
      <c r="GK2517" s="145"/>
      <c r="GL2517" s="145"/>
      <c r="GM2517" s="145"/>
      <c r="GN2517" s="145"/>
      <c r="GO2517" s="145"/>
      <c r="GP2517" s="145"/>
      <c r="GQ2517" s="145"/>
      <c r="GR2517" s="145"/>
      <c r="GS2517" s="145"/>
      <c r="GT2517" s="145"/>
      <c r="GU2517" s="145"/>
      <c r="GV2517" s="145"/>
      <c r="GW2517" s="145"/>
      <c r="GX2517" s="145"/>
      <c r="GY2517" s="145"/>
      <c r="GZ2517" s="145"/>
      <c r="HA2517" s="145"/>
      <c r="HB2517" s="145"/>
      <c r="HC2517" s="145"/>
      <c r="HD2517" s="145"/>
      <c r="HE2517" s="145"/>
      <c r="HF2517" s="145"/>
    </row>
    <row r="2518" spans="1:214" x14ac:dyDescent="0.35">
      <c r="A2518" s="168" t="s">
        <v>39</v>
      </c>
      <c r="B2518" s="168"/>
      <c r="C2518" s="170"/>
      <c r="D2518" s="166">
        <f>D2519+D2521</f>
        <v>858</v>
      </c>
      <c r="E2518" s="166"/>
      <c r="F2518" s="166"/>
      <c r="G2518" s="166"/>
      <c r="H2518" s="164"/>
      <c r="I2518" s="181">
        <f>I2519+I2521</f>
        <v>1653320.8</v>
      </c>
      <c r="J2518" s="181"/>
      <c r="K2518" s="181"/>
      <c r="L2518" s="145"/>
      <c r="M2518" s="145"/>
      <c r="N2518" s="145"/>
      <c r="O2518" s="145"/>
      <c r="P2518" s="145"/>
      <c r="Q2518" s="145"/>
      <c r="R2518" s="145"/>
      <c r="S2518" s="145"/>
      <c r="T2518" s="145"/>
      <c r="U2518" s="145"/>
      <c r="V2518" s="145"/>
      <c r="W2518" s="145"/>
      <c r="X2518" s="145"/>
      <c r="Y2518" s="145"/>
      <c r="Z2518" s="145"/>
      <c r="AA2518" s="145"/>
      <c r="AB2518" s="145"/>
      <c r="AC2518" s="145"/>
      <c r="AD2518" s="145"/>
      <c r="AE2518" s="145"/>
      <c r="AF2518" s="145"/>
      <c r="AG2518" s="145"/>
      <c r="AH2518" s="145"/>
      <c r="AI2518" s="145"/>
      <c r="AJ2518" s="145"/>
      <c r="AK2518" s="145"/>
      <c r="AL2518" s="145"/>
      <c r="AM2518" s="145"/>
      <c r="AN2518" s="145"/>
      <c r="AO2518" s="145"/>
      <c r="AP2518" s="145"/>
      <c r="AQ2518" s="145"/>
      <c r="AR2518" s="145"/>
      <c r="AS2518" s="145"/>
      <c r="AT2518" s="145"/>
      <c r="AU2518" s="145"/>
      <c r="AV2518" s="145"/>
      <c r="AW2518" s="145"/>
      <c r="AX2518" s="145"/>
      <c r="AY2518" s="145"/>
      <c r="AZ2518" s="145"/>
      <c r="BA2518" s="145"/>
      <c r="BB2518" s="145"/>
      <c r="BC2518" s="145"/>
      <c r="BD2518" s="145"/>
      <c r="BE2518" s="145"/>
      <c r="BF2518" s="145"/>
      <c r="BG2518" s="145"/>
      <c r="BH2518" s="145"/>
      <c r="BI2518" s="145"/>
      <c r="BJ2518" s="145"/>
      <c r="BK2518" s="145"/>
      <c r="BL2518" s="145"/>
      <c r="BM2518" s="145"/>
      <c r="BN2518" s="145"/>
      <c r="BO2518" s="145"/>
      <c r="BP2518" s="145"/>
      <c r="BQ2518" s="145"/>
      <c r="BR2518" s="145"/>
      <c r="BS2518" s="145"/>
      <c r="BT2518" s="145"/>
      <c r="BU2518" s="145"/>
      <c r="BV2518" s="145"/>
      <c r="BW2518" s="145"/>
      <c r="BX2518" s="145"/>
      <c r="BY2518" s="145"/>
      <c r="BZ2518" s="145"/>
      <c r="CA2518" s="145"/>
      <c r="CB2518" s="145"/>
      <c r="CC2518" s="145"/>
      <c r="CD2518" s="145"/>
      <c r="CE2518" s="145"/>
      <c r="CF2518" s="145"/>
      <c r="CG2518" s="145"/>
      <c r="CH2518" s="145"/>
      <c r="CI2518" s="145"/>
      <c r="CJ2518" s="145"/>
      <c r="CK2518" s="145"/>
      <c r="CL2518" s="145"/>
      <c r="CM2518" s="145"/>
      <c r="CN2518" s="145"/>
      <c r="CO2518" s="145"/>
      <c r="CP2518" s="145"/>
      <c r="CQ2518" s="145"/>
      <c r="CR2518" s="145"/>
      <c r="CS2518" s="145"/>
      <c r="CT2518" s="145"/>
      <c r="CU2518" s="145"/>
      <c r="CV2518" s="145"/>
      <c r="CW2518" s="145"/>
      <c r="CX2518" s="145"/>
      <c r="CY2518" s="145"/>
      <c r="CZ2518" s="145"/>
      <c r="DA2518" s="145"/>
      <c r="DB2518" s="145"/>
      <c r="DC2518" s="145"/>
      <c r="DD2518" s="145"/>
      <c r="DE2518" s="145"/>
      <c r="DF2518" s="145"/>
      <c r="DG2518" s="145"/>
      <c r="DH2518" s="145"/>
      <c r="DI2518" s="145"/>
      <c r="DJ2518" s="145"/>
      <c r="DK2518" s="145"/>
      <c r="DL2518" s="145"/>
      <c r="DM2518" s="145"/>
      <c r="DN2518" s="145"/>
      <c r="DO2518" s="145"/>
      <c r="DP2518" s="145"/>
      <c r="DQ2518" s="145"/>
      <c r="DR2518" s="145"/>
      <c r="DS2518" s="145"/>
      <c r="DT2518" s="145"/>
      <c r="DU2518" s="145"/>
      <c r="DV2518" s="145"/>
      <c r="DW2518" s="145"/>
      <c r="DX2518" s="145"/>
      <c r="DY2518" s="145"/>
      <c r="DZ2518" s="145"/>
      <c r="EA2518" s="145"/>
      <c r="EB2518" s="145"/>
      <c r="EC2518" s="145"/>
      <c r="ED2518" s="145"/>
      <c r="EE2518" s="145"/>
      <c r="EF2518" s="145"/>
      <c r="EG2518" s="145"/>
      <c r="EH2518" s="145"/>
      <c r="EI2518" s="145"/>
      <c r="EJ2518" s="145"/>
      <c r="EK2518" s="145"/>
      <c r="EL2518" s="145"/>
      <c r="EM2518" s="145"/>
      <c r="EN2518" s="145"/>
      <c r="EO2518" s="145"/>
      <c r="EP2518" s="145"/>
      <c r="EQ2518" s="145"/>
      <c r="ER2518" s="145"/>
      <c r="ES2518" s="145"/>
      <c r="ET2518" s="145"/>
      <c r="EU2518" s="145"/>
      <c r="EV2518" s="145"/>
      <c r="EW2518" s="145"/>
      <c r="EX2518" s="145"/>
      <c r="EY2518" s="145"/>
      <c r="EZ2518" s="145"/>
      <c r="FA2518" s="145"/>
      <c r="FB2518" s="145"/>
      <c r="FC2518" s="145"/>
      <c r="FD2518" s="145"/>
      <c r="FE2518" s="145"/>
      <c r="FF2518" s="145"/>
      <c r="FG2518" s="145"/>
      <c r="FH2518" s="145"/>
      <c r="FI2518" s="145"/>
      <c r="FJ2518" s="145"/>
      <c r="FK2518" s="145"/>
      <c r="FL2518" s="145"/>
      <c r="FM2518" s="145"/>
      <c r="FN2518" s="145"/>
      <c r="FO2518" s="145"/>
      <c r="FP2518" s="145"/>
      <c r="FQ2518" s="145"/>
      <c r="FR2518" s="145"/>
      <c r="FS2518" s="145"/>
      <c r="FT2518" s="145"/>
      <c r="FU2518" s="145"/>
      <c r="FV2518" s="145"/>
      <c r="FW2518" s="145"/>
      <c r="FX2518" s="145"/>
      <c r="FY2518" s="145"/>
      <c r="FZ2518" s="145"/>
      <c r="GA2518" s="145"/>
      <c r="GB2518" s="145"/>
      <c r="GC2518" s="145"/>
      <c r="GD2518" s="145"/>
      <c r="GE2518" s="145"/>
      <c r="GF2518" s="145"/>
      <c r="GG2518" s="145"/>
      <c r="GH2518" s="145"/>
      <c r="GI2518" s="145"/>
      <c r="GJ2518" s="145"/>
      <c r="GK2518" s="145"/>
      <c r="GL2518" s="145"/>
      <c r="GM2518" s="145"/>
      <c r="GN2518" s="145"/>
      <c r="GO2518" s="145"/>
      <c r="GP2518" s="145"/>
      <c r="GQ2518" s="145"/>
      <c r="GR2518" s="145"/>
      <c r="GS2518" s="145"/>
      <c r="GT2518" s="145"/>
      <c r="GU2518" s="145"/>
      <c r="GV2518" s="145"/>
      <c r="GW2518" s="145"/>
      <c r="GX2518" s="145"/>
      <c r="GY2518" s="145"/>
      <c r="GZ2518" s="145"/>
      <c r="HA2518" s="145"/>
      <c r="HB2518" s="145"/>
      <c r="HC2518" s="145"/>
      <c r="HD2518" s="145"/>
      <c r="HE2518" s="145"/>
      <c r="HF2518" s="145"/>
    </row>
    <row r="2519" spans="1:214" x14ac:dyDescent="0.35">
      <c r="A2519" s="270">
        <v>1</v>
      </c>
      <c r="B2519" s="270">
        <v>6736</v>
      </c>
      <c r="C2519" s="278" t="s">
        <v>595</v>
      </c>
      <c r="D2519" s="273">
        <v>401.2</v>
      </c>
      <c r="E2519" s="273" t="s">
        <v>633</v>
      </c>
      <c r="F2519" s="282">
        <v>2</v>
      </c>
      <c r="G2519" s="167"/>
      <c r="H2519" s="136" t="s">
        <v>72</v>
      </c>
      <c r="I2519" s="181">
        <f>I2520</f>
        <v>104312</v>
      </c>
      <c r="J2519" s="181">
        <f>J2520</f>
        <v>260</v>
      </c>
      <c r="K2519" s="181">
        <f>K2520</f>
        <v>260</v>
      </c>
      <c r="L2519" s="145"/>
      <c r="M2519" s="145"/>
      <c r="N2519" s="145"/>
      <c r="O2519" s="145"/>
      <c r="P2519" s="145"/>
      <c r="Q2519" s="145"/>
      <c r="R2519" s="145"/>
      <c r="S2519" s="145"/>
      <c r="T2519" s="145"/>
      <c r="U2519" s="145"/>
      <c r="V2519" s="145"/>
      <c r="W2519" s="145"/>
      <c r="X2519" s="145"/>
      <c r="Y2519" s="145"/>
      <c r="Z2519" s="145"/>
      <c r="AA2519" s="145"/>
      <c r="AB2519" s="145"/>
      <c r="AC2519" s="145"/>
      <c r="AD2519" s="145"/>
      <c r="AE2519" s="145"/>
      <c r="AF2519" s="145"/>
      <c r="AG2519" s="145"/>
      <c r="AH2519" s="145"/>
      <c r="AI2519" s="145"/>
      <c r="AJ2519" s="145"/>
      <c r="AK2519" s="145"/>
      <c r="AL2519" s="145"/>
      <c r="AM2519" s="145"/>
      <c r="AN2519" s="145"/>
      <c r="AO2519" s="145"/>
      <c r="AP2519" s="145"/>
      <c r="AQ2519" s="145"/>
      <c r="AR2519" s="145"/>
      <c r="AS2519" s="145"/>
      <c r="AT2519" s="145"/>
      <c r="AU2519" s="145"/>
      <c r="AV2519" s="145"/>
      <c r="AW2519" s="145"/>
      <c r="AX2519" s="145"/>
      <c r="AY2519" s="145"/>
      <c r="AZ2519" s="145"/>
      <c r="BA2519" s="145"/>
      <c r="BB2519" s="145"/>
      <c r="BC2519" s="145"/>
      <c r="BD2519" s="145"/>
      <c r="BE2519" s="145"/>
      <c r="BF2519" s="145"/>
      <c r="BG2519" s="145"/>
      <c r="BH2519" s="145"/>
      <c r="BI2519" s="145"/>
      <c r="BJ2519" s="145"/>
      <c r="BK2519" s="145"/>
      <c r="BL2519" s="145"/>
      <c r="BM2519" s="145"/>
      <c r="BN2519" s="145"/>
      <c r="BO2519" s="145"/>
      <c r="BP2519" s="145"/>
      <c r="BQ2519" s="145"/>
      <c r="BR2519" s="145"/>
      <c r="BS2519" s="145"/>
      <c r="BT2519" s="145"/>
      <c r="BU2519" s="145"/>
      <c r="BV2519" s="145"/>
      <c r="BW2519" s="145"/>
      <c r="BX2519" s="145"/>
      <c r="BY2519" s="145"/>
      <c r="BZ2519" s="145"/>
      <c r="CA2519" s="145"/>
      <c r="CB2519" s="145"/>
      <c r="CC2519" s="145"/>
      <c r="CD2519" s="145"/>
      <c r="CE2519" s="145"/>
      <c r="CF2519" s="145"/>
      <c r="CG2519" s="145"/>
      <c r="CH2519" s="145"/>
      <c r="CI2519" s="145"/>
      <c r="CJ2519" s="145"/>
      <c r="CK2519" s="145"/>
      <c r="CL2519" s="145"/>
      <c r="CM2519" s="145"/>
      <c r="CN2519" s="145"/>
      <c r="CO2519" s="145"/>
      <c r="CP2519" s="145"/>
      <c r="CQ2519" s="145"/>
      <c r="CR2519" s="145"/>
      <c r="CS2519" s="145"/>
      <c r="CT2519" s="145"/>
      <c r="CU2519" s="145"/>
      <c r="CV2519" s="145"/>
      <c r="CW2519" s="145"/>
      <c r="CX2519" s="145"/>
      <c r="CY2519" s="145"/>
      <c r="CZ2519" s="145"/>
      <c r="DA2519" s="145"/>
      <c r="DB2519" s="145"/>
      <c r="DC2519" s="145"/>
      <c r="DD2519" s="145"/>
      <c r="DE2519" s="145"/>
      <c r="DF2519" s="145"/>
      <c r="DG2519" s="145"/>
      <c r="DH2519" s="145"/>
      <c r="DI2519" s="145"/>
      <c r="DJ2519" s="145"/>
      <c r="DK2519" s="145"/>
      <c r="DL2519" s="145"/>
      <c r="DM2519" s="145"/>
      <c r="DN2519" s="145"/>
      <c r="DO2519" s="145"/>
      <c r="DP2519" s="145"/>
      <c r="DQ2519" s="145"/>
      <c r="DR2519" s="145"/>
      <c r="DS2519" s="145"/>
      <c r="DT2519" s="145"/>
      <c r="DU2519" s="145"/>
      <c r="DV2519" s="145"/>
      <c r="DW2519" s="145"/>
      <c r="DX2519" s="145"/>
      <c r="DY2519" s="145"/>
      <c r="DZ2519" s="145"/>
      <c r="EA2519" s="145"/>
      <c r="EB2519" s="145"/>
      <c r="EC2519" s="145"/>
      <c r="ED2519" s="145"/>
      <c r="EE2519" s="145"/>
      <c r="EF2519" s="145"/>
      <c r="EG2519" s="145"/>
      <c r="EH2519" s="145"/>
      <c r="EI2519" s="145"/>
      <c r="EJ2519" s="145"/>
      <c r="EK2519" s="145"/>
      <c r="EL2519" s="145"/>
      <c r="EM2519" s="145"/>
      <c r="EN2519" s="145"/>
      <c r="EO2519" s="145"/>
      <c r="EP2519" s="145"/>
      <c r="EQ2519" s="145"/>
      <c r="ER2519" s="145"/>
      <c r="ES2519" s="145"/>
      <c r="ET2519" s="145"/>
      <c r="EU2519" s="145"/>
      <c r="EV2519" s="145"/>
      <c r="EW2519" s="145"/>
      <c r="EX2519" s="145"/>
      <c r="EY2519" s="145"/>
      <c r="EZ2519" s="145"/>
      <c r="FA2519" s="145"/>
      <c r="FB2519" s="145"/>
      <c r="FC2519" s="145"/>
      <c r="FD2519" s="145"/>
      <c r="FE2519" s="145"/>
      <c r="FF2519" s="145"/>
      <c r="FG2519" s="145"/>
      <c r="FH2519" s="145"/>
      <c r="FI2519" s="145"/>
      <c r="FJ2519" s="145"/>
      <c r="FK2519" s="145"/>
      <c r="FL2519" s="145"/>
      <c r="FM2519" s="145"/>
      <c r="FN2519" s="145"/>
      <c r="FO2519" s="145"/>
      <c r="FP2519" s="145"/>
      <c r="FQ2519" s="145"/>
      <c r="FR2519" s="145"/>
      <c r="FS2519" s="145"/>
      <c r="FT2519" s="145"/>
      <c r="FU2519" s="145"/>
      <c r="FV2519" s="145"/>
      <c r="FW2519" s="145"/>
      <c r="FX2519" s="145"/>
      <c r="FY2519" s="145"/>
      <c r="FZ2519" s="145"/>
      <c r="GA2519" s="145"/>
      <c r="GB2519" s="145"/>
      <c r="GC2519" s="145"/>
      <c r="GD2519" s="145"/>
      <c r="GE2519" s="145"/>
      <c r="GF2519" s="145"/>
      <c r="GG2519" s="145"/>
      <c r="GH2519" s="145"/>
      <c r="GI2519" s="145"/>
      <c r="GJ2519" s="145"/>
      <c r="GK2519" s="145"/>
      <c r="GL2519" s="145"/>
      <c r="GM2519" s="145"/>
      <c r="GN2519" s="145"/>
      <c r="GO2519" s="145"/>
      <c r="GP2519" s="145"/>
      <c r="GQ2519" s="145"/>
      <c r="GR2519" s="145"/>
      <c r="GS2519" s="145"/>
      <c r="GT2519" s="145"/>
      <c r="GU2519" s="145"/>
      <c r="GV2519" s="145"/>
      <c r="GW2519" s="145"/>
      <c r="GX2519" s="145"/>
      <c r="GY2519" s="145"/>
      <c r="GZ2519" s="145"/>
      <c r="HA2519" s="145"/>
      <c r="HB2519" s="145"/>
      <c r="HC2519" s="145"/>
      <c r="HD2519" s="145"/>
      <c r="HE2519" s="145"/>
      <c r="HF2519" s="145"/>
    </row>
    <row r="2520" spans="1:214" ht="46.5" x14ac:dyDescent="0.35">
      <c r="A2520" s="271"/>
      <c r="B2520" s="272"/>
      <c r="C2520" s="279"/>
      <c r="D2520" s="274"/>
      <c r="E2520" s="275"/>
      <c r="F2520" s="284"/>
      <c r="G2520" s="146" t="s">
        <v>71</v>
      </c>
      <c r="H2520" s="136" t="s">
        <v>673</v>
      </c>
      <c r="I2520" s="181">
        <f>65796.8+D2519*96</f>
        <v>104312</v>
      </c>
      <c r="J2520" s="181">
        <f>I2520/D2519</f>
        <v>260</v>
      </c>
      <c r="K2520" s="181">
        <f>164+96</f>
        <v>260</v>
      </c>
      <c r="L2520" s="145"/>
      <c r="M2520" s="145"/>
      <c r="N2520" s="145"/>
      <c r="O2520" s="145"/>
      <c r="P2520" s="145"/>
      <c r="Q2520" s="145"/>
      <c r="R2520" s="145"/>
      <c r="S2520" s="145"/>
      <c r="T2520" s="145"/>
      <c r="U2520" s="145"/>
      <c r="V2520" s="145"/>
      <c r="W2520" s="145"/>
      <c r="X2520" s="145"/>
      <c r="Y2520" s="145"/>
      <c r="Z2520" s="145"/>
      <c r="AA2520" s="145"/>
      <c r="AB2520" s="145"/>
      <c r="AC2520" s="145"/>
      <c r="AD2520" s="145"/>
      <c r="AE2520" s="145"/>
      <c r="AF2520" s="145"/>
      <c r="AG2520" s="145"/>
      <c r="AH2520" s="145"/>
      <c r="AI2520" s="145"/>
      <c r="AJ2520" s="145"/>
      <c r="AK2520" s="145"/>
      <c r="AL2520" s="145"/>
      <c r="AM2520" s="145"/>
      <c r="AN2520" s="145"/>
      <c r="AO2520" s="145"/>
      <c r="AP2520" s="145"/>
      <c r="AQ2520" s="145"/>
      <c r="AR2520" s="145"/>
      <c r="AS2520" s="145"/>
      <c r="AT2520" s="145"/>
      <c r="AU2520" s="145"/>
      <c r="AV2520" s="145"/>
      <c r="AW2520" s="145"/>
      <c r="AX2520" s="145"/>
      <c r="AY2520" s="145"/>
      <c r="AZ2520" s="145"/>
      <c r="BA2520" s="145"/>
      <c r="BB2520" s="145"/>
      <c r="BC2520" s="145"/>
      <c r="BD2520" s="145"/>
      <c r="BE2520" s="145"/>
      <c r="BF2520" s="145"/>
      <c r="BG2520" s="145"/>
      <c r="BH2520" s="145"/>
      <c r="BI2520" s="145"/>
      <c r="BJ2520" s="145"/>
      <c r="BK2520" s="145"/>
      <c r="BL2520" s="145"/>
      <c r="BM2520" s="145"/>
      <c r="BN2520" s="145"/>
      <c r="BO2520" s="145"/>
      <c r="BP2520" s="145"/>
      <c r="BQ2520" s="145"/>
      <c r="BR2520" s="145"/>
      <c r="BS2520" s="145"/>
      <c r="BT2520" s="145"/>
      <c r="BU2520" s="145"/>
      <c r="BV2520" s="145"/>
      <c r="BW2520" s="145"/>
      <c r="BX2520" s="145"/>
      <c r="BY2520" s="145"/>
      <c r="BZ2520" s="145"/>
      <c r="CA2520" s="145"/>
      <c r="CB2520" s="145"/>
      <c r="CC2520" s="145"/>
      <c r="CD2520" s="145"/>
      <c r="CE2520" s="145"/>
      <c r="CF2520" s="145"/>
      <c r="CG2520" s="145"/>
      <c r="CH2520" s="145"/>
      <c r="CI2520" s="145"/>
      <c r="CJ2520" s="145"/>
      <c r="CK2520" s="145"/>
      <c r="CL2520" s="145"/>
      <c r="CM2520" s="145"/>
      <c r="CN2520" s="145"/>
      <c r="CO2520" s="145"/>
      <c r="CP2520" s="145"/>
      <c r="CQ2520" s="145"/>
      <c r="CR2520" s="145"/>
      <c r="CS2520" s="145"/>
      <c r="CT2520" s="145"/>
      <c r="CU2520" s="145"/>
      <c r="CV2520" s="145"/>
      <c r="CW2520" s="145"/>
      <c r="CX2520" s="145"/>
      <c r="CY2520" s="145"/>
      <c r="CZ2520" s="145"/>
      <c r="DA2520" s="145"/>
      <c r="DB2520" s="145"/>
      <c r="DC2520" s="145"/>
      <c r="DD2520" s="145"/>
      <c r="DE2520" s="145"/>
      <c r="DF2520" s="145"/>
      <c r="DG2520" s="145"/>
      <c r="DH2520" s="145"/>
      <c r="DI2520" s="145"/>
      <c r="DJ2520" s="145"/>
      <c r="DK2520" s="145"/>
      <c r="DL2520" s="145"/>
      <c r="DM2520" s="145"/>
      <c r="DN2520" s="145"/>
      <c r="DO2520" s="145"/>
      <c r="DP2520" s="145"/>
      <c r="DQ2520" s="145"/>
      <c r="DR2520" s="145"/>
      <c r="DS2520" s="145"/>
      <c r="DT2520" s="145"/>
      <c r="DU2520" s="145"/>
      <c r="DV2520" s="145"/>
      <c r="DW2520" s="145"/>
      <c r="DX2520" s="145"/>
      <c r="DY2520" s="145"/>
      <c r="DZ2520" s="145"/>
      <c r="EA2520" s="145"/>
      <c r="EB2520" s="145"/>
      <c r="EC2520" s="145"/>
      <c r="ED2520" s="145"/>
      <c r="EE2520" s="145"/>
      <c r="EF2520" s="145"/>
      <c r="EG2520" s="145"/>
      <c r="EH2520" s="145"/>
      <c r="EI2520" s="145"/>
      <c r="EJ2520" s="145"/>
      <c r="EK2520" s="145"/>
      <c r="EL2520" s="145"/>
      <c r="EM2520" s="145"/>
      <c r="EN2520" s="145"/>
      <c r="EO2520" s="145"/>
      <c r="EP2520" s="145"/>
      <c r="EQ2520" s="145"/>
      <c r="ER2520" s="145"/>
      <c r="ES2520" s="145"/>
      <c r="ET2520" s="145"/>
      <c r="EU2520" s="145"/>
      <c r="EV2520" s="145"/>
      <c r="EW2520" s="145"/>
      <c r="EX2520" s="145"/>
      <c r="EY2520" s="145"/>
      <c r="EZ2520" s="145"/>
      <c r="FA2520" s="145"/>
      <c r="FB2520" s="145"/>
      <c r="FC2520" s="145"/>
      <c r="FD2520" s="145"/>
      <c r="FE2520" s="145"/>
      <c r="FF2520" s="145"/>
      <c r="FG2520" s="145"/>
      <c r="FH2520" s="145"/>
      <c r="FI2520" s="145"/>
      <c r="FJ2520" s="145"/>
      <c r="FK2520" s="145"/>
      <c r="FL2520" s="145"/>
      <c r="FM2520" s="145"/>
      <c r="FN2520" s="145"/>
      <c r="FO2520" s="145"/>
      <c r="FP2520" s="145"/>
      <c r="FQ2520" s="145"/>
      <c r="FR2520" s="145"/>
      <c r="FS2520" s="145"/>
      <c r="FT2520" s="145"/>
      <c r="FU2520" s="145"/>
      <c r="FV2520" s="145"/>
      <c r="FW2520" s="145"/>
      <c r="FX2520" s="145"/>
      <c r="FY2520" s="145"/>
      <c r="FZ2520" s="145"/>
      <c r="GA2520" s="145"/>
      <c r="GB2520" s="145"/>
      <c r="GC2520" s="145"/>
      <c r="GD2520" s="145"/>
      <c r="GE2520" s="145"/>
      <c r="GF2520" s="145"/>
      <c r="GG2520" s="145"/>
      <c r="GH2520" s="145"/>
      <c r="GI2520" s="145"/>
      <c r="GJ2520" s="145"/>
      <c r="GK2520" s="145"/>
      <c r="GL2520" s="145"/>
      <c r="GM2520" s="145"/>
      <c r="GN2520" s="145"/>
      <c r="GO2520" s="145"/>
      <c r="GP2520" s="145"/>
      <c r="GQ2520" s="145"/>
      <c r="GR2520" s="145"/>
      <c r="GS2520" s="145"/>
      <c r="GT2520" s="145"/>
      <c r="GU2520" s="145"/>
      <c r="GV2520" s="145"/>
      <c r="GW2520" s="145"/>
      <c r="GX2520" s="145"/>
      <c r="GY2520" s="145"/>
      <c r="GZ2520" s="145"/>
      <c r="HA2520" s="145"/>
      <c r="HB2520" s="145"/>
      <c r="HC2520" s="145"/>
      <c r="HD2520" s="145"/>
      <c r="HE2520" s="145"/>
      <c r="HF2520" s="145"/>
    </row>
    <row r="2521" spans="1:214" x14ac:dyDescent="0.35">
      <c r="A2521" s="270">
        <f>A2519+1</f>
        <v>2</v>
      </c>
      <c r="B2521" s="270">
        <v>6742</v>
      </c>
      <c r="C2521" s="278" t="s">
        <v>677</v>
      </c>
      <c r="D2521" s="273">
        <v>456.8</v>
      </c>
      <c r="E2521" s="273" t="s">
        <v>74</v>
      </c>
      <c r="F2521" s="282">
        <v>2</v>
      </c>
      <c r="G2521" s="167"/>
      <c r="H2521" s="136" t="s">
        <v>72</v>
      </c>
      <c r="I2521" s="181">
        <f>I2522+I2523+I2524+I2525+I2526+I2527</f>
        <v>1549008.8</v>
      </c>
      <c r="J2521" s="181">
        <f>J2522+J2523+J2524+J2525+J2526+J2527</f>
        <v>3391</v>
      </c>
      <c r="K2521" s="181">
        <f>K2522+K2523+K2524+K2525+K2526+K2527</f>
        <v>3391</v>
      </c>
      <c r="L2521" s="145"/>
      <c r="M2521" s="145"/>
      <c r="N2521" s="145"/>
      <c r="O2521" s="145"/>
      <c r="P2521" s="145"/>
      <c r="Q2521" s="145"/>
      <c r="R2521" s="145"/>
      <c r="S2521" s="145"/>
      <c r="T2521" s="145"/>
      <c r="U2521" s="145"/>
      <c r="V2521" s="145"/>
      <c r="W2521" s="145"/>
      <c r="X2521" s="145"/>
      <c r="Y2521" s="145"/>
      <c r="Z2521" s="145"/>
      <c r="AA2521" s="145"/>
      <c r="AB2521" s="145"/>
      <c r="AC2521" s="145"/>
      <c r="AD2521" s="145"/>
      <c r="AE2521" s="145"/>
      <c r="AF2521" s="145"/>
      <c r="AG2521" s="145"/>
      <c r="AH2521" s="145"/>
      <c r="AI2521" s="145"/>
      <c r="AJ2521" s="145"/>
      <c r="AK2521" s="145"/>
      <c r="AL2521" s="145"/>
      <c r="AM2521" s="145"/>
      <c r="AN2521" s="145"/>
      <c r="AO2521" s="145"/>
      <c r="AP2521" s="145"/>
      <c r="AQ2521" s="145"/>
      <c r="AR2521" s="145"/>
      <c r="AS2521" s="145"/>
      <c r="AT2521" s="145"/>
      <c r="AU2521" s="145"/>
      <c r="AV2521" s="145"/>
      <c r="AW2521" s="145"/>
      <c r="AX2521" s="145"/>
      <c r="AY2521" s="145"/>
      <c r="AZ2521" s="145"/>
      <c r="BA2521" s="145"/>
      <c r="BB2521" s="145"/>
      <c r="BC2521" s="145"/>
      <c r="BD2521" s="145"/>
      <c r="BE2521" s="145"/>
      <c r="BF2521" s="145"/>
      <c r="BG2521" s="145"/>
      <c r="BH2521" s="145"/>
      <c r="BI2521" s="145"/>
      <c r="BJ2521" s="145"/>
      <c r="BK2521" s="145"/>
      <c r="BL2521" s="145"/>
      <c r="BM2521" s="145"/>
      <c r="BN2521" s="145"/>
      <c r="BO2521" s="145"/>
      <c r="BP2521" s="145"/>
      <c r="BQ2521" s="145"/>
      <c r="BR2521" s="145"/>
      <c r="BS2521" s="145"/>
      <c r="BT2521" s="145"/>
      <c r="BU2521" s="145"/>
      <c r="BV2521" s="145"/>
      <c r="BW2521" s="145"/>
      <c r="BX2521" s="145"/>
      <c r="BY2521" s="145"/>
      <c r="BZ2521" s="145"/>
      <c r="CA2521" s="145"/>
      <c r="CB2521" s="145"/>
      <c r="CC2521" s="145"/>
      <c r="CD2521" s="145"/>
      <c r="CE2521" s="145"/>
      <c r="CF2521" s="145"/>
      <c r="CG2521" s="145"/>
      <c r="CH2521" s="145"/>
      <c r="CI2521" s="145"/>
      <c r="CJ2521" s="145"/>
      <c r="CK2521" s="145"/>
      <c r="CL2521" s="145"/>
      <c r="CM2521" s="145"/>
      <c r="CN2521" s="145"/>
      <c r="CO2521" s="145"/>
      <c r="CP2521" s="145"/>
      <c r="CQ2521" s="145"/>
      <c r="CR2521" s="145"/>
      <c r="CS2521" s="145"/>
      <c r="CT2521" s="145"/>
      <c r="CU2521" s="145"/>
      <c r="CV2521" s="145"/>
      <c r="CW2521" s="145"/>
      <c r="CX2521" s="145"/>
      <c r="CY2521" s="145"/>
      <c r="CZ2521" s="145"/>
      <c r="DA2521" s="145"/>
      <c r="DB2521" s="145"/>
      <c r="DC2521" s="145"/>
      <c r="DD2521" s="145"/>
      <c r="DE2521" s="145"/>
      <c r="DF2521" s="145"/>
      <c r="DG2521" s="145"/>
      <c r="DH2521" s="145"/>
      <c r="DI2521" s="145"/>
      <c r="DJ2521" s="145"/>
      <c r="DK2521" s="145"/>
      <c r="DL2521" s="145"/>
      <c r="DM2521" s="145"/>
      <c r="DN2521" s="145"/>
      <c r="DO2521" s="145"/>
      <c r="DP2521" s="145"/>
      <c r="DQ2521" s="145"/>
      <c r="DR2521" s="145"/>
      <c r="DS2521" s="145"/>
      <c r="DT2521" s="145"/>
      <c r="DU2521" s="145"/>
      <c r="DV2521" s="145"/>
      <c r="DW2521" s="145"/>
      <c r="DX2521" s="145"/>
      <c r="DY2521" s="145"/>
      <c r="DZ2521" s="145"/>
      <c r="EA2521" s="145"/>
      <c r="EB2521" s="145"/>
      <c r="EC2521" s="145"/>
      <c r="ED2521" s="145"/>
      <c r="EE2521" s="145"/>
      <c r="EF2521" s="145"/>
      <c r="EG2521" s="145"/>
      <c r="EH2521" s="145"/>
      <c r="EI2521" s="145"/>
      <c r="EJ2521" s="145"/>
      <c r="EK2521" s="145"/>
      <c r="EL2521" s="145"/>
      <c r="EM2521" s="145"/>
      <c r="EN2521" s="145"/>
      <c r="EO2521" s="145"/>
      <c r="EP2521" s="145"/>
      <c r="EQ2521" s="145"/>
      <c r="ER2521" s="145"/>
      <c r="ES2521" s="145"/>
      <c r="ET2521" s="145"/>
      <c r="EU2521" s="145"/>
      <c r="EV2521" s="145"/>
      <c r="EW2521" s="145"/>
      <c r="EX2521" s="145"/>
      <c r="EY2521" s="145"/>
      <c r="EZ2521" s="145"/>
      <c r="FA2521" s="145"/>
      <c r="FB2521" s="145"/>
      <c r="FC2521" s="145"/>
      <c r="FD2521" s="145"/>
      <c r="FE2521" s="145"/>
      <c r="FF2521" s="145"/>
      <c r="FG2521" s="145"/>
      <c r="FH2521" s="145"/>
      <c r="FI2521" s="145"/>
      <c r="FJ2521" s="145"/>
      <c r="FK2521" s="145"/>
      <c r="FL2521" s="145"/>
      <c r="FM2521" s="145"/>
      <c r="FN2521" s="145"/>
      <c r="FO2521" s="145"/>
      <c r="FP2521" s="145"/>
      <c r="FQ2521" s="145"/>
      <c r="FR2521" s="145"/>
      <c r="FS2521" s="145"/>
      <c r="FT2521" s="145"/>
      <c r="FU2521" s="145"/>
      <c r="FV2521" s="145"/>
      <c r="FW2521" s="145"/>
      <c r="FX2521" s="145"/>
      <c r="FY2521" s="145"/>
      <c r="FZ2521" s="145"/>
      <c r="GA2521" s="145"/>
      <c r="GB2521" s="145"/>
      <c r="GC2521" s="145"/>
      <c r="GD2521" s="145"/>
      <c r="GE2521" s="145"/>
      <c r="GF2521" s="145"/>
      <c r="GG2521" s="145"/>
      <c r="GH2521" s="145"/>
      <c r="GI2521" s="145"/>
      <c r="GJ2521" s="145"/>
      <c r="GK2521" s="145"/>
      <c r="GL2521" s="145"/>
      <c r="GM2521" s="145"/>
      <c r="GN2521" s="145"/>
      <c r="GO2521" s="145"/>
      <c r="GP2521" s="145"/>
      <c r="GQ2521" s="145"/>
      <c r="GR2521" s="145"/>
      <c r="GS2521" s="145"/>
      <c r="GT2521" s="145"/>
      <c r="GU2521" s="145"/>
      <c r="GV2521" s="145"/>
      <c r="GW2521" s="145"/>
      <c r="GX2521" s="145"/>
      <c r="GY2521" s="145"/>
      <c r="GZ2521" s="145"/>
      <c r="HA2521" s="145"/>
      <c r="HB2521" s="145"/>
      <c r="HC2521" s="145"/>
      <c r="HD2521" s="145"/>
      <c r="HE2521" s="145"/>
      <c r="HF2521" s="145"/>
    </row>
    <row r="2522" spans="1:214" ht="46.5" x14ac:dyDescent="0.35">
      <c r="A2522" s="271"/>
      <c r="B2522" s="271"/>
      <c r="C2522" s="279"/>
      <c r="D2522" s="274"/>
      <c r="E2522" s="274"/>
      <c r="F2522" s="283"/>
      <c r="G2522" s="270" t="s">
        <v>76</v>
      </c>
      <c r="H2522" s="136" t="s">
        <v>634</v>
      </c>
      <c r="I2522" s="181">
        <f>K2522*D2521</f>
        <v>58927.199999999997</v>
      </c>
      <c r="J2522" s="181">
        <f>I2522/D2521</f>
        <v>129</v>
      </c>
      <c r="K2522" s="181">
        <f>108+21</f>
        <v>129</v>
      </c>
      <c r="L2522" s="145"/>
      <c r="M2522" s="145"/>
      <c r="N2522" s="145"/>
      <c r="O2522" s="145"/>
      <c r="P2522" s="145"/>
      <c r="Q2522" s="145"/>
      <c r="R2522" s="145"/>
      <c r="S2522" s="145"/>
      <c r="T2522" s="145"/>
      <c r="U2522" s="145"/>
      <c r="V2522" s="145"/>
      <c r="W2522" s="145"/>
      <c r="X2522" s="145"/>
      <c r="Y2522" s="145"/>
      <c r="Z2522" s="145"/>
      <c r="AA2522" s="145"/>
      <c r="AB2522" s="145"/>
      <c r="AC2522" s="145"/>
      <c r="AD2522" s="145"/>
      <c r="AE2522" s="145"/>
      <c r="AF2522" s="145"/>
      <c r="AG2522" s="145"/>
      <c r="AH2522" s="145"/>
      <c r="AI2522" s="145"/>
      <c r="AJ2522" s="145"/>
      <c r="AK2522" s="145"/>
      <c r="AL2522" s="145"/>
      <c r="AM2522" s="145"/>
      <c r="AN2522" s="145"/>
      <c r="AO2522" s="145"/>
      <c r="AP2522" s="145"/>
      <c r="AQ2522" s="145"/>
      <c r="AR2522" s="145"/>
      <c r="AS2522" s="145"/>
      <c r="AT2522" s="145"/>
      <c r="AU2522" s="145"/>
      <c r="AV2522" s="145"/>
      <c r="AW2522" s="145"/>
      <c r="AX2522" s="145"/>
      <c r="AY2522" s="145"/>
      <c r="AZ2522" s="145"/>
      <c r="BA2522" s="145"/>
      <c r="BB2522" s="145"/>
      <c r="BC2522" s="145"/>
      <c r="BD2522" s="145"/>
      <c r="BE2522" s="145"/>
      <c r="BF2522" s="145"/>
      <c r="BG2522" s="145"/>
      <c r="BH2522" s="145"/>
      <c r="BI2522" s="145"/>
      <c r="BJ2522" s="145"/>
      <c r="BK2522" s="145"/>
      <c r="BL2522" s="145"/>
      <c r="BM2522" s="145"/>
      <c r="BN2522" s="145"/>
      <c r="BO2522" s="145"/>
      <c r="BP2522" s="145"/>
      <c r="BQ2522" s="145"/>
      <c r="BR2522" s="145"/>
      <c r="BS2522" s="145"/>
      <c r="BT2522" s="145"/>
      <c r="BU2522" s="145"/>
      <c r="BV2522" s="145"/>
      <c r="BW2522" s="145"/>
      <c r="BX2522" s="145"/>
      <c r="BY2522" s="145"/>
      <c r="BZ2522" s="145"/>
      <c r="CA2522" s="145"/>
      <c r="CB2522" s="145"/>
      <c r="CC2522" s="145"/>
      <c r="CD2522" s="145"/>
      <c r="CE2522" s="145"/>
      <c r="CF2522" s="145"/>
      <c r="CG2522" s="145"/>
      <c r="CH2522" s="145"/>
      <c r="CI2522" s="145"/>
      <c r="CJ2522" s="145"/>
      <c r="CK2522" s="145"/>
      <c r="CL2522" s="145"/>
      <c r="CM2522" s="145"/>
      <c r="CN2522" s="145"/>
      <c r="CO2522" s="145"/>
      <c r="CP2522" s="145"/>
      <c r="CQ2522" s="145"/>
      <c r="CR2522" s="145"/>
      <c r="CS2522" s="145"/>
      <c r="CT2522" s="145"/>
      <c r="CU2522" s="145"/>
      <c r="CV2522" s="145"/>
      <c r="CW2522" s="145"/>
      <c r="CX2522" s="145"/>
      <c r="CY2522" s="145"/>
      <c r="CZ2522" s="145"/>
      <c r="DA2522" s="145"/>
      <c r="DB2522" s="145"/>
      <c r="DC2522" s="145"/>
      <c r="DD2522" s="145"/>
      <c r="DE2522" s="145"/>
      <c r="DF2522" s="145"/>
      <c r="DG2522" s="145"/>
      <c r="DH2522" s="145"/>
      <c r="DI2522" s="145"/>
      <c r="DJ2522" s="145"/>
      <c r="DK2522" s="145"/>
      <c r="DL2522" s="145"/>
      <c r="DM2522" s="145"/>
      <c r="DN2522" s="145"/>
      <c r="DO2522" s="145"/>
      <c r="DP2522" s="145"/>
      <c r="DQ2522" s="145"/>
      <c r="DR2522" s="145"/>
      <c r="DS2522" s="145"/>
      <c r="DT2522" s="145"/>
      <c r="DU2522" s="145"/>
      <c r="DV2522" s="145"/>
      <c r="DW2522" s="145"/>
      <c r="DX2522" s="145"/>
      <c r="DY2522" s="145"/>
      <c r="DZ2522" s="145"/>
      <c r="EA2522" s="145"/>
      <c r="EB2522" s="145"/>
      <c r="EC2522" s="145"/>
      <c r="ED2522" s="145"/>
      <c r="EE2522" s="145"/>
      <c r="EF2522" s="145"/>
      <c r="EG2522" s="145"/>
      <c r="EH2522" s="145"/>
      <c r="EI2522" s="145"/>
      <c r="EJ2522" s="145"/>
      <c r="EK2522" s="145"/>
      <c r="EL2522" s="145"/>
      <c r="EM2522" s="145"/>
      <c r="EN2522" s="145"/>
      <c r="EO2522" s="145"/>
      <c r="EP2522" s="145"/>
      <c r="EQ2522" s="145"/>
      <c r="ER2522" s="145"/>
      <c r="ES2522" s="145"/>
      <c r="ET2522" s="145"/>
      <c r="EU2522" s="145"/>
      <c r="EV2522" s="145"/>
      <c r="EW2522" s="145"/>
      <c r="EX2522" s="145"/>
      <c r="EY2522" s="145"/>
      <c r="EZ2522" s="145"/>
      <c r="FA2522" s="145"/>
      <c r="FB2522" s="145"/>
      <c r="FC2522" s="145"/>
      <c r="FD2522" s="145"/>
      <c r="FE2522" s="145"/>
      <c r="FF2522" s="145"/>
      <c r="FG2522" s="145"/>
      <c r="FH2522" s="145"/>
      <c r="FI2522" s="145"/>
      <c r="FJ2522" s="145"/>
      <c r="FK2522" s="145"/>
      <c r="FL2522" s="145"/>
      <c r="FM2522" s="145"/>
      <c r="FN2522" s="145"/>
      <c r="FO2522" s="145"/>
      <c r="FP2522" s="145"/>
      <c r="FQ2522" s="145"/>
      <c r="FR2522" s="145"/>
      <c r="FS2522" s="145"/>
      <c r="FT2522" s="145"/>
      <c r="FU2522" s="145"/>
      <c r="FV2522" s="145"/>
      <c r="FW2522" s="145"/>
      <c r="FX2522" s="145"/>
      <c r="FY2522" s="145"/>
      <c r="FZ2522" s="145"/>
      <c r="GA2522" s="145"/>
      <c r="GB2522" s="145"/>
      <c r="GC2522" s="145"/>
      <c r="GD2522" s="145"/>
      <c r="GE2522" s="145"/>
      <c r="GF2522" s="145"/>
      <c r="GG2522" s="145"/>
      <c r="GH2522" s="145"/>
      <c r="GI2522" s="145"/>
      <c r="GJ2522" s="145"/>
      <c r="GK2522" s="145"/>
      <c r="GL2522" s="145"/>
      <c r="GM2522" s="145"/>
      <c r="GN2522" s="145"/>
      <c r="GO2522" s="145"/>
      <c r="GP2522" s="145"/>
      <c r="GQ2522" s="145"/>
      <c r="GR2522" s="145"/>
      <c r="GS2522" s="145"/>
      <c r="GT2522" s="145"/>
      <c r="GU2522" s="145"/>
      <c r="GV2522" s="145"/>
      <c r="GW2522" s="145"/>
      <c r="GX2522" s="145"/>
      <c r="GY2522" s="145"/>
      <c r="GZ2522" s="145"/>
      <c r="HA2522" s="145"/>
      <c r="HB2522" s="145"/>
      <c r="HC2522" s="145"/>
      <c r="HD2522" s="145"/>
      <c r="HE2522" s="145"/>
      <c r="HF2522" s="145"/>
    </row>
    <row r="2523" spans="1:214" x14ac:dyDescent="0.35">
      <c r="A2523" s="271"/>
      <c r="B2523" s="271"/>
      <c r="C2523" s="279"/>
      <c r="D2523" s="274"/>
      <c r="E2523" s="274"/>
      <c r="F2523" s="283"/>
      <c r="G2523" s="271"/>
      <c r="H2523" s="136" t="s">
        <v>73</v>
      </c>
      <c r="I2523" s="181">
        <f>K2523*D2521</f>
        <v>1229248.8</v>
      </c>
      <c r="J2523" s="181">
        <f>I2523/D2521</f>
        <v>2691</v>
      </c>
      <c r="K2523" s="181">
        <v>2691</v>
      </c>
      <c r="L2523" s="145"/>
      <c r="M2523" s="145"/>
      <c r="N2523" s="145"/>
      <c r="O2523" s="145"/>
      <c r="P2523" s="145"/>
      <c r="Q2523" s="145"/>
      <c r="R2523" s="145"/>
      <c r="S2523" s="145"/>
      <c r="T2523" s="145"/>
      <c r="U2523" s="145"/>
      <c r="V2523" s="145"/>
      <c r="W2523" s="145"/>
      <c r="X2523" s="145"/>
      <c r="Y2523" s="145"/>
      <c r="Z2523" s="145"/>
      <c r="AA2523" s="145"/>
      <c r="AB2523" s="145"/>
      <c r="AC2523" s="145"/>
      <c r="AD2523" s="145"/>
      <c r="AE2523" s="145"/>
      <c r="AF2523" s="145"/>
      <c r="AG2523" s="145"/>
      <c r="AH2523" s="145"/>
      <c r="AI2523" s="145"/>
      <c r="AJ2523" s="145"/>
      <c r="AK2523" s="145"/>
      <c r="AL2523" s="145"/>
      <c r="AM2523" s="145"/>
      <c r="AN2523" s="145"/>
      <c r="AO2523" s="145"/>
      <c r="AP2523" s="145"/>
      <c r="AQ2523" s="145"/>
      <c r="AR2523" s="145"/>
      <c r="AS2523" s="145"/>
      <c r="AT2523" s="145"/>
      <c r="AU2523" s="145"/>
      <c r="AV2523" s="145"/>
      <c r="AW2523" s="145"/>
      <c r="AX2523" s="145"/>
      <c r="AY2523" s="145"/>
      <c r="AZ2523" s="145"/>
      <c r="BA2523" s="145"/>
      <c r="BB2523" s="145"/>
      <c r="BC2523" s="145"/>
      <c r="BD2523" s="145"/>
      <c r="BE2523" s="145"/>
      <c r="BF2523" s="145"/>
      <c r="BG2523" s="145"/>
      <c r="BH2523" s="145"/>
      <c r="BI2523" s="145"/>
      <c r="BJ2523" s="145"/>
      <c r="BK2523" s="145"/>
      <c r="BL2523" s="145"/>
      <c r="BM2523" s="145"/>
      <c r="BN2523" s="145"/>
      <c r="BO2523" s="145"/>
      <c r="BP2523" s="145"/>
      <c r="BQ2523" s="145"/>
      <c r="BR2523" s="145"/>
      <c r="BS2523" s="145"/>
      <c r="BT2523" s="145"/>
      <c r="BU2523" s="145"/>
      <c r="BV2523" s="145"/>
      <c r="BW2523" s="145"/>
      <c r="BX2523" s="145"/>
      <c r="BY2523" s="145"/>
      <c r="BZ2523" s="145"/>
      <c r="CA2523" s="145"/>
      <c r="CB2523" s="145"/>
      <c r="CC2523" s="145"/>
      <c r="CD2523" s="145"/>
      <c r="CE2523" s="145"/>
      <c r="CF2523" s="145"/>
      <c r="CG2523" s="145"/>
      <c r="CH2523" s="145"/>
      <c r="CI2523" s="145"/>
      <c r="CJ2523" s="145"/>
      <c r="CK2523" s="145"/>
      <c r="CL2523" s="145"/>
      <c r="CM2523" s="145"/>
      <c r="CN2523" s="145"/>
      <c r="CO2523" s="145"/>
      <c r="CP2523" s="145"/>
      <c r="CQ2523" s="145"/>
      <c r="CR2523" s="145"/>
      <c r="CS2523" s="145"/>
      <c r="CT2523" s="145"/>
      <c r="CU2523" s="145"/>
      <c r="CV2523" s="145"/>
      <c r="CW2523" s="145"/>
      <c r="CX2523" s="145"/>
      <c r="CY2523" s="145"/>
      <c r="CZ2523" s="145"/>
      <c r="DA2523" s="145"/>
      <c r="DB2523" s="145"/>
      <c r="DC2523" s="145"/>
      <c r="DD2523" s="145"/>
      <c r="DE2523" s="145"/>
      <c r="DF2523" s="145"/>
      <c r="DG2523" s="145"/>
      <c r="DH2523" s="145"/>
      <c r="DI2523" s="145"/>
      <c r="DJ2523" s="145"/>
      <c r="DK2523" s="145"/>
      <c r="DL2523" s="145"/>
      <c r="DM2523" s="145"/>
      <c r="DN2523" s="145"/>
      <c r="DO2523" s="145"/>
      <c r="DP2523" s="145"/>
      <c r="DQ2523" s="145"/>
      <c r="DR2523" s="145"/>
      <c r="DS2523" s="145"/>
      <c r="DT2523" s="145"/>
      <c r="DU2523" s="145"/>
      <c r="DV2523" s="145"/>
      <c r="DW2523" s="145"/>
      <c r="DX2523" s="145"/>
      <c r="DY2523" s="145"/>
      <c r="DZ2523" s="145"/>
      <c r="EA2523" s="145"/>
      <c r="EB2523" s="145"/>
      <c r="EC2523" s="145"/>
      <c r="ED2523" s="145"/>
      <c r="EE2523" s="145"/>
      <c r="EF2523" s="145"/>
      <c r="EG2523" s="145"/>
      <c r="EH2523" s="145"/>
      <c r="EI2523" s="145"/>
      <c r="EJ2523" s="145"/>
      <c r="EK2523" s="145"/>
      <c r="EL2523" s="145"/>
      <c r="EM2523" s="145"/>
      <c r="EN2523" s="145"/>
      <c r="EO2523" s="145"/>
      <c r="EP2523" s="145"/>
      <c r="EQ2523" s="145"/>
      <c r="ER2523" s="145"/>
      <c r="ES2523" s="145"/>
      <c r="ET2523" s="145"/>
      <c r="EU2523" s="145"/>
      <c r="EV2523" s="145"/>
      <c r="EW2523" s="145"/>
      <c r="EX2523" s="145"/>
      <c r="EY2523" s="145"/>
      <c r="EZ2523" s="145"/>
      <c r="FA2523" s="145"/>
      <c r="FB2523" s="145"/>
      <c r="FC2523" s="145"/>
      <c r="FD2523" s="145"/>
      <c r="FE2523" s="145"/>
      <c r="FF2523" s="145"/>
      <c r="FG2523" s="145"/>
      <c r="FH2523" s="145"/>
      <c r="FI2523" s="145"/>
      <c r="FJ2523" s="145"/>
      <c r="FK2523" s="145"/>
      <c r="FL2523" s="145"/>
      <c r="FM2523" s="145"/>
      <c r="FN2523" s="145"/>
      <c r="FO2523" s="145"/>
      <c r="FP2523" s="145"/>
      <c r="FQ2523" s="145"/>
      <c r="FR2523" s="145"/>
      <c r="FS2523" s="145"/>
      <c r="FT2523" s="145"/>
      <c r="FU2523" s="145"/>
      <c r="FV2523" s="145"/>
      <c r="FW2523" s="145"/>
      <c r="FX2523" s="145"/>
      <c r="FY2523" s="145"/>
      <c r="FZ2523" s="145"/>
      <c r="GA2523" s="145"/>
      <c r="GB2523" s="145"/>
      <c r="GC2523" s="145"/>
      <c r="GD2523" s="145"/>
      <c r="GE2523" s="145"/>
      <c r="GF2523" s="145"/>
      <c r="GG2523" s="145"/>
      <c r="GH2523" s="145"/>
      <c r="GI2523" s="145"/>
      <c r="GJ2523" s="145"/>
      <c r="GK2523" s="145"/>
      <c r="GL2523" s="145"/>
      <c r="GM2523" s="145"/>
      <c r="GN2523" s="145"/>
      <c r="GO2523" s="145"/>
      <c r="GP2523" s="145"/>
      <c r="GQ2523" s="145"/>
      <c r="GR2523" s="145"/>
      <c r="GS2523" s="145"/>
      <c r="GT2523" s="145"/>
      <c r="GU2523" s="145"/>
      <c r="GV2523" s="145"/>
      <c r="GW2523" s="145"/>
      <c r="GX2523" s="145"/>
      <c r="GY2523" s="145"/>
      <c r="GZ2523" s="145"/>
      <c r="HA2523" s="145"/>
      <c r="HB2523" s="145"/>
      <c r="HC2523" s="145"/>
      <c r="HD2523" s="145"/>
      <c r="HE2523" s="145"/>
      <c r="HF2523" s="145"/>
    </row>
    <row r="2524" spans="1:214" x14ac:dyDescent="0.35">
      <c r="A2524" s="271"/>
      <c r="B2524" s="271"/>
      <c r="C2524" s="279"/>
      <c r="D2524" s="274"/>
      <c r="E2524" s="274"/>
      <c r="F2524" s="283"/>
      <c r="G2524" s="272"/>
      <c r="H2524" s="136" t="s">
        <v>75</v>
      </c>
      <c r="I2524" s="181">
        <f>K2524*D2521</f>
        <v>26494.400000000001</v>
      </c>
      <c r="J2524" s="181">
        <f>I2524/D2521</f>
        <v>58</v>
      </c>
      <c r="K2524" s="181">
        <v>58</v>
      </c>
      <c r="L2524" s="145"/>
      <c r="M2524" s="145"/>
      <c r="N2524" s="145"/>
      <c r="O2524" s="145"/>
      <c r="P2524" s="145"/>
      <c r="Q2524" s="145"/>
      <c r="R2524" s="145"/>
      <c r="S2524" s="145"/>
      <c r="T2524" s="145"/>
      <c r="U2524" s="145"/>
      <c r="V2524" s="145"/>
      <c r="W2524" s="145"/>
      <c r="X2524" s="145"/>
      <c r="Y2524" s="145"/>
      <c r="Z2524" s="145"/>
      <c r="AA2524" s="145"/>
      <c r="AB2524" s="145"/>
      <c r="AC2524" s="145"/>
      <c r="AD2524" s="145"/>
      <c r="AE2524" s="145"/>
      <c r="AF2524" s="145"/>
      <c r="AG2524" s="145"/>
      <c r="AH2524" s="145"/>
      <c r="AI2524" s="145"/>
      <c r="AJ2524" s="145"/>
      <c r="AK2524" s="145"/>
      <c r="AL2524" s="145"/>
      <c r="AM2524" s="145"/>
      <c r="AN2524" s="145"/>
      <c r="AO2524" s="145"/>
      <c r="AP2524" s="145"/>
      <c r="AQ2524" s="145"/>
      <c r="AR2524" s="145"/>
      <c r="AS2524" s="145"/>
      <c r="AT2524" s="145"/>
      <c r="AU2524" s="145"/>
      <c r="AV2524" s="145"/>
      <c r="AW2524" s="145"/>
      <c r="AX2524" s="145"/>
      <c r="AY2524" s="145"/>
      <c r="AZ2524" s="145"/>
      <c r="BA2524" s="145"/>
      <c r="BB2524" s="145"/>
      <c r="BC2524" s="145"/>
      <c r="BD2524" s="145"/>
      <c r="BE2524" s="145"/>
      <c r="BF2524" s="145"/>
      <c r="BG2524" s="145"/>
      <c r="BH2524" s="145"/>
      <c r="BI2524" s="145"/>
      <c r="BJ2524" s="145"/>
      <c r="BK2524" s="145"/>
      <c r="BL2524" s="145"/>
      <c r="BM2524" s="145"/>
      <c r="BN2524" s="145"/>
      <c r="BO2524" s="145"/>
      <c r="BP2524" s="145"/>
      <c r="BQ2524" s="145"/>
      <c r="BR2524" s="145"/>
      <c r="BS2524" s="145"/>
      <c r="BT2524" s="145"/>
      <c r="BU2524" s="145"/>
      <c r="BV2524" s="145"/>
      <c r="BW2524" s="145"/>
      <c r="BX2524" s="145"/>
      <c r="BY2524" s="145"/>
      <c r="BZ2524" s="145"/>
      <c r="CA2524" s="145"/>
      <c r="CB2524" s="145"/>
      <c r="CC2524" s="145"/>
      <c r="CD2524" s="145"/>
      <c r="CE2524" s="145"/>
      <c r="CF2524" s="145"/>
      <c r="CG2524" s="145"/>
      <c r="CH2524" s="145"/>
      <c r="CI2524" s="145"/>
      <c r="CJ2524" s="145"/>
      <c r="CK2524" s="145"/>
      <c r="CL2524" s="145"/>
      <c r="CM2524" s="145"/>
      <c r="CN2524" s="145"/>
      <c r="CO2524" s="145"/>
      <c r="CP2524" s="145"/>
      <c r="CQ2524" s="145"/>
      <c r="CR2524" s="145"/>
      <c r="CS2524" s="145"/>
      <c r="CT2524" s="145"/>
      <c r="CU2524" s="145"/>
      <c r="CV2524" s="145"/>
      <c r="CW2524" s="145"/>
      <c r="CX2524" s="145"/>
      <c r="CY2524" s="145"/>
      <c r="CZ2524" s="145"/>
      <c r="DA2524" s="145"/>
      <c r="DB2524" s="145"/>
      <c r="DC2524" s="145"/>
      <c r="DD2524" s="145"/>
      <c r="DE2524" s="145"/>
      <c r="DF2524" s="145"/>
      <c r="DG2524" s="145"/>
      <c r="DH2524" s="145"/>
      <c r="DI2524" s="145"/>
      <c r="DJ2524" s="145"/>
      <c r="DK2524" s="145"/>
      <c r="DL2524" s="145"/>
      <c r="DM2524" s="145"/>
      <c r="DN2524" s="145"/>
      <c r="DO2524" s="145"/>
      <c r="DP2524" s="145"/>
      <c r="DQ2524" s="145"/>
      <c r="DR2524" s="145"/>
      <c r="DS2524" s="145"/>
      <c r="DT2524" s="145"/>
      <c r="DU2524" s="145"/>
      <c r="DV2524" s="145"/>
      <c r="DW2524" s="145"/>
      <c r="DX2524" s="145"/>
      <c r="DY2524" s="145"/>
      <c r="DZ2524" s="145"/>
      <c r="EA2524" s="145"/>
      <c r="EB2524" s="145"/>
      <c r="EC2524" s="145"/>
      <c r="ED2524" s="145"/>
      <c r="EE2524" s="145"/>
      <c r="EF2524" s="145"/>
      <c r="EG2524" s="145"/>
      <c r="EH2524" s="145"/>
      <c r="EI2524" s="145"/>
      <c r="EJ2524" s="145"/>
      <c r="EK2524" s="145"/>
      <c r="EL2524" s="145"/>
      <c r="EM2524" s="145"/>
      <c r="EN2524" s="145"/>
      <c r="EO2524" s="145"/>
      <c r="EP2524" s="145"/>
      <c r="EQ2524" s="145"/>
      <c r="ER2524" s="145"/>
      <c r="ES2524" s="145"/>
      <c r="ET2524" s="145"/>
      <c r="EU2524" s="145"/>
      <c r="EV2524" s="145"/>
      <c r="EW2524" s="145"/>
      <c r="EX2524" s="145"/>
      <c r="EY2524" s="145"/>
      <c r="EZ2524" s="145"/>
      <c r="FA2524" s="145"/>
      <c r="FB2524" s="145"/>
      <c r="FC2524" s="145"/>
      <c r="FD2524" s="145"/>
      <c r="FE2524" s="145"/>
      <c r="FF2524" s="145"/>
      <c r="FG2524" s="145"/>
      <c r="FH2524" s="145"/>
      <c r="FI2524" s="145"/>
      <c r="FJ2524" s="145"/>
      <c r="FK2524" s="145"/>
      <c r="FL2524" s="145"/>
      <c r="FM2524" s="145"/>
      <c r="FN2524" s="145"/>
      <c r="FO2524" s="145"/>
      <c r="FP2524" s="145"/>
      <c r="FQ2524" s="145"/>
      <c r="FR2524" s="145"/>
      <c r="FS2524" s="145"/>
      <c r="FT2524" s="145"/>
      <c r="FU2524" s="145"/>
      <c r="FV2524" s="145"/>
      <c r="FW2524" s="145"/>
      <c r="FX2524" s="145"/>
      <c r="FY2524" s="145"/>
      <c r="FZ2524" s="145"/>
      <c r="GA2524" s="145"/>
      <c r="GB2524" s="145"/>
      <c r="GC2524" s="145"/>
      <c r="GD2524" s="145"/>
      <c r="GE2524" s="145"/>
      <c r="GF2524" s="145"/>
      <c r="GG2524" s="145"/>
      <c r="GH2524" s="145"/>
      <c r="GI2524" s="145"/>
      <c r="GJ2524" s="145"/>
      <c r="GK2524" s="145"/>
      <c r="GL2524" s="145"/>
      <c r="GM2524" s="145"/>
      <c r="GN2524" s="145"/>
      <c r="GO2524" s="145"/>
      <c r="GP2524" s="145"/>
      <c r="GQ2524" s="145"/>
      <c r="GR2524" s="145"/>
      <c r="GS2524" s="145"/>
      <c r="GT2524" s="145"/>
      <c r="GU2524" s="145"/>
      <c r="GV2524" s="145"/>
      <c r="GW2524" s="145"/>
      <c r="GX2524" s="145"/>
      <c r="GY2524" s="145"/>
      <c r="GZ2524" s="145"/>
      <c r="HA2524" s="145"/>
      <c r="HB2524" s="145"/>
      <c r="HC2524" s="145"/>
      <c r="HD2524" s="145"/>
      <c r="HE2524" s="145"/>
      <c r="HF2524" s="145"/>
    </row>
    <row r="2525" spans="1:214" ht="46.5" x14ac:dyDescent="0.35">
      <c r="A2525" s="271"/>
      <c r="B2525" s="271"/>
      <c r="C2525" s="279"/>
      <c r="D2525" s="274"/>
      <c r="E2525" s="274"/>
      <c r="F2525" s="283"/>
      <c r="G2525" s="270" t="s">
        <v>77</v>
      </c>
      <c r="H2525" s="136" t="s">
        <v>634</v>
      </c>
      <c r="I2525" s="181">
        <f>K2525*D2521</f>
        <v>18272</v>
      </c>
      <c r="J2525" s="181">
        <f>I2525/D2521</f>
        <v>40</v>
      </c>
      <c r="K2525" s="181">
        <f>19+21</f>
        <v>40</v>
      </c>
      <c r="L2525" s="145"/>
      <c r="M2525" s="145"/>
      <c r="N2525" s="145"/>
      <c r="O2525" s="145"/>
      <c r="P2525" s="145"/>
      <c r="Q2525" s="145"/>
      <c r="R2525" s="145"/>
      <c r="S2525" s="145"/>
      <c r="T2525" s="145"/>
      <c r="U2525" s="145"/>
      <c r="V2525" s="145"/>
      <c r="W2525" s="145"/>
      <c r="X2525" s="145"/>
      <c r="Y2525" s="145"/>
      <c r="Z2525" s="145"/>
      <c r="AA2525" s="145"/>
      <c r="AB2525" s="145"/>
      <c r="AC2525" s="145"/>
      <c r="AD2525" s="145"/>
      <c r="AE2525" s="145"/>
      <c r="AF2525" s="145"/>
      <c r="AG2525" s="145"/>
      <c r="AH2525" s="145"/>
      <c r="AI2525" s="145"/>
      <c r="AJ2525" s="145"/>
      <c r="AK2525" s="145"/>
      <c r="AL2525" s="145"/>
      <c r="AM2525" s="145"/>
      <c r="AN2525" s="145"/>
      <c r="AO2525" s="145"/>
      <c r="AP2525" s="145"/>
      <c r="AQ2525" s="145"/>
      <c r="AR2525" s="145"/>
      <c r="AS2525" s="145"/>
      <c r="AT2525" s="145"/>
      <c r="AU2525" s="145"/>
      <c r="AV2525" s="145"/>
      <c r="AW2525" s="145"/>
      <c r="AX2525" s="145"/>
      <c r="AY2525" s="145"/>
      <c r="AZ2525" s="145"/>
      <c r="BA2525" s="145"/>
      <c r="BB2525" s="145"/>
      <c r="BC2525" s="145"/>
      <c r="BD2525" s="145"/>
      <c r="BE2525" s="145"/>
      <c r="BF2525" s="145"/>
      <c r="BG2525" s="145"/>
      <c r="BH2525" s="145"/>
      <c r="BI2525" s="145"/>
      <c r="BJ2525" s="145"/>
      <c r="BK2525" s="145"/>
      <c r="BL2525" s="145"/>
      <c r="BM2525" s="145"/>
      <c r="BN2525" s="145"/>
      <c r="BO2525" s="145"/>
      <c r="BP2525" s="145"/>
      <c r="BQ2525" s="145"/>
      <c r="BR2525" s="145"/>
      <c r="BS2525" s="145"/>
      <c r="BT2525" s="145"/>
      <c r="BU2525" s="145"/>
      <c r="BV2525" s="145"/>
      <c r="BW2525" s="145"/>
      <c r="BX2525" s="145"/>
      <c r="BY2525" s="145"/>
      <c r="BZ2525" s="145"/>
      <c r="CA2525" s="145"/>
      <c r="CB2525" s="145"/>
      <c r="CC2525" s="145"/>
      <c r="CD2525" s="145"/>
      <c r="CE2525" s="145"/>
      <c r="CF2525" s="145"/>
      <c r="CG2525" s="145"/>
      <c r="CH2525" s="145"/>
      <c r="CI2525" s="145"/>
      <c r="CJ2525" s="145"/>
      <c r="CK2525" s="145"/>
      <c r="CL2525" s="145"/>
      <c r="CM2525" s="145"/>
      <c r="CN2525" s="145"/>
      <c r="CO2525" s="145"/>
      <c r="CP2525" s="145"/>
      <c r="CQ2525" s="145"/>
      <c r="CR2525" s="145"/>
      <c r="CS2525" s="145"/>
      <c r="CT2525" s="145"/>
      <c r="CU2525" s="145"/>
      <c r="CV2525" s="145"/>
      <c r="CW2525" s="145"/>
      <c r="CX2525" s="145"/>
      <c r="CY2525" s="145"/>
      <c r="CZ2525" s="145"/>
      <c r="DA2525" s="145"/>
      <c r="DB2525" s="145"/>
      <c r="DC2525" s="145"/>
      <c r="DD2525" s="145"/>
      <c r="DE2525" s="145"/>
      <c r="DF2525" s="145"/>
      <c r="DG2525" s="145"/>
      <c r="DH2525" s="145"/>
      <c r="DI2525" s="145"/>
      <c r="DJ2525" s="145"/>
      <c r="DK2525" s="145"/>
      <c r="DL2525" s="145"/>
      <c r="DM2525" s="145"/>
      <c r="DN2525" s="145"/>
      <c r="DO2525" s="145"/>
      <c r="DP2525" s="145"/>
      <c r="DQ2525" s="145"/>
      <c r="DR2525" s="145"/>
      <c r="DS2525" s="145"/>
      <c r="DT2525" s="145"/>
      <c r="DU2525" s="145"/>
      <c r="DV2525" s="145"/>
      <c r="DW2525" s="145"/>
      <c r="DX2525" s="145"/>
      <c r="DY2525" s="145"/>
      <c r="DZ2525" s="145"/>
      <c r="EA2525" s="145"/>
      <c r="EB2525" s="145"/>
      <c r="EC2525" s="145"/>
      <c r="ED2525" s="145"/>
      <c r="EE2525" s="145"/>
      <c r="EF2525" s="145"/>
      <c r="EG2525" s="145"/>
      <c r="EH2525" s="145"/>
      <c r="EI2525" s="145"/>
      <c r="EJ2525" s="145"/>
      <c r="EK2525" s="145"/>
      <c r="EL2525" s="145"/>
      <c r="EM2525" s="145"/>
      <c r="EN2525" s="145"/>
      <c r="EO2525" s="145"/>
      <c r="EP2525" s="145"/>
      <c r="EQ2525" s="145"/>
      <c r="ER2525" s="145"/>
      <c r="ES2525" s="145"/>
      <c r="ET2525" s="145"/>
      <c r="EU2525" s="145"/>
      <c r="EV2525" s="145"/>
      <c r="EW2525" s="145"/>
      <c r="EX2525" s="145"/>
      <c r="EY2525" s="145"/>
      <c r="EZ2525" s="145"/>
      <c r="FA2525" s="145"/>
      <c r="FB2525" s="145"/>
      <c r="FC2525" s="145"/>
      <c r="FD2525" s="145"/>
      <c r="FE2525" s="145"/>
      <c r="FF2525" s="145"/>
      <c r="FG2525" s="145"/>
      <c r="FH2525" s="145"/>
      <c r="FI2525" s="145"/>
      <c r="FJ2525" s="145"/>
      <c r="FK2525" s="145"/>
      <c r="FL2525" s="145"/>
      <c r="FM2525" s="145"/>
      <c r="FN2525" s="145"/>
      <c r="FO2525" s="145"/>
      <c r="FP2525" s="145"/>
      <c r="FQ2525" s="145"/>
      <c r="FR2525" s="145"/>
      <c r="FS2525" s="145"/>
      <c r="FT2525" s="145"/>
      <c r="FU2525" s="145"/>
      <c r="FV2525" s="145"/>
      <c r="FW2525" s="145"/>
      <c r="FX2525" s="145"/>
      <c r="FY2525" s="145"/>
      <c r="FZ2525" s="145"/>
      <c r="GA2525" s="145"/>
      <c r="GB2525" s="145"/>
      <c r="GC2525" s="145"/>
      <c r="GD2525" s="145"/>
      <c r="GE2525" s="145"/>
      <c r="GF2525" s="145"/>
      <c r="GG2525" s="145"/>
      <c r="GH2525" s="145"/>
      <c r="GI2525" s="145"/>
      <c r="GJ2525" s="145"/>
      <c r="GK2525" s="145"/>
      <c r="GL2525" s="145"/>
      <c r="GM2525" s="145"/>
      <c r="GN2525" s="145"/>
      <c r="GO2525" s="145"/>
      <c r="GP2525" s="145"/>
      <c r="GQ2525" s="145"/>
      <c r="GR2525" s="145"/>
      <c r="GS2525" s="145"/>
      <c r="GT2525" s="145"/>
      <c r="GU2525" s="145"/>
      <c r="GV2525" s="145"/>
      <c r="GW2525" s="145"/>
      <c r="GX2525" s="145"/>
      <c r="GY2525" s="145"/>
      <c r="GZ2525" s="145"/>
      <c r="HA2525" s="145"/>
      <c r="HB2525" s="145"/>
      <c r="HC2525" s="145"/>
      <c r="HD2525" s="145"/>
      <c r="HE2525" s="145"/>
      <c r="HF2525" s="145"/>
    </row>
    <row r="2526" spans="1:214" x14ac:dyDescent="0.35">
      <c r="A2526" s="271"/>
      <c r="B2526" s="271"/>
      <c r="C2526" s="279"/>
      <c r="D2526" s="274"/>
      <c r="E2526" s="274"/>
      <c r="F2526" s="283"/>
      <c r="G2526" s="271"/>
      <c r="H2526" s="136" t="s">
        <v>73</v>
      </c>
      <c r="I2526" s="181">
        <f>K2526*D2521</f>
        <v>211498.4</v>
      </c>
      <c r="J2526" s="181">
        <f>I2526/D2521</f>
        <v>463</v>
      </c>
      <c r="K2526" s="181">
        <v>463</v>
      </c>
      <c r="L2526" s="145"/>
      <c r="M2526" s="145"/>
      <c r="N2526" s="145"/>
      <c r="O2526" s="145"/>
      <c r="P2526" s="145"/>
      <c r="Q2526" s="145"/>
      <c r="R2526" s="145"/>
      <c r="S2526" s="145"/>
      <c r="T2526" s="145"/>
      <c r="U2526" s="145"/>
      <c r="V2526" s="145"/>
      <c r="W2526" s="145"/>
      <c r="X2526" s="145"/>
      <c r="Y2526" s="145"/>
      <c r="Z2526" s="145"/>
      <c r="AA2526" s="145"/>
      <c r="AB2526" s="145"/>
      <c r="AC2526" s="145"/>
      <c r="AD2526" s="145"/>
      <c r="AE2526" s="145"/>
      <c r="AF2526" s="145"/>
      <c r="AG2526" s="145"/>
      <c r="AH2526" s="145"/>
      <c r="AI2526" s="145"/>
      <c r="AJ2526" s="145"/>
      <c r="AK2526" s="145"/>
      <c r="AL2526" s="145"/>
      <c r="AM2526" s="145"/>
      <c r="AN2526" s="145"/>
      <c r="AO2526" s="145"/>
      <c r="AP2526" s="145"/>
      <c r="AQ2526" s="145"/>
      <c r="AR2526" s="145"/>
      <c r="AS2526" s="145"/>
      <c r="AT2526" s="145"/>
      <c r="AU2526" s="145"/>
      <c r="AV2526" s="145"/>
      <c r="AW2526" s="145"/>
      <c r="AX2526" s="145"/>
      <c r="AY2526" s="145"/>
      <c r="AZ2526" s="145"/>
      <c r="BA2526" s="145"/>
      <c r="BB2526" s="145"/>
      <c r="BC2526" s="145"/>
      <c r="BD2526" s="145"/>
      <c r="BE2526" s="145"/>
      <c r="BF2526" s="145"/>
      <c r="BG2526" s="145"/>
      <c r="BH2526" s="145"/>
      <c r="BI2526" s="145"/>
      <c r="BJ2526" s="145"/>
      <c r="BK2526" s="145"/>
      <c r="BL2526" s="145"/>
      <c r="BM2526" s="145"/>
      <c r="BN2526" s="145"/>
      <c r="BO2526" s="145"/>
      <c r="BP2526" s="145"/>
      <c r="BQ2526" s="145"/>
      <c r="BR2526" s="145"/>
      <c r="BS2526" s="145"/>
      <c r="BT2526" s="145"/>
      <c r="BU2526" s="145"/>
      <c r="BV2526" s="145"/>
      <c r="BW2526" s="145"/>
      <c r="BX2526" s="145"/>
      <c r="BY2526" s="145"/>
      <c r="BZ2526" s="145"/>
      <c r="CA2526" s="145"/>
      <c r="CB2526" s="145"/>
      <c r="CC2526" s="145"/>
      <c r="CD2526" s="145"/>
      <c r="CE2526" s="145"/>
      <c r="CF2526" s="145"/>
      <c r="CG2526" s="145"/>
      <c r="CH2526" s="145"/>
      <c r="CI2526" s="145"/>
      <c r="CJ2526" s="145"/>
      <c r="CK2526" s="145"/>
      <c r="CL2526" s="145"/>
      <c r="CM2526" s="145"/>
      <c r="CN2526" s="145"/>
      <c r="CO2526" s="145"/>
      <c r="CP2526" s="145"/>
      <c r="CQ2526" s="145"/>
      <c r="CR2526" s="145"/>
      <c r="CS2526" s="145"/>
      <c r="CT2526" s="145"/>
      <c r="CU2526" s="145"/>
      <c r="CV2526" s="145"/>
      <c r="CW2526" s="145"/>
      <c r="CX2526" s="145"/>
      <c r="CY2526" s="145"/>
      <c r="CZ2526" s="145"/>
      <c r="DA2526" s="145"/>
      <c r="DB2526" s="145"/>
      <c r="DC2526" s="145"/>
      <c r="DD2526" s="145"/>
      <c r="DE2526" s="145"/>
      <c r="DF2526" s="145"/>
      <c r="DG2526" s="145"/>
      <c r="DH2526" s="145"/>
      <c r="DI2526" s="145"/>
      <c r="DJ2526" s="145"/>
      <c r="DK2526" s="145"/>
      <c r="DL2526" s="145"/>
      <c r="DM2526" s="145"/>
      <c r="DN2526" s="145"/>
      <c r="DO2526" s="145"/>
      <c r="DP2526" s="145"/>
      <c r="DQ2526" s="145"/>
      <c r="DR2526" s="145"/>
      <c r="DS2526" s="145"/>
      <c r="DT2526" s="145"/>
      <c r="DU2526" s="145"/>
      <c r="DV2526" s="145"/>
      <c r="DW2526" s="145"/>
      <c r="DX2526" s="145"/>
      <c r="DY2526" s="145"/>
      <c r="DZ2526" s="145"/>
      <c r="EA2526" s="145"/>
      <c r="EB2526" s="145"/>
      <c r="EC2526" s="145"/>
      <c r="ED2526" s="145"/>
      <c r="EE2526" s="145"/>
      <c r="EF2526" s="145"/>
      <c r="EG2526" s="145"/>
      <c r="EH2526" s="145"/>
      <c r="EI2526" s="145"/>
      <c r="EJ2526" s="145"/>
      <c r="EK2526" s="145"/>
      <c r="EL2526" s="145"/>
      <c r="EM2526" s="145"/>
      <c r="EN2526" s="145"/>
      <c r="EO2526" s="145"/>
      <c r="EP2526" s="145"/>
      <c r="EQ2526" s="145"/>
      <c r="ER2526" s="145"/>
      <c r="ES2526" s="145"/>
      <c r="ET2526" s="145"/>
      <c r="EU2526" s="145"/>
      <c r="EV2526" s="145"/>
      <c r="EW2526" s="145"/>
      <c r="EX2526" s="145"/>
      <c r="EY2526" s="145"/>
      <c r="EZ2526" s="145"/>
      <c r="FA2526" s="145"/>
      <c r="FB2526" s="145"/>
      <c r="FC2526" s="145"/>
      <c r="FD2526" s="145"/>
      <c r="FE2526" s="145"/>
      <c r="FF2526" s="145"/>
      <c r="FG2526" s="145"/>
      <c r="FH2526" s="145"/>
      <c r="FI2526" s="145"/>
      <c r="FJ2526" s="145"/>
      <c r="FK2526" s="145"/>
      <c r="FL2526" s="145"/>
      <c r="FM2526" s="145"/>
      <c r="FN2526" s="145"/>
      <c r="FO2526" s="145"/>
      <c r="FP2526" s="145"/>
      <c r="FQ2526" s="145"/>
      <c r="FR2526" s="145"/>
      <c r="FS2526" s="145"/>
      <c r="FT2526" s="145"/>
      <c r="FU2526" s="145"/>
      <c r="FV2526" s="145"/>
      <c r="FW2526" s="145"/>
      <c r="FX2526" s="145"/>
      <c r="FY2526" s="145"/>
      <c r="FZ2526" s="145"/>
      <c r="GA2526" s="145"/>
      <c r="GB2526" s="145"/>
      <c r="GC2526" s="145"/>
      <c r="GD2526" s="145"/>
      <c r="GE2526" s="145"/>
      <c r="GF2526" s="145"/>
      <c r="GG2526" s="145"/>
      <c r="GH2526" s="145"/>
      <c r="GI2526" s="145"/>
      <c r="GJ2526" s="145"/>
      <c r="GK2526" s="145"/>
      <c r="GL2526" s="145"/>
      <c r="GM2526" s="145"/>
      <c r="GN2526" s="145"/>
      <c r="GO2526" s="145"/>
      <c r="GP2526" s="145"/>
      <c r="GQ2526" s="145"/>
      <c r="GR2526" s="145"/>
      <c r="GS2526" s="145"/>
      <c r="GT2526" s="145"/>
      <c r="GU2526" s="145"/>
      <c r="GV2526" s="145"/>
      <c r="GW2526" s="145"/>
      <c r="GX2526" s="145"/>
      <c r="GY2526" s="145"/>
      <c r="GZ2526" s="145"/>
      <c r="HA2526" s="145"/>
      <c r="HB2526" s="145"/>
      <c r="HC2526" s="145"/>
      <c r="HD2526" s="145"/>
      <c r="HE2526" s="145"/>
      <c r="HF2526" s="145"/>
    </row>
    <row r="2527" spans="1:214" x14ac:dyDescent="0.35">
      <c r="A2527" s="271"/>
      <c r="B2527" s="272"/>
      <c r="C2527" s="279"/>
      <c r="D2527" s="274"/>
      <c r="E2527" s="275"/>
      <c r="F2527" s="284"/>
      <c r="G2527" s="272"/>
      <c r="H2527" s="136" t="s">
        <v>75</v>
      </c>
      <c r="I2527" s="181">
        <f>K2527*D2521</f>
        <v>4568</v>
      </c>
      <c r="J2527" s="181">
        <f>I2527/D2521</f>
        <v>10</v>
      </c>
      <c r="K2527" s="181">
        <v>10</v>
      </c>
      <c r="L2527" s="145"/>
      <c r="M2527" s="145"/>
      <c r="N2527" s="145"/>
      <c r="O2527" s="145"/>
      <c r="P2527" s="145"/>
      <c r="Q2527" s="145"/>
      <c r="R2527" s="145"/>
      <c r="S2527" s="145"/>
      <c r="T2527" s="145"/>
      <c r="U2527" s="145"/>
      <c r="V2527" s="145"/>
      <c r="W2527" s="145"/>
      <c r="X2527" s="145"/>
      <c r="Y2527" s="145"/>
      <c r="Z2527" s="145"/>
      <c r="AA2527" s="145"/>
      <c r="AB2527" s="145"/>
      <c r="AC2527" s="145"/>
      <c r="AD2527" s="145"/>
      <c r="AE2527" s="145"/>
      <c r="AF2527" s="145"/>
      <c r="AG2527" s="145"/>
      <c r="AH2527" s="145"/>
      <c r="AI2527" s="145"/>
      <c r="AJ2527" s="145"/>
      <c r="AK2527" s="145"/>
      <c r="AL2527" s="145"/>
      <c r="AM2527" s="145"/>
      <c r="AN2527" s="145"/>
      <c r="AO2527" s="145"/>
      <c r="AP2527" s="145"/>
      <c r="AQ2527" s="145"/>
      <c r="AR2527" s="145"/>
      <c r="AS2527" s="145"/>
      <c r="AT2527" s="145"/>
      <c r="AU2527" s="145"/>
      <c r="AV2527" s="145"/>
      <c r="AW2527" s="145"/>
      <c r="AX2527" s="145"/>
      <c r="AY2527" s="145"/>
      <c r="AZ2527" s="145"/>
      <c r="BA2527" s="145"/>
      <c r="BB2527" s="145"/>
      <c r="BC2527" s="145"/>
      <c r="BD2527" s="145"/>
      <c r="BE2527" s="145"/>
      <c r="BF2527" s="145"/>
      <c r="BG2527" s="145"/>
      <c r="BH2527" s="145"/>
      <c r="BI2527" s="145"/>
      <c r="BJ2527" s="145"/>
      <c r="BK2527" s="145"/>
      <c r="BL2527" s="145"/>
      <c r="BM2527" s="145"/>
      <c r="BN2527" s="145"/>
      <c r="BO2527" s="145"/>
      <c r="BP2527" s="145"/>
      <c r="BQ2527" s="145"/>
      <c r="BR2527" s="145"/>
      <c r="BS2527" s="145"/>
      <c r="BT2527" s="145"/>
      <c r="BU2527" s="145"/>
      <c r="BV2527" s="145"/>
      <c r="BW2527" s="145"/>
      <c r="BX2527" s="145"/>
      <c r="BY2527" s="145"/>
      <c r="BZ2527" s="145"/>
      <c r="CA2527" s="145"/>
      <c r="CB2527" s="145"/>
      <c r="CC2527" s="145"/>
      <c r="CD2527" s="145"/>
      <c r="CE2527" s="145"/>
      <c r="CF2527" s="145"/>
      <c r="CG2527" s="145"/>
      <c r="CH2527" s="145"/>
      <c r="CI2527" s="145"/>
      <c r="CJ2527" s="145"/>
      <c r="CK2527" s="145"/>
      <c r="CL2527" s="145"/>
      <c r="CM2527" s="145"/>
      <c r="CN2527" s="145"/>
      <c r="CO2527" s="145"/>
      <c r="CP2527" s="145"/>
      <c r="CQ2527" s="145"/>
      <c r="CR2527" s="145"/>
      <c r="CS2527" s="145"/>
      <c r="CT2527" s="145"/>
      <c r="CU2527" s="145"/>
      <c r="CV2527" s="145"/>
      <c r="CW2527" s="145"/>
      <c r="CX2527" s="145"/>
      <c r="CY2527" s="145"/>
      <c r="CZ2527" s="145"/>
      <c r="DA2527" s="145"/>
      <c r="DB2527" s="145"/>
      <c r="DC2527" s="145"/>
      <c r="DD2527" s="145"/>
      <c r="DE2527" s="145"/>
      <c r="DF2527" s="145"/>
      <c r="DG2527" s="145"/>
      <c r="DH2527" s="145"/>
      <c r="DI2527" s="145"/>
      <c r="DJ2527" s="145"/>
      <c r="DK2527" s="145"/>
      <c r="DL2527" s="145"/>
      <c r="DM2527" s="145"/>
      <c r="DN2527" s="145"/>
      <c r="DO2527" s="145"/>
      <c r="DP2527" s="145"/>
      <c r="DQ2527" s="145"/>
      <c r="DR2527" s="145"/>
      <c r="DS2527" s="145"/>
      <c r="DT2527" s="145"/>
      <c r="DU2527" s="145"/>
      <c r="DV2527" s="145"/>
      <c r="DW2527" s="145"/>
      <c r="DX2527" s="145"/>
      <c r="DY2527" s="145"/>
      <c r="DZ2527" s="145"/>
      <c r="EA2527" s="145"/>
      <c r="EB2527" s="145"/>
      <c r="EC2527" s="145"/>
      <c r="ED2527" s="145"/>
      <c r="EE2527" s="145"/>
      <c r="EF2527" s="145"/>
      <c r="EG2527" s="145"/>
      <c r="EH2527" s="145"/>
      <c r="EI2527" s="145"/>
      <c r="EJ2527" s="145"/>
      <c r="EK2527" s="145"/>
      <c r="EL2527" s="145"/>
      <c r="EM2527" s="145"/>
      <c r="EN2527" s="145"/>
      <c r="EO2527" s="145"/>
      <c r="EP2527" s="145"/>
      <c r="EQ2527" s="145"/>
      <c r="ER2527" s="145"/>
      <c r="ES2527" s="145"/>
      <c r="ET2527" s="145"/>
      <c r="EU2527" s="145"/>
      <c r="EV2527" s="145"/>
      <c r="EW2527" s="145"/>
      <c r="EX2527" s="145"/>
      <c r="EY2527" s="145"/>
      <c r="EZ2527" s="145"/>
      <c r="FA2527" s="145"/>
      <c r="FB2527" s="145"/>
      <c r="FC2527" s="145"/>
      <c r="FD2527" s="145"/>
      <c r="FE2527" s="145"/>
      <c r="FF2527" s="145"/>
      <c r="FG2527" s="145"/>
      <c r="FH2527" s="145"/>
      <c r="FI2527" s="145"/>
      <c r="FJ2527" s="145"/>
      <c r="FK2527" s="145"/>
      <c r="FL2527" s="145"/>
      <c r="FM2527" s="145"/>
      <c r="FN2527" s="145"/>
      <c r="FO2527" s="145"/>
      <c r="FP2527" s="145"/>
      <c r="FQ2527" s="145"/>
      <c r="FR2527" s="145"/>
      <c r="FS2527" s="145"/>
      <c r="FT2527" s="145"/>
      <c r="FU2527" s="145"/>
      <c r="FV2527" s="145"/>
      <c r="FW2527" s="145"/>
      <c r="FX2527" s="145"/>
      <c r="FY2527" s="145"/>
      <c r="FZ2527" s="145"/>
      <c r="GA2527" s="145"/>
      <c r="GB2527" s="145"/>
      <c r="GC2527" s="145"/>
      <c r="GD2527" s="145"/>
      <c r="GE2527" s="145"/>
      <c r="GF2527" s="145"/>
      <c r="GG2527" s="145"/>
      <c r="GH2527" s="145"/>
      <c r="GI2527" s="145"/>
      <c r="GJ2527" s="145"/>
      <c r="GK2527" s="145"/>
      <c r="GL2527" s="145"/>
      <c r="GM2527" s="145"/>
      <c r="GN2527" s="145"/>
      <c r="GO2527" s="145"/>
      <c r="GP2527" s="145"/>
      <c r="GQ2527" s="145"/>
      <c r="GR2527" s="145"/>
      <c r="GS2527" s="145"/>
      <c r="GT2527" s="145"/>
      <c r="GU2527" s="145"/>
      <c r="GV2527" s="145"/>
      <c r="GW2527" s="145"/>
      <c r="GX2527" s="145"/>
      <c r="GY2527" s="145"/>
      <c r="GZ2527" s="145"/>
      <c r="HA2527" s="145"/>
      <c r="HB2527" s="145"/>
      <c r="HC2527" s="145"/>
      <c r="HD2527" s="145"/>
      <c r="HE2527" s="145"/>
      <c r="HF2527" s="145"/>
    </row>
    <row r="2528" spans="1:214" x14ac:dyDescent="0.35">
      <c r="A2528" s="168" t="s">
        <v>40</v>
      </c>
      <c r="B2528" s="168"/>
      <c r="C2528" s="170"/>
      <c r="D2528" s="181">
        <f>D2529+D2532+D2534+D2537+D2540+D2542+D2547+D2549+D2552+D2555+D2560+D2565+D2568+D2571+D2573+D2576+D2579+D2581+D2583+D2585+D2588</f>
        <v>14448.9</v>
      </c>
      <c r="E2528" s="181"/>
      <c r="F2528" s="181"/>
      <c r="G2528" s="166"/>
      <c r="H2528" s="164"/>
      <c r="I2528" s="181">
        <f>I2529+I2532+I2534+I2537+I2540+I2542+I2547+I2549+I2552+I2555+I2560+I2565+I2568+I2571+I2573+I2576+I2579+I2581+I2583+I2585+I2588</f>
        <v>27784828.149999999</v>
      </c>
      <c r="J2528" s="181"/>
      <c r="K2528" s="181"/>
      <c r="L2528" s="145"/>
      <c r="M2528" s="145"/>
      <c r="N2528" s="145"/>
      <c r="O2528" s="145"/>
      <c r="P2528" s="145"/>
      <c r="Q2528" s="145"/>
      <c r="R2528" s="145"/>
      <c r="S2528" s="145"/>
      <c r="T2528" s="145"/>
      <c r="U2528" s="145"/>
      <c r="V2528" s="145"/>
      <c r="W2528" s="145"/>
      <c r="X2528" s="145"/>
      <c r="Y2528" s="145"/>
      <c r="Z2528" s="145"/>
      <c r="AA2528" s="145"/>
      <c r="AB2528" s="145"/>
      <c r="AC2528" s="145"/>
      <c r="AD2528" s="145"/>
      <c r="AE2528" s="145"/>
      <c r="AF2528" s="145"/>
      <c r="AG2528" s="145"/>
      <c r="AH2528" s="145"/>
      <c r="AI2528" s="145"/>
      <c r="AJ2528" s="145"/>
      <c r="AK2528" s="145"/>
      <c r="AL2528" s="145"/>
      <c r="AM2528" s="145"/>
      <c r="AN2528" s="145"/>
      <c r="AO2528" s="145"/>
      <c r="AP2528" s="145"/>
      <c r="AQ2528" s="145"/>
      <c r="AR2528" s="145"/>
      <c r="AS2528" s="145"/>
      <c r="AT2528" s="145"/>
      <c r="AU2528" s="145"/>
      <c r="AV2528" s="145"/>
      <c r="AW2528" s="145"/>
      <c r="AX2528" s="145"/>
      <c r="AY2528" s="145"/>
      <c r="AZ2528" s="145"/>
      <c r="BA2528" s="145"/>
      <c r="BB2528" s="145"/>
      <c r="BC2528" s="145"/>
      <c r="BD2528" s="145"/>
      <c r="BE2528" s="145"/>
      <c r="BF2528" s="145"/>
      <c r="BG2528" s="145"/>
      <c r="BH2528" s="145"/>
      <c r="BI2528" s="145"/>
      <c r="BJ2528" s="145"/>
      <c r="BK2528" s="145"/>
      <c r="BL2528" s="145"/>
      <c r="BM2528" s="145"/>
      <c r="BN2528" s="145"/>
      <c r="BO2528" s="145"/>
      <c r="BP2528" s="145"/>
      <c r="BQ2528" s="145"/>
      <c r="BR2528" s="145"/>
      <c r="BS2528" s="145"/>
      <c r="BT2528" s="145"/>
      <c r="BU2528" s="145"/>
      <c r="BV2528" s="145"/>
      <c r="BW2528" s="145"/>
      <c r="BX2528" s="145"/>
      <c r="BY2528" s="145"/>
      <c r="BZ2528" s="145"/>
      <c r="CA2528" s="145"/>
      <c r="CB2528" s="145"/>
      <c r="CC2528" s="145"/>
      <c r="CD2528" s="145"/>
      <c r="CE2528" s="145"/>
      <c r="CF2528" s="145"/>
      <c r="CG2528" s="145"/>
      <c r="CH2528" s="145"/>
      <c r="CI2528" s="145"/>
      <c r="CJ2528" s="145"/>
      <c r="CK2528" s="145"/>
      <c r="CL2528" s="145"/>
      <c r="CM2528" s="145"/>
      <c r="CN2528" s="145"/>
      <c r="CO2528" s="145"/>
      <c r="CP2528" s="145"/>
      <c r="CQ2528" s="145"/>
      <c r="CR2528" s="145"/>
      <c r="CS2528" s="145"/>
      <c r="CT2528" s="145"/>
      <c r="CU2528" s="145"/>
      <c r="CV2528" s="145"/>
      <c r="CW2528" s="145"/>
      <c r="CX2528" s="145"/>
      <c r="CY2528" s="145"/>
      <c r="CZ2528" s="145"/>
      <c r="DA2528" s="145"/>
      <c r="DB2528" s="145"/>
      <c r="DC2528" s="145"/>
      <c r="DD2528" s="145"/>
      <c r="DE2528" s="145"/>
      <c r="DF2528" s="145"/>
      <c r="DG2528" s="145"/>
      <c r="DH2528" s="145"/>
      <c r="DI2528" s="145"/>
      <c r="DJ2528" s="145"/>
      <c r="DK2528" s="145"/>
      <c r="DL2528" s="145"/>
      <c r="DM2528" s="145"/>
      <c r="DN2528" s="145"/>
      <c r="DO2528" s="145"/>
      <c r="DP2528" s="145"/>
      <c r="DQ2528" s="145"/>
      <c r="DR2528" s="145"/>
      <c r="DS2528" s="145"/>
      <c r="DT2528" s="145"/>
      <c r="DU2528" s="145"/>
      <c r="DV2528" s="145"/>
      <c r="DW2528" s="145"/>
      <c r="DX2528" s="145"/>
      <c r="DY2528" s="145"/>
      <c r="DZ2528" s="145"/>
      <c r="EA2528" s="145"/>
      <c r="EB2528" s="145"/>
      <c r="EC2528" s="145"/>
      <c r="ED2528" s="145"/>
      <c r="EE2528" s="145"/>
      <c r="EF2528" s="145"/>
      <c r="EG2528" s="145"/>
      <c r="EH2528" s="145"/>
      <c r="EI2528" s="145"/>
      <c r="EJ2528" s="145"/>
      <c r="EK2528" s="145"/>
      <c r="EL2528" s="145"/>
      <c r="EM2528" s="145"/>
      <c r="EN2528" s="145"/>
      <c r="EO2528" s="145"/>
      <c r="EP2528" s="145"/>
      <c r="EQ2528" s="145"/>
      <c r="ER2528" s="145"/>
      <c r="ES2528" s="145"/>
      <c r="ET2528" s="145"/>
      <c r="EU2528" s="145"/>
      <c r="EV2528" s="145"/>
      <c r="EW2528" s="145"/>
      <c r="EX2528" s="145"/>
      <c r="EY2528" s="145"/>
      <c r="EZ2528" s="145"/>
      <c r="FA2528" s="145"/>
      <c r="FB2528" s="145"/>
      <c r="FC2528" s="145"/>
      <c r="FD2528" s="145"/>
      <c r="FE2528" s="145"/>
      <c r="FF2528" s="145"/>
      <c r="FG2528" s="145"/>
      <c r="FH2528" s="145"/>
      <c r="FI2528" s="145"/>
      <c r="FJ2528" s="145"/>
      <c r="FK2528" s="145"/>
      <c r="FL2528" s="145"/>
      <c r="FM2528" s="145"/>
      <c r="FN2528" s="145"/>
      <c r="FO2528" s="145"/>
      <c r="FP2528" s="145"/>
      <c r="FQ2528" s="145"/>
      <c r="FR2528" s="145"/>
      <c r="FS2528" s="145"/>
      <c r="FT2528" s="145"/>
      <c r="FU2528" s="145"/>
      <c r="FV2528" s="145"/>
      <c r="FW2528" s="145"/>
      <c r="FX2528" s="145"/>
      <c r="FY2528" s="145"/>
      <c r="FZ2528" s="145"/>
      <c r="GA2528" s="145"/>
      <c r="GB2528" s="145"/>
      <c r="GC2528" s="145"/>
      <c r="GD2528" s="145"/>
      <c r="GE2528" s="145"/>
      <c r="GF2528" s="145"/>
      <c r="GG2528" s="145"/>
      <c r="GH2528" s="145"/>
      <c r="GI2528" s="145"/>
      <c r="GJ2528" s="145"/>
      <c r="GK2528" s="145"/>
      <c r="GL2528" s="145"/>
      <c r="GM2528" s="145"/>
      <c r="GN2528" s="145"/>
      <c r="GO2528" s="145"/>
      <c r="GP2528" s="145"/>
      <c r="GQ2528" s="145"/>
      <c r="GR2528" s="145"/>
      <c r="GS2528" s="145"/>
      <c r="GT2528" s="145"/>
      <c r="GU2528" s="145"/>
      <c r="GV2528" s="145"/>
      <c r="GW2528" s="145"/>
      <c r="GX2528" s="145"/>
      <c r="GY2528" s="145"/>
      <c r="GZ2528" s="145"/>
      <c r="HA2528" s="145"/>
      <c r="HB2528" s="145"/>
      <c r="HC2528" s="145"/>
      <c r="HD2528" s="145"/>
      <c r="HE2528" s="145"/>
      <c r="HF2528" s="145"/>
    </row>
    <row r="2529" spans="1:214" x14ac:dyDescent="0.35">
      <c r="A2529" s="270">
        <v>1</v>
      </c>
      <c r="B2529" s="270">
        <v>5598</v>
      </c>
      <c r="C2529" s="278" t="s">
        <v>597</v>
      </c>
      <c r="D2529" s="273">
        <v>430.4</v>
      </c>
      <c r="E2529" s="270" t="s">
        <v>633</v>
      </c>
      <c r="F2529" s="270">
        <v>2</v>
      </c>
      <c r="G2529" s="270" t="s">
        <v>71</v>
      </c>
      <c r="H2529" s="136" t="s">
        <v>72</v>
      </c>
      <c r="I2529" s="181">
        <f>I2530+I2531</f>
        <v>858217.82</v>
      </c>
      <c r="J2529" s="181">
        <f>J2530+J2531</f>
        <v>1994</v>
      </c>
      <c r="K2529" s="181">
        <f>K2530+K2531</f>
        <v>7640</v>
      </c>
      <c r="L2529" s="145"/>
      <c r="M2529" s="145"/>
      <c r="N2529" s="145"/>
      <c r="O2529" s="145"/>
      <c r="P2529" s="145"/>
      <c r="Q2529" s="145"/>
      <c r="R2529" s="145"/>
      <c r="S2529" s="145"/>
      <c r="T2529" s="145"/>
      <c r="U2529" s="145"/>
      <c r="V2529" s="145"/>
      <c r="W2529" s="145"/>
      <c r="X2529" s="145"/>
      <c r="Y2529" s="145"/>
      <c r="Z2529" s="145"/>
      <c r="AA2529" s="145"/>
      <c r="AB2529" s="145"/>
      <c r="AC2529" s="145"/>
      <c r="AD2529" s="145"/>
      <c r="AE2529" s="145"/>
      <c r="AF2529" s="145"/>
      <c r="AG2529" s="145"/>
      <c r="AH2529" s="145"/>
      <c r="AI2529" s="145"/>
      <c r="AJ2529" s="145"/>
      <c r="AK2529" s="145"/>
      <c r="AL2529" s="145"/>
      <c r="AM2529" s="145"/>
      <c r="AN2529" s="145"/>
      <c r="AO2529" s="145"/>
      <c r="AP2529" s="145"/>
      <c r="AQ2529" s="145"/>
      <c r="AR2529" s="145"/>
      <c r="AS2529" s="145"/>
      <c r="AT2529" s="145"/>
      <c r="AU2529" s="145"/>
      <c r="AV2529" s="145"/>
      <c r="AW2529" s="145"/>
      <c r="AX2529" s="145"/>
      <c r="AY2529" s="145"/>
      <c r="AZ2529" s="145"/>
      <c r="BA2529" s="145"/>
      <c r="BB2529" s="145"/>
      <c r="BC2529" s="145"/>
      <c r="BD2529" s="145"/>
      <c r="BE2529" s="145"/>
      <c r="BF2529" s="145"/>
      <c r="BG2529" s="145"/>
      <c r="BH2529" s="145"/>
      <c r="BI2529" s="145"/>
      <c r="BJ2529" s="145"/>
      <c r="BK2529" s="145"/>
      <c r="BL2529" s="145"/>
      <c r="BM2529" s="145"/>
      <c r="BN2529" s="145"/>
      <c r="BO2529" s="145"/>
      <c r="BP2529" s="145"/>
      <c r="BQ2529" s="145"/>
      <c r="BR2529" s="145"/>
      <c r="BS2529" s="145"/>
      <c r="BT2529" s="145"/>
      <c r="BU2529" s="145"/>
      <c r="BV2529" s="145"/>
      <c r="BW2529" s="145"/>
      <c r="BX2529" s="145"/>
      <c r="BY2529" s="145"/>
      <c r="BZ2529" s="145"/>
      <c r="CA2529" s="145"/>
      <c r="CB2529" s="145"/>
      <c r="CC2529" s="145"/>
      <c r="CD2529" s="145"/>
      <c r="CE2529" s="145"/>
      <c r="CF2529" s="145"/>
      <c r="CG2529" s="145"/>
      <c r="CH2529" s="145"/>
      <c r="CI2529" s="145"/>
      <c r="CJ2529" s="145"/>
      <c r="CK2529" s="145"/>
      <c r="CL2529" s="145"/>
      <c r="CM2529" s="145"/>
      <c r="CN2529" s="145"/>
      <c r="CO2529" s="145"/>
      <c r="CP2529" s="145"/>
      <c r="CQ2529" s="145"/>
      <c r="CR2529" s="145"/>
      <c r="CS2529" s="145"/>
      <c r="CT2529" s="145"/>
      <c r="CU2529" s="145"/>
      <c r="CV2529" s="145"/>
      <c r="CW2529" s="145"/>
      <c r="CX2529" s="145"/>
      <c r="CY2529" s="145"/>
      <c r="CZ2529" s="145"/>
      <c r="DA2529" s="145"/>
      <c r="DB2529" s="145"/>
      <c r="DC2529" s="145"/>
      <c r="DD2529" s="145"/>
      <c r="DE2529" s="145"/>
      <c r="DF2529" s="145"/>
      <c r="DG2529" s="145"/>
      <c r="DH2529" s="145"/>
      <c r="DI2529" s="145"/>
      <c r="DJ2529" s="145"/>
      <c r="DK2529" s="145"/>
      <c r="DL2529" s="145"/>
      <c r="DM2529" s="145"/>
      <c r="DN2529" s="145"/>
      <c r="DO2529" s="145"/>
      <c r="DP2529" s="145"/>
      <c r="DQ2529" s="145"/>
      <c r="DR2529" s="145"/>
      <c r="DS2529" s="145"/>
      <c r="DT2529" s="145"/>
      <c r="DU2529" s="145"/>
      <c r="DV2529" s="145"/>
      <c r="DW2529" s="145"/>
      <c r="DX2529" s="145"/>
      <c r="DY2529" s="145"/>
      <c r="DZ2529" s="145"/>
      <c r="EA2529" s="145"/>
      <c r="EB2529" s="145"/>
      <c r="EC2529" s="145"/>
      <c r="ED2529" s="145"/>
      <c r="EE2529" s="145"/>
      <c r="EF2529" s="145"/>
      <c r="EG2529" s="145"/>
      <c r="EH2529" s="145"/>
      <c r="EI2529" s="145"/>
      <c r="EJ2529" s="145"/>
      <c r="EK2529" s="145"/>
      <c r="EL2529" s="145"/>
      <c r="EM2529" s="145"/>
      <c r="EN2529" s="145"/>
      <c r="EO2529" s="145"/>
      <c r="EP2529" s="145"/>
      <c r="EQ2529" s="145"/>
      <c r="ER2529" s="145"/>
      <c r="ES2529" s="145"/>
      <c r="ET2529" s="145"/>
      <c r="EU2529" s="145"/>
      <c r="EV2529" s="145"/>
      <c r="EW2529" s="145"/>
      <c r="EX2529" s="145"/>
      <c r="EY2529" s="145"/>
      <c r="EZ2529" s="145"/>
      <c r="FA2529" s="145"/>
      <c r="FB2529" s="145"/>
      <c r="FC2529" s="145"/>
      <c r="FD2529" s="145"/>
      <c r="FE2529" s="145"/>
      <c r="FF2529" s="145"/>
      <c r="FG2529" s="145"/>
      <c r="FH2529" s="145"/>
      <c r="FI2529" s="145"/>
      <c r="FJ2529" s="145"/>
      <c r="FK2529" s="145"/>
      <c r="FL2529" s="145"/>
      <c r="FM2529" s="145"/>
      <c r="FN2529" s="145"/>
      <c r="FO2529" s="145"/>
      <c r="FP2529" s="145"/>
      <c r="FQ2529" s="145"/>
      <c r="FR2529" s="145"/>
      <c r="FS2529" s="145"/>
      <c r="FT2529" s="145"/>
      <c r="FU2529" s="145"/>
      <c r="FV2529" s="145"/>
      <c r="FW2529" s="145"/>
      <c r="FX2529" s="145"/>
      <c r="FY2529" s="145"/>
      <c r="FZ2529" s="145"/>
      <c r="GA2529" s="145"/>
      <c r="GB2529" s="145"/>
      <c r="GC2529" s="145"/>
      <c r="GD2529" s="145"/>
      <c r="GE2529" s="145"/>
      <c r="GF2529" s="145"/>
      <c r="GG2529" s="145"/>
      <c r="GH2529" s="145"/>
      <c r="GI2529" s="145"/>
      <c r="GJ2529" s="145"/>
      <c r="GK2529" s="145"/>
      <c r="GL2529" s="145"/>
      <c r="GM2529" s="145"/>
      <c r="GN2529" s="145"/>
      <c r="GO2529" s="145"/>
      <c r="GP2529" s="145"/>
      <c r="GQ2529" s="145"/>
      <c r="GR2529" s="145"/>
      <c r="GS2529" s="145"/>
      <c r="GT2529" s="145"/>
      <c r="GU2529" s="145"/>
      <c r="GV2529" s="145"/>
      <c r="GW2529" s="145"/>
      <c r="GX2529" s="145"/>
      <c r="GY2529" s="145"/>
      <c r="GZ2529" s="145"/>
      <c r="HA2529" s="145"/>
      <c r="HB2529" s="145"/>
      <c r="HC2529" s="145"/>
      <c r="HD2529" s="145"/>
      <c r="HE2529" s="145"/>
      <c r="HF2529" s="145"/>
    </row>
    <row r="2530" spans="1:214" ht="46.5" x14ac:dyDescent="0.35">
      <c r="A2530" s="271"/>
      <c r="B2530" s="271"/>
      <c r="C2530" s="279"/>
      <c r="D2530" s="274"/>
      <c r="E2530" s="271"/>
      <c r="F2530" s="271"/>
      <c r="G2530" s="271"/>
      <c r="H2530" s="136" t="s">
        <v>673</v>
      </c>
      <c r="I2530" s="181">
        <v>76180.800000000003</v>
      </c>
      <c r="J2530" s="181">
        <f>I2530/D2529</f>
        <v>177</v>
      </c>
      <c r="K2530" s="181">
        <f>163+96</f>
        <v>259</v>
      </c>
      <c r="L2530" s="145"/>
      <c r="M2530" s="145"/>
      <c r="N2530" s="145"/>
      <c r="O2530" s="145"/>
      <c r="P2530" s="145"/>
      <c r="Q2530" s="145"/>
      <c r="R2530" s="145"/>
      <c r="S2530" s="145"/>
      <c r="T2530" s="145"/>
      <c r="U2530" s="145"/>
      <c r="V2530" s="145"/>
      <c r="W2530" s="145"/>
      <c r="X2530" s="145"/>
      <c r="Y2530" s="145"/>
      <c r="Z2530" s="145"/>
      <c r="AA2530" s="145"/>
      <c r="AB2530" s="145"/>
      <c r="AC2530" s="145"/>
      <c r="AD2530" s="145"/>
      <c r="AE2530" s="145"/>
      <c r="AF2530" s="145"/>
      <c r="AG2530" s="145"/>
      <c r="AH2530" s="145"/>
      <c r="AI2530" s="145"/>
      <c r="AJ2530" s="145"/>
      <c r="AK2530" s="145"/>
      <c r="AL2530" s="145"/>
      <c r="AM2530" s="145"/>
      <c r="AN2530" s="145"/>
      <c r="AO2530" s="145"/>
      <c r="AP2530" s="145"/>
      <c r="AQ2530" s="145"/>
      <c r="AR2530" s="145"/>
      <c r="AS2530" s="145"/>
      <c r="AT2530" s="145"/>
      <c r="AU2530" s="145"/>
      <c r="AV2530" s="145"/>
      <c r="AW2530" s="145"/>
      <c r="AX2530" s="145"/>
      <c r="AY2530" s="145"/>
      <c r="AZ2530" s="145"/>
      <c r="BA2530" s="145"/>
      <c r="BB2530" s="145"/>
      <c r="BC2530" s="145"/>
      <c r="BD2530" s="145"/>
      <c r="BE2530" s="145"/>
      <c r="BF2530" s="145"/>
      <c r="BG2530" s="145"/>
      <c r="BH2530" s="145"/>
      <c r="BI2530" s="145"/>
      <c r="BJ2530" s="145"/>
      <c r="BK2530" s="145"/>
      <c r="BL2530" s="145"/>
      <c r="BM2530" s="145"/>
      <c r="BN2530" s="145"/>
      <c r="BO2530" s="145"/>
      <c r="BP2530" s="145"/>
      <c r="BQ2530" s="145"/>
      <c r="BR2530" s="145"/>
      <c r="BS2530" s="145"/>
      <c r="BT2530" s="145"/>
      <c r="BU2530" s="145"/>
      <c r="BV2530" s="145"/>
      <c r="BW2530" s="145"/>
      <c r="BX2530" s="145"/>
      <c r="BY2530" s="145"/>
      <c r="BZ2530" s="145"/>
      <c r="CA2530" s="145"/>
      <c r="CB2530" s="145"/>
      <c r="CC2530" s="145"/>
      <c r="CD2530" s="145"/>
      <c r="CE2530" s="145"/>
      <c r="CF2530" s="145"/>
      <c r="CG2530" s="145"/>
      <c r="CH2530" s="145"/>
      <c r="CI2530" s="145"/>
      <c r="CJ2530" s="145"/>
      <c r="CK2530" s="145"/>
      <c r="CL2530" s="145"/>
      <c r="CM2530" s="145"/>
      <c r="CN2530" s="145"/>
      <c r="CO2530" s="145"/>
      <c r="CP2530" s="145"/>
      <c r="CQ2530" s="145"/>
      <c r="CR2530" s="145"/>
      <c r="CS2530" s="145"/>
      <c r="CT2530" s="145"/>
      <c r="CU2530" s="145"/>
      <c r="CV2530" s="145"/>
      <c r="CW2530" s="145"/>
      <c r="CX2530" s="145"/>
      <c r="CY2530" s="145"/>
      <c r="CZ2530" s="145"/>
      <c r="DA2530" s="145"/>
      <c r="DB2530" s="145"/>
      <c r="DC2530" s="145"/>
      <c r="DD2530" s="145"/>
      <c r="DE2530" s="145"/>
      <c r="DF2530" s="145"/>
      <c r="DG2530" s="145"/>
      <c r="DH2530" s="145"/>
      <c r="DI2530" s="145"/>
      <c r="DJ2530" s="145"/>
      <c r="DK2530" s="145"/>
      <c r="DL2530" s="145"/>
      <c r="DM2530" s="145"/>
      <c r="DN2530" s="145"/>
      <c r="DO2530" s="145"/>
      <c r="DP2530" s="145"/>
      <c r="DQ2530" s="145"/>
      <c r="DR2530" s="145"/>
      <c r="DS2530" s="145"/>
      <c r="DT2530" s="145"/>
      <c r="DU2530" s="145"/>
      <c r="DV2530" s="145"/>
      <c r="DW2530" s="145"/>
      <c r="DX2530" s="145"/>
      <c r="DY2530" s="145"/>
      <c r="DZ2530" s="145"/>
      <c r="EA2530" s="145"/>
      <c r="EB2530" s="145"/>
      <c r="EC2530" s="145"/>
      <c r="ED2530" s="145"/>
      <c r="EE2530" s="145"/>
      <c r="EF2530" s="145"/>
      <c r="EG2530" s="145"/>
      <c r="EH2530" s="145"/>
      <c r="EI2530" s="145"/>
      <c r="EJ2530" s="145"/>
      <c r="EK2530" s="145"/>
      <c r="EL2530" s="145"/>
      <c r="EM2530" s="145"/>
      <c r="EN2530" s="145"/>
      <c r="EO2530" s="145"/>
      <c r="EP2530" s="145"/>
      <c r="EQ2530" s="145"/>
      <c r="ER2530" s="145"/>
      <c r="ES2530" s="145"/>
      <c r="ET2530" s="145"/>
      <c r="EU2530" s="145"/>
      <c r="EV2530" s="145"/>
      <c r="EW2530" s="145"/>
      <c r="EX2530" s="145"/>
      <c r="EY2530" s="145"/>
      <c r="EZ2530" s="145"/>
      <c r="FA2530" s="145"/>
      <c r="FB2530" s="145"/>
      <c r="FC2530" s="145"/>
      <c r="FD2530" s="145"/>
      <c r="FE2530" s="145"/>
      <c r="FF2530" s="145"/>
      <c r="FG2530" s="145"/>
      <c r="FH2530" s="145"/>
      <c r="FI2530" s="145"/>
      <c r="FJ2530" s="145"/>
      <c r="FK2530" s="145"/>
      <c r="FL2530" s="145"/>
      <c r="FM2530" s="145"/>
      <c r="FN2530" s="145"/>
      <c r="FO2530" s="145"/>
      <c r="FP2530" s="145"/>
      <c r="FQ2530" s="145"/>
      <c r="FR2530" s="145"/>
      <c r="FS2530" s="145"/>
      <c r="FT2530" s="145"/>
      <c r="FU2530" s="145"/>
      <c r="FV2530" s="145"/>
      <c r="FW2530" s="145"/>
      <c r="FX2530" s="145"/>
      <c r="FY2530" s="145"/>
      <c r="FZ2530" s="145"/>
      <c r="GA2530" s="145"/>
      <c r="GB2530" s="145"/>
      <c r="GC2530" s="145"/>
      <c r="GD2530" s="145"/>
      <c r="GE2530" s="145"/>
      <c r="GF2530" s="145"/>
      <c r="GG2530" s="145"/>
      <c r="GH2530" s="145"/>
      <c r="GI2530" s="145"/>
      <c r="GJ2530" s="145"/>
      <c r="GK2530" s="145"/>
      <c r="GL2530" s="145"/>
      <c r="GM2530" s="145"/>
      <c r="GN2530" s="145"/>
      <c r="GO2530" s="145"/>
      <c r="GP2530" s="145"/>
      <c r="GQ2530" s="145"/>
      <c r="GR2530" s="145"/>
      <c r="GS2530" s="145"/>
      <c r="GT2530" s="145"/>
      <c r="GU2530" s="145"/>
      <c r="GV2530" s="145"/>
      <c r="GW2530" s="145"/>
      <c r="GX2530" s="145"/>
      <c r="GY2530" s="145"/>
      <c r="GZ2530" s="145"/>
      <c r="HA2530" s="145"/>
      <c r="HB2530" s="145"/>
      <c r="HC2530" s="145"/>
      <c r="HD2530" s="145"/>
      <c r="HE2530" s="145"/>
      <c r="HF2530" s="145"/>
    </row>
    <row r="2531" spans="1:214" x14ac:dyDescent="0.35">
      <c r="A2531" s="272"/>
      <c r="B2531" s="272"/>
      <c r="C2531" s="285"/>
      <c r="D2531" s="275"/>
      <c r="E2531" s="272"/>
      <c r="F2531" s="272"/>
      <c r="G2531" s="177"/>
      <c r="H2531" s="136" t="s">
        <v>73</v>
      </c>
      <c r="I2531" s="181">
        <f>2606790.08*0.3</f>
        <v>782037.02</v>
      </c>
      <c r="J2531" s="181">
        <f>I2531/D2529</f>
        <v>1817</v>
      </c>
      <c r="K2531" s="181">
        <v>7381</v>
      </c>
      <c r="L2531" s="145"/>
      <c r="M2531" s="145"/>
      <c r="N2531" s="145"/>
      <c r="O2531" s="145"/>
      <c r="P2531" s="145"/>
      <c r="Q2531" s="145"/>
      <c r="R2531" s="145"/>
      <c r="S2531" s="145"/>
      <c r="T2531" s="145"/>
      <c r="U2531" s="145"/>
      <c r="V2531" s="145"/>
      <c r="W2531" s="145"/>
      <c r="X2531" s="145"/>
      <c r="Y2531" s="145"/>
      <c r="Z2531" s="145"/>
      <c r="AA2531" s="145"/>
      <c r="AB2531" s="145"/>
      <c r="AC2531" s="145"/>
      <c r="AD2531" s="145"/>
      <c r="AE2531" s="145"/>
      <c r="AF2531" s="145"/>
      <c r="AG2531" s="145"/>
      <c r="AH2531" s="145"/>
      <c r="AI2531" s="145"/>
      <c r="AJ2531" s="145"/>
      <c r="AK2531" s="145"/>
      <c r="AL2531" s="145"/>
      <c r="AM2531" s="145"/>
      <c r="AN2531" s="145"/>
      <c r="AO2531" s="145"/>
      <c r="AP2531" s="145"/>
      <c r="AQ2531" s="145"/>
      <c r="AR2531" s="145"/>
      <c r="AS2531" s="145"/>
      <c r="AT2531" s="145"/>
      <c r="AU2531" s="145"/>
      <c r="AV2531" s="145"/>
      <c r="AW2531" s="145"/>
      <c r="AX2531" s="145"/>
      <c r="AY2531" s="145"/>
      <c r="AZ2531" s="145"/>
      <c r="BA2531" s="145"/>
      <c r="BB2531" s="145"/>
      <c r="BC2531" s="145"/>
      <c r="BD2531" s="145"/>
      <c r="BE2531" s="145"/>
      <c r="BF2531" s="145"/>
      <c r="BG2531" s="145"/>
      <c r="BH2531" s="145"/>
      <c r="BI2531" s="145"/>
      <c r="BJ2531" s="145"/>
      <c r="BK2531" s="145"/>
      <c r="BL2531" s="145"/>
      <c r="BM2531" s="145"/>
      <c r="BN2531" s="145"/>
      <c r="BO2531" s="145"/>
      <c r="BP2531" s="145"/>
      <c r="BQ2531" s="145"/>
      <c r="BR2531" s="145"/>
      <c r="BS2531" s="145"/>
      <c r="BT2531" s="145"/>
      <c r="BU2531" s="145"/>
      <c r="BV2531" s="145"/>
      <c r="BW2531" s="145"/>
      <c r="BX2531" s="145"/>
      <c r="BY2531" s="145"/>
      <c r="BZ2531" s="145"/>
      <c r="CA2531" s="145"/>
      <c r="CB2531" s="145"/>
      <c r="CC2531" s="145"/>
      <c r="CD2531" s="145"/>
      <c r="CE2531" s="145"/>
      <c r="CF2531" s="145"/>
      <c r="CG2531" s="145"/>
      <c r="CH2531" s="145"/>
      <c r="CI2531" s="145"/>
      <c r="CJ2531" s="145"/>
      <c r="CK2531" s="145"/>
      <c r="CL2531" s="145"/>
      <c r="CM2531" s="145"/>
      <c r="CN2531" s="145"/>
      <c r="CO2531" s="145"/>
      <c r="CP2531" s="145"/>
      <c r="CQ2531" s="145"/>
      <c r="CR2531" s="145"/>
      <c r="CS2531" s="145"/>
      <c r="CT2531" s="145"/>
      <c r="CU2531" s="145"/>
      <c r="CV2531" s="145"/>
      <c r="CW2531" s="145"/>
      <c r="CX2531" s="145"/>
      <c r="CY2531" s="145"/>
      <c r="CZ2531" s="145"/>
      <c r="DA2531" s="145"/>
      <c r="DB2531" s="145"/>
      <c r="DC2531" s="145"/>
      <c r="DD2531" s="145"/>
      <c r="DE2531" s="145"/>
      <c r="DF2531" s="145"/>
      <c r="DG2531" s="145"/>
      <c r="DH2531" s="145"/>
      <c r="DI2531" s="145"/>
      <c r="DJ2531" s="145"/>
      <c r="DK2531" s="145"/>
      <c r="DL2531" s="145"/>
      <c r="DM2531" s="145"/>
      <c r="DN2531" s="145"/>
      <c r="DO2531" s="145"/>
      <c r="DP2531" s="145"/>
      <c r="DQ2531" s="145"/>
      <c r="DR2531" s="145"/>
      <c r="DS2531" s="145"/>
      <c r="DT2531" s="145"/>
      <c r="DU2531" s="145"/>
      <c r="DV2531" s="145"/>
      <c r="DW2531" s="145"/>
      <c r="DX2531" s="145"/>
      <c r="DY2531" s="145"/>
      <c r="DZ2531" s="145"/>
      <c r="EA2531" s="145"/>
      <c r="EB2531" s="145"/>
      <c r="EC2531" s="145"/>
      <c r="ED2531" s="145"/>
      <c r="EE2531" s="145"/>
      <c r="EF2531" s="145"/>
      <c r="EG2531" s="145"/>
      <c r="EH2531" s="145"/>
      <c r="EI2531" s="145"/>
      <c r="EJ2531" s="145"/>
      <c r="EK2531" s="145"/>
      <c r="EL2531" s="145"/>
      <c r="EM2531" s="145"/>
      <c r="EN2531" s="145"/>
      <c r="EO2531" s="145"/>
      <c r="EP2531" s="145"/>
      <c r="EQ2531" s="145"/>
      <c r="ER2531" s="145"/>
      <c r="ES2531" s="145"/>
      <c r="ET2531" s="145"/>
      <c r="EU2531" s="145"/>
      <c r="EV2531" s="145"/>
      <c r="EW2531" s="145"/>
      <c r="EX2531" s="145"/>
      <c r="EY2531" s="145"/>
      <c r="EZ2531" s="145"/>
      <c r="FA2531" s="145"/>
      <c r="FB2531" s="145"/>
      <c r="FC2531" s="145"/>
      <c r="FD2531" s="145"/>
      <c r="FE2531" s="145"/>
      <c r="FF2531" s="145"/>
      <c r="FG2531" s="145"/>
      <c r="FH2531" s="145"/>
      <c r="FI2531" s="145"/>
      <c r="FJ2531" s="145"/>
      <c r="FK2531" s="145"/>
      <c r="FL2531" s="145"/>
      <c r="FM2531" s="145"/>
      <c r="FN2531" s="145"/>
      <c r="FO2531" s="145"/>
      <c r="FP2531" s="145"/>
      <c r="FQ2531" s="145"/>
      <c r="FR2531" s="145"/>
      <c r="FS2531" s="145"/>
      <c r="FT2531" s="145"/>
      <c r="FU2531" s="145"/>
      <c r="FV2531" s="145"/>
      <c r="FW2531" s="145"/>
      <c r="FX2531" s="145"/>
      <c r="FY2531" s="145"/>
      <c r="FZ2531" s="145"/>
      <c r="GA2531" s="145"/>
      <c r="GB2531" s="145"/>
      <c r="GC2531" s="145"/>
      <c r="GD2531" s="145"/>
      <c r="GE2531" s="145"/>
      <c r="GF2531" s="145"/>
      <c r="GG2531" s="145"/>
      <c r="GH2531" s="145"/>
      <c r="GI2531" s="145"/>
      <c r="GJ2531" s="145"/>
      <c r="GK2531" s="145"/>
      <c r="GL2531" s="145"/>
      <c r="GM2531" s="145"/>
      <c r="GN2531" s="145"/>
      <c r="GO2531" s="145"/>
      <c r="GP2531" s="145"/>
      <c r="GQ2531" s="145"/>
      <c r="GR2531" s="145"/>
      <c r="GS2531" s="145"/>
      <c r="GT2531" s="145"/>
      <c r="GU2531" s="145"/>
      <c r="GV2531" s="145"/>
      <c r="GW2531" s="145"/>
      <c r="GX2531" s="145"/>
      <c r="GY2531" s="145"/>
      <c r="GZ2531" s="145"/>
      <c r="HA2531" s="145"/>
      <c r="HB2531" s="145"/>
      <c r="HC2531" s="145"/>
      <c r="HD2531" s="145"/>
      <c r="HE2531" s="145"/>
      <c r="HF2531" s="145"/>
    </row>
    <row r="2532" spans="1:214" x14ac:dyDescent="0.35">
      <c r="A2532" s="270">
        <f>A2529+1</f>
        <v>2</v>
      </c>
      <c r="B2532" s="270">
        <v>5398</v>
      </c>
      <c r="C2532" s="278" t="s">
        <v>598</v>
      </c>
      <c r="D2532" s="273">
        <v>474.6</v>
      </c>
      <c r="E2532" s="273" t="s">
        <v>633</v>
      </c>
      <c r="F2532" s="282">
        <v>2</v>
      </c>
      <c r="G2532" s="270" t="s">
        <v>71</v>
      </c>
      <c r="H2532" s="136" t="s">
        <v>72</v>
      </c>
      <c r="I2532" s="181">
        <f>I2533</f>
        <v>84004.2</v>
      </c>
      <c r="J2532" s="181">
        <f>J2533</f>
        <v>177</v>
      </c>
      <c r="K2532" s="181">
        <f>K2533</f>
        <v>259</v>
      </c>
      <c r="L2532" s="145"/>
      <c r="M2532" s="145"/>
      <c r="N2532" s="145"/>
      <c r="O2532" s="145"/>
      <c r="P2532" s="145"/>
      <c r="Q2532" s="145"/>
      <c r="R2532" s="145"/>
      <c r="S2532" s="145"/>
      <c r="T2532" s="145"/>
      <c r="U2532" s="145"/>
      <c r="V2532" s="145"/>
      <c r="W2532" s="145"/>
      <c r="X2532" s="145"/>
      <c r="Y2532" s="145"/>
      <c r="Z2532" s="145"/>
      <c r="AA2532" s="145"/>
      <c r="AB2532" s="145"/>
      <c r="AC2532" s="145"/>
      <c r="AD2532" s="145"/>
      <c r="AE2532" s="145"/>
      <c r="AF2532" s="145"/>
      <c r="AG2532" s="145"/>
      <c r="AH2532" s="145"/>
      <c r="AI2532" s="145"/>
      <c r="AJ2532" s="145"/>
      <c r="AK2532" s="145"/>
      <c r="AL2532" s="145"/>
      <c r="AM2532" s="145"/>
      <c r="AN2532" s="145"/>
      <c r="AO2532" s="145"/>
      <c r="AP2532" s="145"/>
      <c r="AQ2532" s="145"/>
      <c r="AR2532" s="145"/>
      <c r="AS2532" s="145"/>
      <c r="AT2532" s="145"/>
      <c r="AU2532" s="145"/>
      <c r="AV2532" s="145"/>
      <c r="AW2532" s="145"/>
      <c r="AX2532" s="145"/>
      <c r="AY2532" s="145"/>
      <c r="AZ2532" s="145"/>
      <c r="BA2532" s="145"/>
      <c r="BB2532" s="145"/>
      <c r="BC2532" s="145"/>
      <c r="BD2532" s="145"/>
      <c r="BE2532" s="145"/>
      <c r="BF2532" s="145"/>
      <c r="BG2532" s="145"/>
      <c r="BH2532" s="145"/>
      <c r="BI2532" s="145"/>
      <c r="BJ2532" s="145"/>
      <c r="BK2532" s="145"/>
      <c r="BL2532" s="145"/>
      <c r="BM2532" s="145"/>
      <c r="BN2532" s="145"/>
      <c r="BO2532" s="145"/>
      <c r="BP2532" s="145"/>
      <c r="BQ2532" s="145"/>
      <c r="BR2532" s="145"/>
      <c r="BS2532" s="145"/>
      <c r="BT2532" s="145"/>
      <c r="BU2532" s="145"/>
      <c r="BV2532" s="145"/>
      <c r="BW2532" s="145"/>
      <c r="BX2532" s="145"/>
      <c r="BY2532" s="145"/>
      <c r="BZ2532" s="145"/>
      <c r="CA2532" s="145"/>
      <c r="CB2532" s="145"/>
      <c r="CC2532" s="145"/>
      <c r="CD2532" s="145"/>
      <c r="CE2532" s="145"/>
      <c r="CF2532" s="145"/>
      <c r="CG2532" s="145"/>
      <c r="CH2532" s="145"/>
      <c r="CI2532" s="145"/>
      <c r="CJ2532" s="145"/>
      <c r="CK2532" s="145"/>
      <c r="CL2532" s="145"/>
      <c r="CM2532" s="145"/>
      <c r="CN2532" s="145"/>
      <c r="CO2532" s="145"/>
      <c r="CP2532" s="145"/>
      <c r="CQ2532" s="145"/>
      <c r="CR2532" s="145"/>
      <c r="CS2532" s="145"/>
      <c r="CT2532" s="145"/>
      <c r="CU2532" s="145"/>
      <c r="CV2532" s="145"/>
      <c r="CW2532" s="145"/>
      <c r="CX2532" s="145"/>
      <c r="CY2532" s="145"/>
      <c r="CZ2532" s="145"/>
      <c r="DA2532" s="145"/>
      <c r="DB2532" s="145"/>
      <c r="DC2532" s="145"/>
      <c r="DD2532" s="145"/>
      <c r="DE2532" s="145"/>
      <c r="DF2532" s="145"/>
      <c r="DG2532" s="145"/>
      <c r="DH2532" s="145"/>
      <c r="DI2532" s="145"/>
      <c r="DJ2532" s="145"/>
      <c r="DK2532" s="145"/>
      <c r="DL2532" s="145"/>
      <c r="DM2532" s="145"/>
      <c r="DN2532" s="145"/>
      <c r="DO2532" s="145"/>
      <c r="DP2532" s="145"/>
      <c r="DQ2532" s="145"/>
      <c r="DR2532" s="145"/>
      <c r="DS2532" s="145"/>
      <c r="DT2532" s="145"/>
      <c r="DU2532" s="145"/>
      <c r="DV2532" s="145"/>
      <c r="DW2532" s="145"/>
      <c r="DX2532" s="145"/>
      <c r="DY2532" s="145"/>
      <c r="DZ2532" s="145"/>
      <c r="EA2532" s="145"/>
      <c r="EB2532" s="145"/>
      <c r="EC2532" s="145"/>
      <c r="ED2532" s="145"/>
      <c r="EE2532" s="145"/>
      <c r="EF2532" s="145"/>
      <c r="EG2532" s="145"/>
      <c r="EH2532" s="145"/>
      <c r="EI2532" s="145"/>
      <c r="EJ2532" s="145"/>
      <c r="EK2532" s="145"/>
      <c r="EL2532" s="145"/>
      <c r="EM2532" s="145"/>
      <c r="EN2532" s="145"/>
      <c r="EO2532" s="145"/>
      <c r="EP2532" s="145"/>
      <c r="EQ2532" s="145"/>
      <c r="ER2532" s="145"/>
      <c r="ES2532" s="145"/>
      <c r="ET2532" s="145"/>
      <c r="EU2532" s="145"/>
      <c r="EV2532" s="145"/>
      <c r="EW2532" s="145"/>
      <c r="EX2532" s="145"/>
      <c r="EY2532" s="145"/>
      <c r="EZ2532" s="145"/>
      <c r="FA2532" s="145"/>
      <c r="FB2532" s="145"/>
      <c r="FC2532" s="145"/>
      <c r="FD2532" s="145"/>
      <c r="FE2532" s="145"/>
      <c r="FF2532" s="145"/>
      <c r="FG2532" s="145"/>
      <c r="FH2532" s="145"/>
      <c r="FI2532" s="145"/>
      <c r="FJ2532" s="145"/>
      <c r="FK2532" s="145"/>
      <c r="FL2532" s="145"/>
      <c r="FM2532" s="145"/>
      <c r="FN2532" s="145"/>
      <c r="FO2532" s="145"/>
      <c r="FP2532" s="145"/>
      <c r="FQ2532" s="145"/>
      <c r="FR2532" s="145"/>
      <c r="FS2532" s="145"/>
      <c r="FT2532" s="145"/>
      <c r="FU2532" s="145"/>
      <c r="FV2532" s="145"/>
      <c r="FW2532" s="145"/>
      <c r="FX2532" s="145"/>
      <c r="FY2532" s="145"/>
      <c r="FZ2532" s="145"/>
      <c r="GA2532" s="145"/>
      <c r="GB2532" s="145"/>
      <c r="GC2532" s="145"/>
      <c r="GD2532" s="145"/>
      <c r="GE2532" s="145"/>
      <c r="GF2532" s="145"/>
      <c r="GG2532" s="145"/>
      <c r="GH2532" s="145"/>
      <c r="GI2532" s="145"/>
      <c r="GJ2532" s="145"/>
      <c r="GK2532" s="145"/>
      <c r="GL2532" s="145"/>
      <c r="GM2532" s="145"/>
      <c r="GN2532" s="145"/>
      <c r="GO2532" s="145"/>
      <c r="GP2532" s="145"/>
      <c r="GQ2532" s="145"/>
      <c r="GR2532" s="145"/>
      <c r="GS2532" s="145"/>
      <c r="GT2532" s="145"/>
      <c r="GU2532" s="145"/>
      <c r="GV2532" s="145"/>
      <c r="GW2532" s="145"/>
      <c r="GX2532" s="145"/>
      <c r="GY2532" s="145"/>
      <c r="GZ2532" s="145"/>
      <c r="HA2532" s="145"/>
      <c r="HB2532" s="145"/>
      <c r="HC2532" s="145"/>
      <c r="HD2532" s="145"/>
      <c r="HE2532" s="145"/>
      <c r="HF2532" s="145"/>
    </row>
    <row r="2533" spans="1:214" ht="46.5" x14ac:dyDescent="0.35">
      <c r="A2533" s="271">
        <v>1129</v>
      </c>
      <c r="B2533" s="272"/>
      <c r="C2533" s="279"/>
      <c r="D2533" s="274"/>
      <c r="E2533" s="274"/>
      <c r="F2533" s="283"/>
      <c r="G2533" s="271"/>
      <c r="H2533" s="136" t="s">
        <v>673</v>
      </c>
      <c r="I2533" s="181">
        <v>84004.2</v>
      </c>
      <c r="J2533" s="181">
        <f>I2533/D2532</f>
        <v>177</v>
      </c>
      <c r="K2533" s="181">
        <f>163+96</f>
        <v>259</v>
      </c>
      <c r="L2533" s="145"/>
      <c r="M2533" s="145"/>
      <c r="N2533" s="145"/>
      <c r="O2533" s="145"/>
      <c r="P2533" s="145"/>
      <c r="Q2533" s="145"/>
      <c r="R2533" s="145"/>
      <c r="S2533" s="145"/>
      <c r="T2533" s="145"/>
      <c r="U2533" s="145"/>
      <c r="V2533" s="145"/>
      <c r="W2533" s="145"/>
      <c r="X2533" s="145"/>
      <c r="Y2533" s="145"/>
      <c r="Z2533" s="145"/>
      <c r="AA2533" s="145"/>
      <c r="AB2533" s="145"/>
      <c r="AC2533" s="145"/>
      <c r="AD2533" s="145"/>
      <c r="AE2533" s="145"/>
      <c r="AF2533" s="145"/>
      <c r="AG2533" s="145"/>
      <c r="AH2533" s="145"/>
      <c r="AI2533" s="145"/>
      <c r="AJ2533" s="145"/>
      <c r="AK2533" s="145"/>
      <c r="AL2533" s="145"/>
      <c r="AM2533" s="145"/>
      <c r="AN2533" s="145"/>
      <c r="AO2533" s="145"/>
      <c r="AP2533" s="145"/>
      <c r="AQ2533" s="145"/>
      <c r="AR2533" s="145"/>
      <c r="AS2533" s="145"/>
      <c r="AT2533" s="145"/>
      <c r="AU2533" s="145"/>
      <c r="AV2533" s="145"/>
      <c r="AW2533" s="145"/>
      <c r="AX2533" s="145"/>
      <c r="AY2533" s="145"/>
      <c r="AZ2533" s="145"/>
      <c r="BA2533" s="145"/>
      <c r="BB2533" s="145"/>
      <c r="BC2533" s="145"/>
      <c r="BD2533" s="145"/>
      <c r="BE2533" s="145"/>
      <c r="BF2533" s="145"/>
      <c r="BG2533" s="145"/>
      <c r="BH2533" s="145"/>
      <c r="BI2533" s="145"/>
      <c r="BJ2533" s="145"/>
      <c r="BK2533" s="145"/>
      <c r="BL2533" s="145"/>
      <c r="BM2533" s="145"/>
      <c r="BN2533" s="145"/>
      <c r="BO2533" s="145"/>
      <c r="BP2533" s="145"/>
      <c r="BQ2533" s="145"/>
      <c r="BR2533" s="145"/>
      <c r="BS2533" s="145"/>
      <c r="BT2533" s="145"/>
      <c r="BU2533" s="145"/>
      <c r="BV2533" s="145"/>
      <c r="BW2533" s="145"/>
      <c r="BX2533" s="145"/>
      <c r="BY2533" s="145"/>
      <c r="BZ2533" s="145"/>
      <c r="CA2533" s="145"/>
      <c r="CB2533" s="145"/>
      <c r="CC2533" s="145"/>
      <c r="CD2533" s="145"/>
      <c r="CE2533" s="145"/>
      <c r="CF2533" s="145"/>
      <c r="CG2533" s="145"/>
      <c r="CH2533" s="145"/>
      <c r="CI2533" s="145"/>
      <c r="CJ2533" s="145"/>
      <c r="CK2533" s="145"/>
      <c r="CL2533" s="145"/>
      <c r="CM2533" s="145"/>
      <c r="CN2533" s="145"/>
      <c r="CO2533" s="145"/>
      <c r="CP2533" s="145"/>
      <c r="CQ2533" s="145"/>
      <c r="CR2533" s="145"/>
      <c r="CS2533" s="145"/>
      <c r="CT2533" s="145"/>
      <c r="CU2533" s="145"/>
      <c r="CV2533" s="145"/>
      <c r="CW2533" s="145"/>
      <c r="CX2533" s="145"/>
      <c r="CY2533" s="145"/>
      <c r="CZ2533" s="145"/>
      <c r="DA2533" s="145"/>
      <c r="DB2533" s="145"/>
      <c r="DC2533" s="145"/>
      <c r="DD2533" s="145"/>
      <c r="DE2533" s="145"/>
      <c r="DF2533" s="145"/>
      <c r="DG2533" s="145"/>
      <c r="DH2533" s="145"/>
      <c r="DI2533" s="145"/>
      <c r="DJ2533" s="145"/>
      <c r="DK2533" s="145"/>
      <c r="DL2533" s="145"/>
      <c r="DM2533" s="145"/>
      <c r="DN2533" s="145"/>
      <c r="DO2533" s="145"/>
      <c r="DP2533" s="145"/>
      <c r="DQ2533" s="145"/>
      <c r="DR2533" s="145"/>
      <c r="DS2533" s="145"/>
      <c r="DT2533" s="145"/>
      <c r="DU2533" s="145"/>
      <c r="DV2533" s="145"/>
      <c r="DW2533" s="145"/>
      <c r="DX2533" s="145"/>
      <c r="DY2533" s="145"/>
      <c r="DZ2533" s="145"/>
      <c r="EA2533" s="145"/>
      <c r="EB2533" s="145"/>
      <c r="EC2533" s="145"/>
      <c r="ED2533" s="145"/>
      <c r="EE2533" s="145"/>
      <c r="EF2533" s="145"/>
      <c r="EG2533" s="145"/>
      <c r="EH2533" s="145"/>
      <c r="EI2533" s="145"/>
      <c r="EJ2533" s="145"/>
      <c r="EK2533" s="145"/>
      <c r="EL2533" s="145"/>
      <c r="EM2533" s="145"/>
      <c r="EN2533" s="145"/>
      <c r="EO2533" s="145"/>
      <c r="EP2533" s="145"/>
      <c r="EQ2533" s="145"/>
      <c r="ER2533" s="145"/>
      <c r="ES2533" s="145"/>
      <c r="ET2533" s="145"/>
      <c r="EU2533" s="145"/>
      <c r="EV2533" s="145"/>
      <c r="EW2533" s="145"/>
      <c r="EX2533" s="145"/>
      <c r="EY2533" s="145"/>
      <c r="EZ2533" s="145"/>
      <c r="FA2533" s="145"/>
      <c r="FB2533" s="145"/>
      <c r="FC2533" s="145"/>
      <c r="FD2533" s="145"/>
      <c r="FE2533" s="145"/>
      <c r="FF2533" s="145"/>
      <c r="FG2533" s="145"/>
      <c r="FH2533" s="145"/>
      <c r="FI2533" s="145"/>
      <c r="FJ2533" s="145"/>
      <c r="FK2533" s="145"/>
      <c r="FL2533" s="145"/>
      <c r="FM2533" s="145"/>
      <c r="FN2533" s="145"/>
      <c r="FO2533" s="145"/>
      <c r="FP2533" s="145"/>
      <c r="FQ2533" s="145"/>
      <c r="FR2533" s="145"/>
      <c r="FS2533" s="145"/>
      <c r="FT2533" s="145"/>
      <c r="FU2533" s="145"/>
      <c r="FV2533" s="145"/>
      <c r="FW2533" s="145"/>
      <c r="FX2533" s="145"/>
      <c r="FY2533" s="145"/>
      <c r="FZ2533" s="145"/>
      <c r="GA2533" s="145"/>
      <c r="GB2533" s="145"/>
      <c r="GC2533" s="145"/>
      <c r="GD2533" s="145"/>
      <c r="GE2533" s="145"/>
      <c r="GF2533" s="145"/>
      <c r="GG2533" s="145"/>
      <c r="GH2533" s="145"/>
      <c r="GI2533" s="145"/>
      <c r="GJ2533" s="145"/>
      <c r="GK2533" s="145"/>
      <c r="GL2533" s="145"/>
      <c r="GM2533" s="145"/>
      <c r="GN2533" s="145"/>
      <c r="GO2533" s="145"/>
      <c r="GP2533" s="145"/>
      <c r="GQ2533" s="145"/>
      <c r="GR2533" s="145"/>
      <c r="GS2533" s="145"/>
      <c r="GT2533" s="145"/>
      <c r="GU2533" s="145"/>
      <c r="GV2533" s="145"/>
      <c r="GW2533" s="145"/>
      <c r="GX2533" s="145"/>
      <c r="GY2533" s="145"/>
      <c r="GZ2533" s="145"/>
      <c r="HA2533" s="145"/>
      <c r="HB2533" s="145"/>
      <c r="HC2533" s="145"/>
      <c r="HD2533" s="145"/>
      <c r="HE2533" s="145"/>
      <c r="HF2533" s="145"/>
    </row>
    <row r="2534" spans="1:214" x14ac:dyDescent="0.35">
      <c r="A2534" s="270">
        <f>A2532+1</f>
        <v>3</v>
      </c>
      <c r="B2534" s="270">
        <v>5399</v>
      </c>
      <c r="C2534" s="278" t="s">
        <v>599</v>
      </c>
      <c r="D2534" s="273">
        <v>413</v>
      </c>
      <c r="E2534" s="273" t="s">
        <v>633</v>
      </c>
      <c r="F2534" s="282">
        <v>2</v>
      </c>
      <c r="G2534" s="270" t="s">
        <v>71</v>
      </c>
      <c r="H2534" s="136" t="s">
        <v>72</v>
      </c>
      <c r="I2534" s="181">
        <f>I2536+I2535</f>
        <v>845434.11</v>
      </c>
      <c r="J2534" s="181">
        <f>J2536+J2535</f>
        <v>2047.06</v>
      </c>
      <c r="K2534" s="181">
        <f>K2536+K2535</f>
        <v>7640</v>
      </c>
      <c r="L2534" s="145"/>
      <c r="M2534" s="145"/>
      <c r="N2534" s="145"/>
      <c r="O2534" s="145"/>
      <c r="P2534" s="145"/>
      <c r="Q2534" s="145"/>
      <c r="R2534" s="145"/>
      <c r="S2534" s="145"/>
      <c r="T2534" s="145"/>
      <c r="U2534" s="145"/>
      <c r="V2534" s="145"/>
      <c r="W2534" s="145"/>
      <c r="X2534" s="145"/>
      <c r="Y2534" s="145"/>
      <c r="Z2534" s="145"/>
      <c r="AA2534" s="145"/>
      <c r="AB2534" s="145"/>
      <c r="AC2534" s="145"/>
      <c r="AD2534" s="145"/>
      <c r="AE2534" s="145"/>
      <c r="AF2534" s="145"/>
      <c r="AG2534" s="145"/>
      <c r="AH2534" s="145"/>
      <c r="AI2534" s="145"/>
      <c r="AJ2534" s="145"/>
      <c r="AK2534" s="145"/>
      <c r="AL2534" s="145"/>
      <c r="AM2534" s="145"/>
      <c r="AN2534" s="145"/>
      <c r="AO2534" s="145"/>
      <c r="AP2534" s="145"/>
      <c r="AQ2534" s="145"/>
      <c r="AR2534" s="145"/>
      <c r="AS2534" s="145"/>
      <c r="AT2534" s="145"/>
      <c r="AU2534" s="145"/>
      <c r="AV2534" s="145"/>
      <c r="AW2534" s="145"/>
      <c r="AX2534" s="145"/>
      <c r="AY2534" s="145"/>
      <c r="AZ2534" s="145"/>
      <c r="BA2534" s="145"/>
      <c r="BB2534" s="145"/>
      <c r="BC2534" s="145"/>
      <c r="BD2534" s="145"/>
      <c r="BE2534" s="145"/>
      <c r="BF2534" s="145"/>
      <c r="BG2534" s="145"/>
      <c r="BH2534" s="145"/>
      <c r="BI2534" s="145"/>
      <c r="BJ2534" s="145"/>
      <c r="BK2534" s="145"/>
      <c r="BL2534" s="145"/>
      <c r="BM2534" s="145"/>
      <c r="BN2534" s="145"/>
      <c r="BO2534" s="145"/>
      <c r="BP2534" s="145"/>
      <c r="BQ2534" s="145"/>
      <c r="BR2534" s="145"/>
      <c r="BS2534" s="145"/>
      <c r="BT2534" s="145"/>
      <c r="BU2534" s="145"/>
      <c r="BV2534" s="145"/>
      <c r="BW2534" s="145"/>
      <c r="BX2534" s="145"/>
      <c r="BY2534" s="145"/>
      <c r="BZ2534" s="145"/>
      <c r="CA2534" s="145"/>
      <c r="CB2534" s="145"/>
      <c r="CC2534" s="145"/>
      <c r="CD2534" s="145"/>
      <c r="CE2534" s="145"/>
      <c r="CF2534" s="145"/>
      <c r="CG2534" s="145"/>
      <c r="CH2534" s="145"/>
      <c r="CI2534" s="145"/>
      <c r="CJ2534" s="145"/>
      <c r="CK2534" s="145"/>
      <c r="CL2534" s="145"/>
      <c r="CM2534" s="145"/>
      <c r="CN2534" s="145"/>
      <c r="CO2534" s="145"/>
      <c r="CP2534" s="145"/>
      <c r="CQ2534" s="145"/>
      <c r="CR2534" s="145"/>
      <c r="CS2534" s="145"/>
      <c r="CT2534" s="145"/>
      <c r="CU2534" s="145"/>
      <c r="CV2534" s="145"/>
      <c r="CW2534" s="145"/>
      <c r="CX2534" s="145"/>
      <c r="CY2534" s="145"/>
      <c r="CZ2534" s="145"/>
      <c r="DA2534" s="145"/>
      <c r="DB2534" s="145"/>
      <c r="DC2534" s="145"/>
      <c r="DD2534" s="145"/>
      <c r="DE2534" s="145"/>
      <c r="DF2534" s="145"/>
      <c r="DG2534" s="145"/>
      <c r="DH2534" s="145"/>
      <c r="DI2534" s="145"/>
      <c r="DJ2534" s="145"/>
      <c r="DK2534" s="145"/>
      <c r="DL2534" s="145"/>
      <c r="DM2534" s="145"/>
      <c r="DN2534" s="145"/>
      <c r="DO2534" s="145"/>
      <c r="DP2534" s="145"/>
      <c r="DQ2534" s="145"/>
      <c r="DR2534" s="145"/>
      <c r="DS2534" s="145"/>
      <c r="DT2534" s="145"/>
      <c r="DU2534" s="145"/>
      <c r="DV2534" s="145"/>
      <c r="DW2534" s="145"/>
      <c r="DX2534" s="145"/>
      <c r="DY2534" s="145"/>
      <c r="DZ2534" s="145"/>
      <c r="EA2534" s="145"/>
      <c r="EB2534" s="145"/>
      <c r="EC2534" s="145"/>
      <c r="ED2534" s="145"/>
      <c r="EE2534" s="145"/>
      <c r="EF2534" s="145"/>
      <c r="EG2534" s="145"/>
      <c r="EH2534" s="145"/>
      <c r="EI2534" s="145"/>
      <c r="EJ2534" s="145"/>
      <c r="EK2534" s="145"/>
      <c r="EL2534" s="145"/>
      <c r="EM2534" s="145"/>
      <c r="EN2534" s="145"/>
      <c r="EO2534" s="145"/>
      <c r="EP2534" s="145"/>
      <c r="EQ2534" s="145"/>
      <c r="ER2534" s="145"/>
      <c r="ES2534" s="145"/>
      <c r="ET2534" s="145"/>
      <c r="EU2534" s="145"/>
      <c r="EV2534" s="145"/>
      <c r="EW2534" s="145"/>
      <c r="EX2534" s="145"/>
      <c r="EY2534" s="145"/>
      <c r="EZ2534" s="145"/>
      <c r="FA2534" s="145"/>
      <c r="FB2534" s="145"/>
      <c r="FC2534" s="145"/>
      <c r="FD2534" s="145"/>
      <c r="FE2534" s="145"/>
      <c r="FF2534" s="145"/>
      <c r="FG2534" s="145"/>
      <c r="FH2534" s="145"/>
      <c r="FI2534" s="145"/>
      <c r="FJ2534" s="145"/>
      <c r="FK2534" s="145"/>
      <c r="FL2534" s="145"/>
      <c r="FM2534" s="145"/>
      <c r="FN2534" s="145"/>
      <c r="FO2534" s="145"/>
      <c r="FP2534" s="145"/>
      <c r="FQ2534" s="145"/>
      <c r="FR2534" s="145"/>
      <c r="FS2534" s="145"/>
      <c r="FT2534" s="145"/>
      <c r="FU2534" s="145"/>
      <c r="FV2534" s="145"/>
      <c r="FW2534" s="145"/>
      <c r="FX2534" s="145"/>
      <c r="FY2534" s="145"/>
      <c r="FZ2534" s="145"/>
      <c r="GA2534" s="145"/>
      <c r="GB2534" s="145"/>
      <c r="GC2534" s="145"/>
      <c r="GD2534" s="145"/>
      <c r="GE2534" s="145"/>
      <c r="GF2534" s="145"/>
      <c r="GG2534" s="145"/>
      <c r="GH2534" s="145"/>
      <c r="GI2534" s="145"/>
      <c r="GJ2534" s="145"/>
      <c r="GK2534" s="145"/>
      <c r="GL2534" s="145"/>
      <c r="GM2534" s="145"/>
      <c r="GN2534" s="145"/>
      <c r="GO2534" s="145"/>
      <c r="GP2534" s="145"/>
      <c r="GQ2534" s="145"/>
      <c r="GR2534" s="145"/>
      <c r="GS2534" s="145"/>
      <c r="GT2534" s="145"/>
      <c r="GU2534" s="145"/>
      <c r="GV2534" s="145"/>
      <c r="GW2534" s="145"/>
      <c r="GX2534" s="145"/>
      <c r="GY2534" s="145"/>
      <c r="GZ2534" s="145"/>
      <c r="HA2534" s="145"/>
      <c r="HB2534" s="145"/>
      <c r="HC2534" s="145"/>
      <c r="HD2534" s="145"/>
      <c r="HE2534" s="145"/>
      <c r="HF2534" s="145"/>
    </row>
    <row r="2535" spans="1:214" ht="46.5" x14ac:dyDescent="0.35">
      <c r="A2535" s="271"/>
      <c r="B2535" s="271"/>
      <c r="C2535" s="279"/>
      <c r="D2535" s="274"/>
      <c r="E2535" s="274"/>
      <c r="F2535" s="283"/>
      <c r="G2535" s="271"/>
      <c r="H2535" s="136" t="s">
        <v>673</v>
      </c>
      <c r="I2535" s="181">
        <v>73101</v>
      </c>
      <c r="J2535" s="181">
        <f>I2535/D2534</f>
        <v>177</v>
      </c>
      <c r="K2535" s="181">
        <f>163+96</f>
        <v>259</v>
      </c>
      <c r="L2535" s="145"/>
      <c r="M2535" s="145"/>
      <c r="N2535" s="145"/>
      <c r="O2535" s="145"/>
      <c r="P2535" s="145"/>
      <c r="Q2535" s="145"/>
      <c r="R2535" s="145"/>
      <c r="S2535" s="145"/>
      <c r="T2535" s="145"/>
      <c r="U2535" s="145"/>
      <c r="V2535" s="145"/>
      <c r="W2535" s="145"/>
      <c r="X2535" s="145"/>
      <c r="Y2535" s="145"/>
      <c r="Z2535" s="145"/>
      <c r="AA2535" s="145"/>
      <c r="AB2535" s="145"/>
      <c r="AC2535" s="145"/>
      <c r="AD2535" s="145"/>
      <c r="AE2535" s="145"/>
      <c r="AF2535" s="145"/>
      <c r="AG2535" s="145"/>
      <c r="AH2535" s="145"/>
      <c r="AI2535" s="145"/>
      <c r="AJ2535" s="145"/>
      <c r="AK2535" s="145"/>
      <c r="AL2535" s="145"/>
      <c r="AM2535" s="145"/>
      <c r="AN2535" s="145"/>
      <c r="AO2535" s="145"/>
      <c r="AP2535" s="145"/>
      <c r="AQ2535" s="145"/>
      <c r="AR2535" s="145"/>
      <c r="AS2535" s="145"/>
      <c r="AT2535" s="145"/>
      <c r="AU2535" s="145"/>
      <c r="AV2535" s="145"/>
      <c r="AW2535" s="145"/>
      <c r="AX2535" s="145"/>
      <c r="AY2535" s="145"/>
      <c r="AZ2535" s="145"/>
      <c r="BA2535" s="145"/>
      <c r="BB2535" s="145"/>
      <c r="BC2535" s="145"/>
      <c r="BD2535" s="145"/>
      <c r="BE2535" s="145"/>
      <c r="BF2535" s="145"/>
      <c r="BG2535" s="145"/>
      <c r="BH2535" s="145"/>
      <c r="BI2535" s="145"/>
      <c r="BJ2535" s="145"/>
      <c r="BK2535" s="145"/>
      <c r="BL2535" s="145"/>
      <c r="BM2535" s="145"/>
      <c r="BN2535" s="145"/>
      <c r="BO2535" s="145"/>
      <c r="BP2535" s="145"/>
      <c r="BQ2535" s="145"/>
      <c r="BR2535" s="145"/>
      <c r="BS2535" s="145"/>
      <c r="BT2535" s="145"/>
      <c r="BU2535" s="145"/>
      <c r="BV2535" s="145"/>
      <c r="BW2535" s="145"/>
      <c r="BX2535" s="145"/>
      <c r="BY2535" s="145"/>
      <c r="BZ2535" s="145"/>
      <c r="CA2535" s="145"/>
      <c r="CB2535" s="145"/>
      <c r="CC2535" s="145"/>
      <c r="CD2535" s="145"/>
      <c r="CE2535" s="145"/>
      <c r="CF2535" s="145"/>
      <c r="CG2535" s="145"/>
      <c r="CH2535" s="145"/>
      <c r="CI2535" s="145"/>
      <c r="CJ2535" s="145"/>
      <c r="CK2535" s="145"/>
      <c r="CL2535" s="145"/>
      <c r="CM2535" s="145"/>
      <c r="CN2535" s="145"/>
      <c r="CO2535" s="145"/>
      <c r="CP2535" s="145"/>
      <c r="CQ2535" s="145"/>
      <c r="CR2535" s="145"/>
      <c r="CS2535" s="145"/>
      <c r="CT2535" s="145"/>
      <c r="CU2535" s="145"/>
      <c r="CV2535" s="145"/>
      <c r="CW2535" s="145"/>
      <c r="CX2535" s="145"/>
      <c r="CY2535" s="145"/>
      <c r="CZ2535" s="145"/>
      <c r="DA2535" s="145"/>
      <c r="DB2535" s="145"/>
      <c r="DC2535" s="145"/>
      <c r="DD2535" s="145"/>
      <c r="DE2535" s="145"/>
      <c r="DF2535" s="145"/>
      <c r="DG2535" s="145"/>
      <c r="DH2535" s="145"/>
      <c r="DI2535" s="145"/>
      <c r="DJ2535" s="145"/>
      <c r="DK2535" s="145"/>
      <c r="DL2535" s="145"/>
      <c r="DM2535" s="145"/>
      <c r="DN2535" s="145"/>
      <c r="DO2535" s="145"/>
      <c r="DP2535" s="145"/>
      <c r="DQ2535" s="145"/>
      <c r="DR2535" s="145"/>
      <c r="DS2535" s="145"/>
      <c r="DT2535" s="145"/>
      <c r="DU2535" s="145"/>
      <c r="DV2535" s="145"/>
      <c r="DW2535" s="145"/>
      <c r="DX2535" s="145"/>
      <c r="DY2535" s="145"/>
      <c r="DZ2535" s="145"/>
      <c r="EA2535" s="145"/>
      <c r="EB2535" s="145"/>
      <c r="EC2535" s="145"/>
      <c r="ED2535" s="145"/>
      <c r="EE2535" s="145"/>
      <c r="EF2535" s="145"/>
      <c r="EG2535" s="145"/>
      <c r="EH2535" s="145"/>
      <c r="EI2535" s="145"/>
      <c r="EJ2535" s="145"/>
      <c r="EK2535" s="145"/>
      <c r="EL2535" s="145"/>
      <c r="EM2535" s="145"/>
      <c r="EN2535" s="145"/>
      <c r="EO2535" s="145"/>
      <c r="EP2535" s="145"/>
      <c r="EQ2535" s="145"/>
      <c r="ER2535" s="145"/>
      <c r="ES2535" s="145"/>
      <c r="ET2535" s="145"/>
      <c r="EU2535" s="145"/>
      <c r="EV2535" s="145"/>
      <c r="EW2535" s="145"/>
      <c r="EX2535" s="145"/>
      <c r="EY2535" s="145"/>
      <c r="EZ2535" s="145"/>
      <c r="FA2535" s="145"/>
      <c r="FB2535" s="145"/>
      <c r="FC2535" s="145"/>
      <c r="FD2535" s="145"/>
      <c r="FE2535" s="145"/>
      <c r="FF2535" s="145"/>
      <c r="FG2535" s="145"/>
      <c r="FH2535" s="145"/>
      <c r="FI2535" s="145"/>
      <c r="FJ2535" s="145"/>
      <c r="FK2535" s="145"/>
      <c r="FL2535" s="145"/>
      <c r="FM2535" s="145"/>
      <c r="FN2535" s="145"/>
      <c r="FO2535" s="145"/>
      <c r="FP2535" s="145"/>
      <c r="FQ2535" s="145"/>
      <c r="FR2535" s="145"/>
      <c r="FS2535" s="145"/>
      <c r="FT2535" s="145"/>
      <c r="FU2535" s="145"/>
      <c r="FV2535" s="145"/>
      <c r="FW2535" s="145"/>
      <c r="FX2535" s="145"/>
      <c r="FY2535" s="145"/>
      <c r="FZ2535" s="145"/>
      <c r="GA2535" s="145"/>
      <c r="GB2535" s="145"/>
      <c r="GC2535" s="145"/>
      <c r="GD2535" s="145"/>
      <c r="GE2535" s="145"/>
      <c r="GF2535" s="145"/>
      <c r="GG2535" s="145"/>
      <c r="GH2535" s="145"/>
      <c r="GI2535" s="145"/>
      <c r="GJ2535" s="145"/>
      <c r="GK2535" s="145"/>
      <c r="GL2535" s="145"/>
      <c r="GM2535" s="145"/>
      <c r="GN2535" s="145"/>
      <c r="GO2535" s="145"/>
      <c r="GP2535" s="145"/>
      <c r="GQ2535" s="145"/>
      <c r="GR2535" s="145"/>
      <c r="GS2535" s="145"/>
      <c r="GT2535" s="145"/>
      <c r="GU2535" s="145"/>
      <c r="GV2535" s="145"/>
      <c r="GW2535" s="145"/>
      <c r="GX2535" s="145"/>
      <c r="GY2535" s="145"/>
      <c r="GZ2535" s="145"/>
      <c r="HA2535" s="145"/>
      <c r="HB2535" s="145"/>
      <c r="HC2535" s="145"/>
      <c r="HD2535" s="145"/>
      <c r="HE2535" s="145"/>
      <c r="HF2535" s="145"/>
    </row>
    <row r="2536" spans="1:214" x14ac:dyDescent="0.35">
      <c r="A2536" s="271"/>
      <c r="B2536" s="271"/>
      <c r="C2536" s="279"/>
      <c r="D2536" s="274"/>
      <c r="E2536" s="274"/>
      <c r="F2536" s="283"/>
      <c r="G2536" s="271"/>
      <c r="H2536" s="136" t="s">
        <v>73</v>
      </c>
      <c r="I2536" s="181">
        <f>2574443.69*0.3</f>
        <v>772333.11</v>
      </c>
      <c r="J2536" s="181">
        <f>I2536/D2534</f>
        <v>1870.06</v>
      </c>
      <c r="K2536" s="181">
        <v>7381</v>
      </c>
      <c r="L2536" s="145"/>
      <c r="M2536" s="145"/>
      <c r="N2536" s="145"/>
      <c r="O2536" s="145"/>
      <c r="P2536" s="145"/>
      <c r="Q2536" s="145"/>
      <c r="R2536" s="145"/>
      <c r="S2536" s="145"/>
      <c r="T2536" s="145"/>
      <c r="U2536" s="145"/>
      <c r="V2536" s="145"/>
      <c r="W2536" s="145"/>
      <c r="X2536" s="145"/>
      <c r="Y2536" s="145"/>
      <c r="Z2536" s="145"/>
      <c r="AA2536" s="145"/>
      <c r="AB2536" s="145"/>
      <c r="AC2536" s="145"/>
      <c r="AD2536" s="145"/>
      <c r="AE2536" s="145"/>
      <c r="AF2536" s="145"/>
      <c r="AG2536" s="145"/>
      <c r="AH2536" s="145"/>
      <c r="AI2536" s="145"/>
      <c r="AJ2536" s="145"/>
      <c r="AK2536" s="145"/>
      <c r="AL2536" s="145"/>
      <c r="AM2536" s="145"/>
      <c r="AN2536" s="145"/>
      <c r="AO2536" s="145"/>
      <c r="AP2536" s="145"/>
      <c r="AQ2536" s="145"/>
      <c r="AR2536" s="145"/>
      <c r="AS2536" s="145"/>
      <c r="AT2536" s="145"/>
      <c r="AU2536" s="145"/>
      <c r="AV2536" s="145"/>
      <c r="AW2536" s="145"/>
      <c r="AX2536" s="145"/>
      <c r="AY2536" s="145"/>
      <c r="AZ2536" s="145"/>
      <c r="BA2536" s="145"/>
      <c r="BB2536" s="145"/>
      <c r="BC2536" s="145"/>
      <c r="BD2536" s="145"/>
      <c r="BE2536" s="145"/>
      <c r="BF2536" s="145"/>
      <c r="BG2536" s="145"/>
      <c r="BH2536" s="145"/>
      <c r="BI2536" s="145"/>
      <c r="BJ2536" s="145"/>
      <c r="BK2536" s="145"/>
      <c r="BL2536" s="145"/>
      <c r="BM2536" s="145"/>
      <c r="BN2536" s="145"/>
      <c r="BO2536" s="145"/>
      <c r="BP2536" s="145"/>
      <c r="BQ2536" s="145"/>
      <c r="BR2536" s="145"/>
      <c r="BS2536" s="145"/>
      <c r="BT2536" s="145"/>
      <c r="BU2536" s="145"/>
      <c r="BV2536" s="145"/>
      <c r="BW2536" s="145"/>
      <c r="BX2536" s="145"/>
      <c r="BY2536" s="145"/>
      <c r="BZ2536" s="145"/>
      <c r="CA2536" s="145"/>
      <c r="CB2536" s="145"/>
      <c r="CC2536" s="145"/>
      <c r="CD2536" s="145"/>
      <c r="CE2536" s="145"/>
      <c r="CF2536" s="145"/>
      <c r="CG2536" s="145"/>
      <c r="CH2536" s="145"/>
      <c r="CI2536" s="145"/>
      <c r="CJ2536" s="145"/>
      <c r="CK2536" s="145"/>
      <c r="CL2536" s="145"/>
      <c r="CM2536" s="145"/>
      <c r="CN2536" s="145"/>
      <c r="CO2536" s="145"/>
      <c r="CP2536" s="145"/>
      <c r="CQ2536" s="145"/>
      <c r="CR2536" s="145"/>
      <c r="CS2536" s="145"/>
      <c r="CT2536" s="145"/>
      <c r="CU2536" s="145"/>
      <c r="CV2536" s="145"/>
      <c r="CW2536" s="145"/>
      <c r="CX2536" s="145"/>
      <c r="CY2536" s="145"/>
      <c r="CZ2536" s="145"/>
      <c r="DA2536" s="145"/>
      <c r="DB2536" s="145"/>
      <c r="DC2536" s="145"/>
      <c r="DD2536" s="145"/>
      <c r="DE2536" s="145"/>
      <c r="DF2536" s="145"/>
      <c r="DG2536" s="145"/>
      <c r="DH2536" s="145"/>
      <c r="DI2536" s="145"/>
      <c r="DJ2536" s="145"/>
      <c r="DK2536" s="145"/>
      <c r="DL2536" s="145"/>
      <c r="DM2536" s="145"/>
      <c r="DN2536" s="145"/>
      <c r="DO2536" s="145"/>
      <c r="DP2536" s="145"/>
      <c r="DQ2536" s="145"/>
      <c r="DR2536" s="145"/>
      <c r="DS2536" s="145"/>
      <c r="DT2536" s="145"/>
      <c r="DU2536" s="145"/>
      <c r="DV2536" s="145"/>
      <c r="DW2536" s="145"/>
      <c r="DX2536" s="145"/>
      <c r="DY2536" s="145"/>
      <c r="DZ2536" s="145"/>
      <c r="EA2536" s="145"/>
      <c r="EB2536" s="145"/>
      <c r="EC2536" s="145"/>
      <c r="ED2536" s="145"/>
      <c r="EE2536" s="145"/>
      <c r="EF2536" s="145"/>
      <c r="EG2536" s="145"/>
      <c r="EH2536" s="145"/>
      <c r="EI2536" s="145"/>
      <c r="EJ2536" s="145"/>
      <c r="EK2536" s="145"/>
      <c r="EL2536" s="145"/>
      <c r="EM2536" s="145"/>
      <c r="EN2536" s="145"/>
      <c r="EO2536" s="145"/>
      <c r="EP2536" s="145"/>
      <c r="EQ2536" s="145"/>
      <c r="ER2536" s="145"/>
      <c r="ES2536" s="145"/>
      <c r="ET2536" s="145"/>
      <c r="EU2536" s="145"/>
      <c r="EV2536" s="145"/>
      <c r="EW2536" s="145"/>
      <c r="EX2536" s="145"/>
      <c r="EY2536" s="145"/>
      <c r="EZ2536" s="145"/>
      <c r="FA2536" s="145"/>
      <c r="FB2536" s="145"/>
      <c r="FC2536" s="145"/>
      <c r="FD2536" s="145"/>
      <c r="FE2536" s="145"/>
      <c r="FF2536" s="145"/>
      <c r="FG2536" s="145"/>
      <c r="FH2536" s="145"/>
      <c r="FI2536" s="145"/>
      <c r="FJ2536" s="145"/>
      <c r="FK2536" s="145"/>
      <c r="FL2536" s="145"/>
      <c r="FM2536" s="145"/>
      <c r="FN2536" s="145"/>
      <c r="FO2536" s="145"/>
      <c r="FP2536" s="145"/>
      <c r="FQ2536" s="145"/>
      <c r="FR2536" s="145"/>
      <c r="FS2536" s="145"/>
      <c r="FT2536" s="145"/>
      <c r="FU2536" s="145"/>
      <c r="FV2536" s="145"/>
      <c r="FW2536" s="145"/>
      <c r="FX2536" s="145"/>
      <c r="FY2536" s="145"/>
      <c r="FZ2536" s="145"/>
      <c r="GA2536" s="145"/>
      <c r="GB2536" s="145"/>
      <c r="GC2536" s="145"/>
      <c r="GD2536" s="145"/>
      <c r="GE2536" s="145"/>
      <c r="GF2536" s="145"/>
      <c r="GG2536" s="145"/>
      <c r="GH2536" s="145"/>
      <c r="GI2536" s="145"/>
      <c r="GJ2536" s="145"/>
      <c r="GK2536" s="145"/>
      <c r="GL2536" s="145"/>
      <c r="GM2536" s="145"/>
      <c r="GN2536" s="145"/>
      <c r="GO2536" s="145"/>
      <c r="GP2536" s="145"/>
      <c r="GQ2536" s="145"/>
      <c r="GR2536" s="145"/>
      <c r="GS2536" s="145"/>
      <c r="GT2536" s="145"/>
      <c r="GU2536" s="145"/>
      <c r="GV2536" s="145"/>
      <c r="GW2536" s="145"/>
      <c r="GX2536" s="145"/>
      <c r="GY2536" s="145"/>
      <c r="GZ2536" s="145"/>
      <c r="HA2536" s="145"/>
      <c r="HB2536" s="145"/>
      <c r="HC2536" s="145"/>
      <c r="HD2536" s="145"/>
      <c r="HE2536" s="145"/>
      <c r="HF2536" s="145"/>
    </row>
    <row r="2537" spans="1:214" x14ac:dyDescent="0.35">
      <c r="A2537" s="270">
        <f>A2534+1</f>
        <v>4</v>
      </c>
      <c r="B2537" s="270">
        <v>5400</v>
      </c>
      <c r="C2537" s="278" t="s">
        <v>438</v>
      </c>
      <c r="D2537" s="273">
        <v>427.3</v>
      </c>
      <c r="E2537" s="273" t="s">
        <v>633</v>
      </c>
      <c r="F2537" s="282">
        <v>2</v>
      </c>
      <c r="G2537" s="270" t="s">
        <v>81</v>
      </c>
      <c r="H2537" s="136" t="s">
        <v>72</v>
      </c>
      <c r="I2537" s="181">
        <f>I2538+I2539</f>
        <v>1754365.61</v>
      </c>
      <c r="J2537" s="181">
        <f>J2538+J2539</f>
        <v>4105.7</v>
      </c>
      <c r="K2537" s="181">
        <f>K2538+K2539</f>
        <v>5813</v>
      </c>
      <c r="L2537" s="145"/>
      <c r="M2537" s="145"/>
      <c r="N2537" s="145"/>
      <c r="O2537" s="145"/>
      <c r="P2537" s="145"/>
      <c r="Q2537" s="145"/>
      <c r="R2537" s="145"/>
      <c r="S2537" s="145"/>
      <c r="T2537" s="145"/>
      <c r="U2537" s="145"/>
      <c r="V2537" s="145"/>
      <c r="W2537" s="145"/>
      <c r="X2537" s="145"/>
      <c r="Y2537" s="145"/>
      <c r="Z2537" s="145"/>
      <c r="AA2537" s="145"/>
      <c r="AB2537" s="145"/>
      <c r="AC2537" s="145"/>
      <c r="AD2537" s="145"/>
      <c r="AE2537" s="145"/>
      <c r="AF2537" s="145"/>
      <c r="AG2537" s="145"/>
      <c r="AH2537" s="145"/>
      <c r="AI2537" s="145"/>
      <c r="AJ2537" s="145"/>
      <c r="AK2537" s="145"/>
      <c r="AL2537" s="145"/>
      <c r="AM2537" s="145"/>
      <c r="AN2537" s="145"/>
      <c r="AO2537" s="145"/>
      <c r="AP2537" s="145"/>
      <c r="AQ2537" s="145"/>
      <c r="AR2537" s="145"/>
      <c r="AS2537" s="145"/>
      <c r="AT2537" s="145"/>
      <c r="AU2537" s="145"/>
      <c r="AV2537" s="145"/>
      <c r="AW2537" s="145"/>
      <c r="AX2537" s="145"/>
      <c r="AY2537" s="145"/>
      <c r="AZ2537" s="145"/>
      <c r="BA2537" s="145"/>
      <c r="BB2537" s="145"/>
      <c r="BC2537" s="145"/>
      <c r="BD2537" s="145"/>
      <c r="BE2537" s="145"/>
      <c r="BF2537" s="145"/>
      <c r="BG2537" s="145"/>
      <c r="BH2537" s="145"/>
      <c r="BI2537" s="145"/>
      <c r="BJ2537" s="145"/>
      <c r="BK2537" s="145"/>
      <c r="BL2537" s="145"/>
      <c r="BM2537" s="145"/>
      <c r="BN2537" s="145"/>
      <c r="BO2537" s="145"/>
      <c r="BP2537" s="145"/>
      <c r="BQ2537" s="145"/>
      <c r="BR2537" s="145"/>
      <c r="BS2537" s="145"/>
      <c r="BT2537" s="145"/>
      <c r="BU2537" s="145"/>
      <c r="BV2537" s="145"/>
      <c r="BW2537" s="145"/>
      <c r="BX2537" s="145"/>
      <c r="BY2537" s="145"/>
      <c r="BZ2537" s="145"/>
      <c r="CA2537" s="145"/>
      <c r="CB2537" s="145"/>
      <c r="CC2537" s="145"/>
      <c r="CD2537" s="145"/>
      <c r="CE2537" s="145"/>
      <c r="CF2537" s="145"/>
      <c r="CG2537" s="145"/>
      <c r="CH2537" s="145"/>
      <c r="CI2537" s="145"/>
      <c r="CJ2537" s="145"/>
      <c r="CK2537" s="145"/>
      <c r="CL2537" s="145"/>
      <c r="CM2537" s="145"/>
      <c r="CN2537" s="145"/>
      <c r="CO2537" s="145"/>
      <c r="CP2537" s="145"/>
      <c r="CQ2537" s="145"/>
      <c r="CR2537" s="145"/>
      <c r="CS2537" s="145"/>
      <c r="CT2537" s="145"/>
      <c r="CU2537" s="145"/>
      <c r="CV2537" s="145"/>
      <c r="CW2537" s="145"/>
      <c r="CX2537" s="145"/>
      <c r="CY2537" s="145"/>
      <c r="CZ2537" s="145"/>
      <c r="DA2537" s="145"/>
      <c r="DB2537" s="145"/>
      <c r="DC2537" s="145"/>
      <c r="DD2537" s="145"/>
      <c r="DE2537" s="145"/>
      <c r="DF2537" s="145"/>
      <c r="DG2537" s="145"/>
      <c r="DH2537" s="145"/>
      <c r="DI2537" s="145"/>
      <c r="DJ2537" s="145"/>
      <c r="DK2537" s="145"/>
      <c r="DL2537" s="145"/>
      <c r="DM2537" s="145"/>
      <c r="DN2537" s="145"/>
      <c r="DO2537" s="145"/>
      <c r="DP2537" s="145"/>
      <c r="DQ2537" s="145"/>
      <c r="DR2537" s="145"/>
      <c r="DS2537" s="145"/>
      <c r="DT2537" s="145"/>
      <c r="DU2537" s="145"/>
      <c r="DV2537" s="145"/>
      <c r="DW2537" s="145"/>
      <c r="DX2537" s="145"/>
      <c r="DY2537" s="145"/>
      <c r="DZ2537" s="145"/>
      <c r="EA2537" s="145"/>
      <c r="EB2537" s="145"/>
      <c r="EC2537" s="145"/>
      <c r="ED2537" s="145"/>
      <c r="EE2537" s="145"/>
      <c r="EF2537" s="145"/>
      <c r="EG2537" s="145"/>
      <c r="EH2537" s="145"/>
      <c r="EI2537" s="145"/>
      <c r="EJ2537" s="145"/>
      <c r="EK2537" s="145"/>
      <c r="EL2537" s="145"/>
      <c r="EM2537" s="145"/>
      <c r="EN2537" s="145"/>
      <c r="EO2537" s="145"/>
      <c r="EP2537" s="145"/>
      <c r="EQ2537" s="145"/>
      <c r="ER2537" s="145"/>
      <c r="ES2537" s="145"/>
      <c r="ET2537" s="145"/>
      <c r="EU2537" s="145"/>
      <c r="EV2537" s="145"/>
      <c r="EW2537" s="145"/>
      <c r="EX2537" s="145"/>
      <c r="EY2537" s="145"/>
      <c r="EZ2537" s="145"/>
      <c r="FA2537" s="145"/>
      <c r="FB2537" s="145"/>
      <c r="FC2537" s="145"/>
      <c r="FD2537" s="145"/>
      <c r="FE2537" s="145"/>
      <c r="FF2537" s="145"/>
      <c r="FG2537" s="145"/>
      <c r="FH2537" s="145"/>
      <c r="FI2537" s="145"/>
      <c r="FJ2537" s="145"/>
      <c r="FK2537" s="145"/>
      <c r="FL2537" s="145"/>
      <c r="FM2537" s="145"/>
      <c r="FN2537" s="145"/>
      <c r="FO2537" s="145"/>
      <c r="FP2537" s="145"/>
      <c r="FQ2537" s="145"/>
      <c r="FR2537" s="145"/>
      <c r="FS2537" s="145"/>
      <c r="FT2537" s="145"/>
      <c r="FU2537" s="145"/>
      <c r="FV2537" s="145"/>
      <c r="FW2537" s="145"/>
      <c r="FX2537" s="145"/>
      <c r="FY2537" s="145"/>
      <c r="FZ2537" s="145"/>
      <c r="GA2537" s="145"/>
      <c r="GB2537" s="145"/>
      <c r="GC2537" s="145"/>
      <c r="GD2537" s="145"/>
      <c r="GE2537" s="145"/>
      <c r="GF2537" s="145"/>
      <c r="GG2537" s="145"/>
      <c r="GH2537" s="145"/>
      <c r="GI2537" s="145"/>
      <c r="GJ2537" s="145"/>
      <c r="GK2537" s="145"/>
      <c r="GL2537" s="145"/>
      <c r="GM2537" s="145"/>
      <c r="GN2537" s="145"/>
      <c r="GO2537" s="145"/>
      <c r="GP2537" s="145"/>
      <c r="GQ2537" s="145"/>
      <c r="GR2537" s="145"/>
      <c r="GS2537" s="145"/>
      <c r="GT2537" s="145"/>
      <c r="GU2537" s="145"/>
      <c r="GV2537" s="145"/>
      <c r="GW2537" s="145"/>
      <c r="GX2537" s="145"/>
      <c r="GY2537" s="145"/>
      <c r="GZ2537" s="145"/>
      <c r="HA2537" s="145"/>
      <c r="HB2537" s="145"/>
      <c r="HC2537" s="145"/>
      <c r="HD2537" s="145"/>
      <c r="HE2537" s="145"/>
      <c r="HF2537" s="145"/>
    </row>
    <row r="2538" spans="1:214" x14ac:dyDescent="0.35">
      <c r="A2538" s="271">
        <v>1128</v>
      </c>
      <c r="B2538" s="271"/>
      <c r="C2538" s="279"/>
      <c r="D2538" s="274"/>
      <c r="E2538" s="274"/>
      <c r="F2538" s="283"/>
      <c r="G2538" s="271"/>
      <c r="H2538" s="136" t="s">
        <v>73</v>
      </c>
      <c r="I2538" s="181">
        <f>K2538*D2537*0.7</f>
        <v>1702235.01</v>
      </c>
      <c r="J2538" s="181">
        <f>I2538/D2537</f>
        <v>3983.7</v>
      </c>
      <c r="K2538" s="181">
        <v>5691</v>
      </c>
      <c r="L2538" s="145"/>
      <c r="M2538" s="145"/>
      <c r="N2538" s="145"/>
      <c r="O2538" s="145"/>
      <c r="P2538" s="145"/>
      <c r="Q2538" s="145"/>
      <c r="R2538" s="145"/>
      <c r="S2538" s="145"/>
      <c r="T2538" s="145"/>
      <c r="U2538" s="145"/>
      <c r="V2538" s="145"/>
      <c r="W2538" s="145"/>
      <c r="X2538" s="145"/>
      <c r="Y2538" s="145"/>
      <c r="Z2538" s="145"/>
      <c r="AA2538" s="145"/>
      <c r="AB2538" s="145"/>
      <c r="AC2538" s="145"/>
      <c r="AD2538" s="145"/>
      <c r="AE2538" s="145"/>
      <c r="AF2538" s="145"/>
      <c r="AG2538" s="145"/>
      <c r="AH2538" s="145"/>
      <c r="AI2538" s="145"/>
      <c r="AJ2538" s="145"/>
      <c r="AK2538" s="145"/>
      <c r="AL2538" s="145"/>
      <c r="AM2538" s="145"/>
      <c r="AN2538" s="145"/>
      <c r="AO2538" s="145"/>
      <c r="AP2538" s="145"/>
      <c r="AQ2538" s="145"/>
      <c r="AR2538" s="145"/>
      <c r="AS2538" s="145"/>
      <c r="AT2538" s="145"/>
      <c r="AU2538" s="145"/>
      <c r="AV2538" s="145"/>
      <c r="AW2538" s="145"/>
      <c r="AX2538" s="145"/>
      <c r="AY2538" s="145"/>
      <c r="AZ2538" s="145"/>
      <c r="BA2538" s="145"/>
      <c r="BB2538" s="145"/>
      <c r="BC2538" s="145"/>
      <c r="BD2538" s="145"/>
      <c r="BE2538" s="145"/>
      <c r="BF2538" s="145"/>
      <c r="BG2538" s="145"/>
      <c r="BH2538" s="145"/>
      <c r="BI2538" s="145"/>
      <c r="BJ2538" s="145"/>
      <c r="BK2538" s="145"/>
      <c r="BL2538" s="145"/>
      <c r="BM2538" s="145"/>
      <c r="BN2538" s="145"/>
      <c r="BO2538" s="145"/>
      <c r="BP2538" s="145"/>
      <c r="BQ2538" s="145"/>
      <c r="BR2538" s="145"/>
      <c r="BS2538" s="145"/>
      <c r="BT2538" s="145"/>
      <c r="BU2538" s="145"/>
      <c r="BV2538" s="145"/>
      <c r="BW2538" s="145"/>
      <c r="BX2538" s="145"/>
      <c r="BY2538" s="145"/>
      <c r="BZ2538" s="145"/>
      <c r="CA2538" s="145"/>
      <c r="CB2538" s="145"/>
      <c r="CC2538" s="145"/>
      <c r="CD2538" s="145"/>
      <c r="CE2538" s="145"/>
      <c r="CF2538" s="145"/>
      <c r="CG2538" s="145"/>
      <c r="CH2538" s="145"/>
      <c r="CI2538" s="145"/>
      <c r="CJ2538" s="145"/>
      <c r="CK2538" s="145"/>
      <c r="CL2538" s="145"/>
      <c r="CM2538" s="145"/>
      <c r="CN2538" s="145"/>
      <c r="CO2538" s="145"/>
      <c r="CP2538" s="145"/>
      <c r="CQ2538" s="145"/>
      <c r="CR2538" s="145"/>
      <c r="CS2538" s="145"/>
      <c r="CT2538" s="145"/>
      <c r="CU2538" s="145"/>
      <c r="CV2538" s="145"/>
      <c r="CW2538" s="145"/>
      <c r="CX2538" s="145"/>
      <c r="CY2538" s="145"/>
      <c r="CZ2538" s="145"/>
      <c r="DA2538" s="145"/>
      <c r="DB2538" s="145"/>
      <c r="DC2538" s="145"/>
      <c r="DD2538" s="145"/>
      <c r="DE2538" s="145"/>
      <c r="DF2538" s="145"/>
      <c r="DG2538" s="145"/>
      <c r="DH2538" s="145"/>
      <c r="DI2538" s="145"/>
      <c r="DJ2538" s="145"/>
      <c r="DK2538" s="145"/>
      <c r="DL2538" s="145"/>
      <c r="DM2538" s="145"/>
      <c r="DN2538" s="145"/>
      <c r="DO2538" s="145"/>
      <c r="DP2538" s="145"/>
      <c r="DQ2538" s="145"/>
      <c r="DR2538" s="145"/>
      <c r="DS2538" s="145"/>
      <c r="DT2538" s="145"/>
      <c r="DU2538" s="145"/>
      <c r="DV2538" s="145"/>
      <c r="DW2538" s="145"/>
      <c r="DX2538" s="145"/>
      <c r="DY2538" s="145"/>
      <c r="DZ2538" s="145"/>
      <c r="EA2538" s="145"/>
      <c r="EB2538" s="145"/>
      <c r="EC2538" s="145"/>
      <c r="ED2538" s="145"/>
      <c r="EE2538" s="145"/>
      <c r="EF2538" s="145"/>
      <c r="EG2538" s="145"/>
      <c r="EH2538" s="145"/>
      <c r="EI2538" s="145"/>
      <c r="EJ2538" s="145"/>
      <c r="EK2538" s="145"/>
      <c r="EL2538" s="145"/>
      <c r="EM2538" s="145"/>
      <c r="EN2538" s="145"/>
      <c r="EO2538" s="145"/>
      <c r="EP2538" s="145"/>
      <c r="EQ2538" s="145"/>
      <c r="ER2538" s="145"/>
      <c r="ES2538" s="145"/>
      <c r="ET2538" s="145"/>
      <c r="EU2538" s="145"/>
      <c r="EV2538" s="145"/>
      <c r="EW2538" s="145"/>
      <c r="EX2538" s="145"/>
      <c r="EY2538" s="145"/>
      <c r="EZ2538" s="145"/>
      <c r="FA2538" s="145"/>
      <c r="FB2538" s="145"/>
      <c r="FC2538" s="145"/>
      <c r="FD2538" s="145"/>
      <c r="FE2538" s="145"/>
      <c r="FF2538" s="145"/>
      <c r="FG2538" s="145"/>
      <c r="FH2538" s="145"/>
      <c r="FI2538" s="145"/>
      <c r="FJ2538" s="145"/>
      <c r="FK2538" s="145"/>
      <c r="FL2538" s="145"/>
      <c r="FM2538" s="145"/>
      <c r="FN2538" s="145"/>
      <c r="FO2538" s="145"/>
      <c r="FP2538" s="145"/>
      <c r="FQ2538" s="145"/>
      <c r="FR2538" s="145"/>
      <c r="FS2538" s="145"/>
      <c r="FT2538" s="145"/>
      <c r="FU2538" s="145"/>
      <c r="FV2538" s="145"/>
      <c r="FW2538" s="145"/>
      <c r="FX2538" s="145"/>
      <c r="FY2538" s="145"/>
      <c r="FZ2538" s="145"/>
      <c r="GA2538" s="145"/>
      <c r="GB2538" s="145"/>
      <c r="GC2538" s="145"/>
      <c r="GD2538" s="145"/>
      <c r="GE2538" s="145"/>
      <c r="GF2538" s="145"/>
      <c r="GG2538" s="145"/>
      <c r="GH2538" s="145"/>
      <c r="GI2538" s="145"/>
      <c r="GJ2538" s="145"/>
      <c r="GK2538" s="145"/>
      <c r="GL2538" s="145"/>
      <c r="GM2538" s="145"/>
      <c r="GN2538" s="145"/>
      <c r="GO2538" s="145"/>
      <c r="GP2538" s="145"/>
      <c r="GQ2538" s="145"/>
      <c r="GR2538" s="145"/>
      <c r="GS2538" s="145"/>
      <c r="GT2538" s="145"/>
      <c r="GU2538" s="145"/>
      <c r="GV2538" s="145"/>
      <c r="GW2538" s="145"/>
      <c r="GX2538" s="145"/>
      <c r="GY2538" s="145"/>
      <c r="GZ2538" s="145"/>
      <c r="HA2538" s="145"/>
      <c r="HB2538" s="145"/>
      <c r="HC2538" s="145"/>
      <c r="HD2538" s="145"/>
      <c r="HE2538" s="152"/>
      <c r="HF2538" s="152"/>
    </row>
    <row r="2539" spans="1:214" x14ac:dyDescent="0.35">
      <c r="A2539" s="272">
        <v>1129</v>
      </c>
      <c r="B2539" s="271"/>
      <c r="C2539" s="285"/>
      <c r="D2539" s="275"/>
      <c r="E2539" s="275"/>
      <c r="F2539" s="284"/>
      <c r="G2539" s="272"/>
      <c r="H2539" s="136" t="s">
        <v>75</v>
      </c>
      <c r="I2539" s="181">
        <f>D2537*K2539</f>
        <v>52130.6</v>
      </c>
      <c r="J2539" s="181">
        <f>I2539/D2537</f>
        <v>122</v>
      </c>
      <c r="K2539" s="181">
        <v>122</v>
      </c>
      <c r="L2539" s="145"/>
      <c r="M2539" s="145"/>
      <c r="N2539" s="145"/>
      <c r="O2539" s="145"/>
      <c r="P2539" s="145"/>
      <c r="Q2539" s="145"/>
      <c r="R2539" s="145"/>
      <c r="S2539" s="145"/>
      <c r="T2539" s="145"/>
      <c r="U2539" s="145"/>
      <c r="V2539" s="145"/>
      <c r="W2539" s="145"/>
      <c r="X2539" s="145"/>
      <c r="Y2539" s="145"/>
      <c r="Z2539" s="145"/>
      <c r="AA2539" s="145"/>
      <c r="AB2539" s="145"/>
      <c r="AC2539" s="145"/>
      <c r="AD2539" s="145"/>
      <c r="AE2539" s="145"/>
      <c r="AF2539" s="145"/>
      <c r="AG2539" s="145"/>
      <c r="AH2539" s="145"/>
      <c r="AI2539" s="145"/>
      <c r="AJ2539" s="145"/>
      <c r="AK2539" s="145"/>
      <c r="AL2539" s="145"/>
      <c r="AM2539" s="145"/>
      <c r="AN2539" s="145"/>
      <c r="AO2539" s="145"/>
      <c r="AP2539" s="145"/>
      <c r="AQ2539" s="145"/>
      <c r="AR2539" s="145"/>
      <c r="AS2539" s="145"/>
      <c r="AT2539" s="145"/>
      <c r="AU2539" s="145"/>
      <c r="AV2539" s="145"/>
      <c r="AW2539" s="145"/>
      <c r="AX2539" s="145"/>
      <c r="AY2539" s="145"/>
      <c r="AZ2539" s="145"/>
      <c r="BA2539" s="145"/>
      <c r="BB2539" s="145"/>
      <c r="BC2539" s="145"/>
      <c r="BD2539" s="145"/>
      <c r="BE2539" s="145"/>
      <c r="BF2539" s="145"/>
      <c r="BG2539" s="145"/>
      <c r="BH2539" s="145"/>
      <c r="BI2539" s="145"/>
      <c r="BJ2539" s="145"/>
      <c r="BK2539" s="145"/>
      <c r="BL2539" s="145"/>
      <c r="BM2539" s="145"/>
      <c r="BN2539" s="145"/>
      <c r="BO2539" s="145"/>
      <c r="BP2539" s="145"/>
      <c r="BQ2539" s="145"/>
      <c r="BR2539" s="145"/>
      <c r="BS2539" s="145"/>
      <c r="BT2539" s="145"/>
      <c r="BU2539" s="145"/>
      <c r="BV2539" s="145"/>
      <c r="BW2539" s="145"/>
      <c r="BX2539" s="145"/>
      <c r="BY2539" s="145"/>
      <c r="BZ2539" s="145"/>
      <c r="CA2539" s="145"/>
      <c r="CB2539" s="145"/>
      <c r="CC2539" s="145"/>
      <c r="CD2539" s="145"/>
      <c r="CE2539" s="145"/>
      <c r="CF2539" s="145"/>
      <c r="CG2539" s="145"/>
      <c r="CH2539" s="145"/>
      <c r="CI2539" s="145"/>
      <c r="CJ2539" s="145"/>
      <c r="CK2539" s="145"/>
      <c r="CL2539" s="145"/>
      <c r="CM2539" s="145"/>
      <c r="CN2539" s="145"/>
      <c r="CO2539" s="145"/>
      <c r="CP2539" s="145"/>
      <c r="CQ2539" s="145"/>
      <c r="CR2539" s="145"/>
      <c r="CS2539" s="145"/>
      <c r="CT2539" s="145"/>
      <c r="CU2539" s="145"/>
      <c r="CV2539" s="145"/>
      <c r="CW2539" s="145"/>
      <c r="CX2539" s="145"/>
      <c r="CY2539" s="145"/>
      <c r="CZ2539" s="145"/>
      <c r="DA2539" s="145"/>
      <c r="DB2539" s="145"/>
      <c r="DC2539" s="145"/>
      <c r="DD2539" s="145"/>
      <c r="DE2539" s="145"/>
      <c r="DF2539" s="145"/>
      <c r="DG2539" s="145"/>
      <c r="DH2539" s="145"/>
      <c r="DI2539" s="145"/>
      <c r="DJ2539" s="145"/>
      <c r="DK2539" s="145"/>
      <c r="DL2539" s="145"/>
      <c r="DM2539" s="145"/>
      <c r="DN2539" s="145"/>
      <c r="DO2539" s="145"/>
      <c r="DP2539" s="145"/>
      <c r="DQ2539" s="145"/>
      <c r="DR2539" s="145"/>
      <c r="DS2539" s="145"/>
      <c r="DT2539" s="145"/>
      <c r="DU2539" s="145"/>
      <c r="DV2539" s="145"/>
      <c r="DW2539" s="145"/>
      <c r="DX2539" s="145"/>
      <c r="DY2539" s="145"/>
      <c r="DZ2539" s="145"/>
      <c r="EA2539" s="145"/>
      <c r="EB2539" s="145"/>
      <c r="EC2539" s="145"/>
      <c r="ED2539" s="145"/>
      <c r="EE2539" s="145"/>
      <c r="EF2539" s="145"/>
      <c r="EG2539" s="145"/>
      <c r="EH2539" s="145"/>
      <c r="EI2539" s="145"/>
      <c r="EJ2539" s="145"/>
      <c r="EK2539" s="145"/>
      <c r="EL2539" s="145"/>
      <c r="EM2539" s="145"/>
      <c r="EN2539" s="145"/>
      <c r="EO2539" s="145"/>
      <c r="EP2539" s="145"/>
      <c r="EQ2539" s="145"/>
      <c r="ER2539" s="145"/>
      <c r="ES2539" s="145"/>
      <c r="ET2539" s="145"/>
      <c r="EU2539" s="145"/>
      <c r="EV2539" s="145"/>
      <c r="EW2539" s="145"/>
      <c r="EX2539" s="145"/>
      <c r="EY2539" s="145"/>
      <c r="EZ2539" s="145"/>
      <c r="FA2539" s="145"/>
      <c r="FB2539" s="145"/>
      <c r="FC2539" s="145"/>
      <c r="FD2539" s="145"/>
      <c r="FE2539" s="145"/>
      <c r="FF2539" s="145"/>
      <c r="FG2539" s="145"/>
      <c r="FH2539" s="145"/>
      <c r="FI2539" s="145"/>
      <c r="FJ2539" s="145"/>
      <c r="FK2539" s="145"/>
      <c r="FL2539" s="145"/>
      <c r="FM2539" s="145"/>
      <c r="FN2539" s="145"/>
      <c r="FO2539" s="145"/>
      <c r="FP2539" s="145"/>
      <c r="FQ2539" s="145"/>
      <c r="FR2539" s="145"/>
      <c r="FS2539" s="145"/>
      <c r="FT2539" s="145"/>
      <c r="FU2539" s="145"/>
      <c r="FV2539" s="145"/>
      <c r="FW2539" s="145"/>
      <c r="FX2539" s="145"/>
      <c r="FY2539" s="145"/>
      <c r="FZ2539" s="145"/>
      <c r="GA2539" s="145"/>
      <c r="GB2539" s="145"/>
      <c r="GC2539" s="145"/>
      <c r="GD2539" s="145"/>
      <c r="GE2539" s="145"/>
      <c r="GF2539" s="145"/>
      <c r="GG2539" s="145"/>
      <c r="GH2539" s="145"/>
      <c r="GI2539" s="145"/>
      <c r="GJ2539" s="145"/>
      <c r="GK2539" s="145"/>
      <c r="GL2539" s="145"/>
      <c r="GM2539" s="145"/>
      <c r="GN2539" s="145"/>
      <c r="GO2539" s="145"/>
      <c r="GP2539" s="145"/>
      <c r="GQ2539" s="145"/>
      <c r="GR2539" s="145"/>
      <c r="GS2539" s="145"/>
      <c r="GT2539" s="145"/>
      <c r="GU2539" s="145"/>
      <c r="GV2539" s="145"/>
      <c r="GW2539" s="145"/>
      <c r="GX2539" s="145"/>
      <c r="GY2539" s="145"/>
      <c r="GZ2539" s="145"/>
      <c r="HA2539" s="145"/>
      <c r="HB2539" s="145"/>
      <c r="HC2539" s="145"/>
      <c r="HD2539" s="145"/>
      <c r="HE2539" s="145"/>
      <c r="HF2539" s="145"/>
    </row>
    <row r="2540" spans="1:214" x14ac:dyDescent="0.35">
      <c r="A2540" s="270">
        <f>A2537+1</f>
        <v>5</v>
      </c>
      <c r="B2540" s="270">
        <v>5412</v>
      </c>
      <c r="C2540" s="278" t="s">
        <v>600</v>
      </c>
      <c r="D2540" s="273">
        <v>442</v>
      </c>
      <c r="E2540" s="273" t="s">
        <v>633</v>
      </c>
      <c r="F2540" s="282">
        <v>2</v>
      </c>
      <c r="G2540" s="270" t="s">
        <v>71</v>
      </c>
      <c r="H2540" s="136" t="s">
        <v>72</v>
      </c>
      <c r="I2540" s="181">
        <f>I2541</f>
        <v>114478</v>
      </c>
      <c r="J2540" s="181">
        <f>J2541</f>
        <v>259</v>
      </c>
      <c r="K2540" s="181">
        <f>K2541</f>
        <v>259</v>
      </c>
      <c r="L2540" s="145"/>
      <c r="M2540" s="145"/>
      <c r="N2540" s="145"/>
      <c r="O2540" s="145"/>
      <c r="P2540" s="145"/>
      <c r="Q2540" s="145"/>
      <c r="R2540" s="145"/>
      <c r="S2540" s="145"/>
      <c r="T2540" s="145"/>
      <c r="U2540" s="145"/>
      <c r="V2540" s="145"/>
      <c r="W2540" s="145"/>
      <c r="X2540" s="145"/>
      <c r="Y2540" s="145"/>
      <c r="Z2540" s="145"/>
      <c r="AA2540" s="145"/>
      <c r="AB2540" s="145"/>
      <c r="AC2540" s="145"/>
      <c r="AD2540" s="145"/>
      <c r="AE2540" s="145"/>
      <c r="AF2540" s="145"/>
      <c r="AG2540" s="145"/>
      <c r="AH2540" s="145"/>
      <c r="AI2540" s="145"/>
      <c r="AJ2540" s="145"/>
      <c r="AK2540" s="145"/>
      <c r="AL2540" s="145"/>
      <c r="AM2540" s="145"/>
      <c r="AN2540" s="145"/>
      <c r="AO2540" s="145"/>
      <c r="AP2540" s="145"/>
      <c r="AQ2540" s="145"/>
      <c r="AR2540" s="145"/>
      <c r="AS2540" s="145"/>
      <c r="AT2540" s="145"/>
      <c r="AU2540" s="145"/>
      <c r="AV2540" s="145"/>
      <c r="AW2540" s="145"/>
      <c r="AX2540" s="145"/>
      <c r="AY2540" s="145"/>
      <c r="AZ2540" s="145"/>
      <c r="BA2540" s="145"/>
      <c r="BB2540" s="145"/>
      <c r="BC2540" s="145"/>
      <c r="BD2540" s="145"/>
      <c r="BE2540" s="145"/>
      <c r="BF2540" s="145"/>
      <c r="BG2540" s="145"/>
      <c r="BH2540" s="145"/>
      <c r="BI2540" s="145"/>
      <c r="BJ2540" s="145"/>
      <c r="BK2540" s="145"/>
      <c r="BL2540" s="145"/>
      <c r="BM2540" s="145"/>
      <c r="BN2540" s="145"/>
      <c r="BO2540" s="145"/>
      <c r="BP2540" s="145"/>
      <c r="BQ2540" s="145"/>
      <c r="BR2540" s="145"/>
      <c r="BS2540" s="145"/>
      <c r="BT2540" s="145"/>
      <c r="BU2540" s="145"/>
      <c r="BV2540" s="145"/>
      <c r="BW2540" s="145"/>
      <c r="BX2540" s="145"/>
      <c r="BY2540" s="145"/>
      <c r="BZ2540" s="145"/>
      <c r="CA2540" s="145"/>
      <c r="CB2540" s="145"/>
      <c r="CC2540" s="145"/>
      <c r="CD2540" s="145"/>
      <c r="CE2540" s="145"/>
      <c r="CF2540" s="145"/>
      <c r="CG2540" s="145"/>
      <c r="CH2540" s="145"/>
      <c r="CI2540" s="145"/>
      <c r="CJ2540" s="145"/>
      <c r="CK2540" s="145"/>
      <c r="CL2540" s="145"/>
      <c r="CM2540" s="145"/>
      <c r="CN2540" s="145"/>
      <c r="CO2540" s="145"/>
      <c r="CP2540" s="145"/>
      <c r="CQ2540" s="145"/>
      <c r="CR2540" s="145"/>
      <c r="CS2540" s="145"/>
      <c r="CT2540" s="145"/>
      <c r="CU2540" s="145"/>
      <c r="CV2540" s="145"/>
      <c r="CW2540" s="145"/>
      <c r="CX2540" s="145"/>
      <c r="CY2540" s="145"/>
      <c r="CZ2540" s="145"/>
      <c r="DA2540" s="145"/>
      <c r="DB2540" s="145"/>
      <c r="DC2540" s="145"/>
      <c r="DD2540" s="145"/>
      <c r="DE2540" s="145"/>
      <c r="DF2540" s="145"/>
      <c r="DG2540" s="145"/>
      <c r="DH2540" s="145"/>
      <c r="DI2540" s="145"/>
      <c r="DJ2540" s="145"/>
      <c r="DK2540" s="145"/>
      <c r="DL2540" s="145"/>
      <c r="DM2540" s="145"/>
      <c r="DN2540" s="145"/>
      <c r="DO2540" s="145"/>
      <c r="DP2540" s="145"/>
      <c r="DQ2540" s="145"/>
      <c r="DR2540" s="145"/>
      <c r="DS2540" s="145"/>
      <c r="DT2540" s="145"/>
      <c r="DU2540" s="145"/>
      <c r="DV2540" s="145"/>
      <c r="DW2540" s="145"/>
      <c r="DX2540" s="145"/>
      <c r="DY2540" s="145"/>
      <c r="DZ2540" s="145"/>
      <c r="EA2540" s="145"/>
      <c r="EB2540" s="145"/>
      <c r="EC2540" s="145"/>
      <c r="ED2540" s="145"/>
      <c r="EE2540" s="145"/>
      <c r="EF2540" s="145"/>
      <c r="EG2540" s="145"/>
      <c r="EH2540" s="145"/>
      <c r="EI2540" s="145"/>
      <c r="EJ2540" s="145"/>
      <c r="EK2540" s="145"/>
      <c r="EL2540" s="145"/>
      <c r="EM2540" s="145"/>
      <c r="EN2540" s="145"/>
      <c r="EO2540" s="145"/>
      <c r="EP2540" s="145"/>
      <c r="EQ2540" s="145"/>
      <c r="ER2540" s="145"/>
      <c r="ES2540" s="145"/>
      <c r="ET2540" s="145"/>
      <c r="EU2540" s="145"/>
      <c r="EV2540" s="145"/>
      <c r="EW2540" s="145"/>
      <c r="EX2540" s="145"/>
      <c r="EY2540" s="145"/>
      <c r="EZ2540" s="145"/>
      <c r="FA2540" s="145"/>
      <c r="FB2540" s="145"/>
      <c r="FC2540" s="145"/>
      <c r="FD2540" s="145"/>
      <c r="FE2540" s="145"/>
      <c r="FF2540" s="145"/>
      <c r="FG2540" s="145"/>
      <c r="FH2540" s="145"/>
      <c r="FI2540" s="145"/>
      <c r="FJ2540" s="145"/>
      <c r="FK2540" s="145"/>
      <c r="FL2540" s="145"/>
      <c r="FM2540" s="145"/>
      <c r="FN2540" s="145"/>
      <c r="FO2540" s="145"/>
      <c r="FP2540" s="145"/>
      <c r="FQ2540" s="145"/>
      <c r="FR2540" s="145"/>
      <c r="FS2540" s="145"/>
      <c r="FT2540" s="145"/>
      <c r="FU2540" s="145"/>
      <c r="FV2540" s="145"/>
      <c r="FW2540" s="145"/>
      <c r="FX2540" s="145"/>
      <c r="FY2540" s="145"/>
      <c r="FZ2540" s="145"/>
      <c r="GA2540" s="145"/>
      <c r="GB2540" s="145"/>
      <c r="GC2540" s="145"/>
      <c r="GD2540" s="145"/>
      <c r="GE2540" s="145"/>
      <c r="GF2540" s="145"/>
      <c r="GG2540" s="145"/>
      <c r="GH2540" s="145"/>
      <c r="GI2540" s="145"/>
      <c r="GJ2540" s="145"/>
      <c r="GK2540" s="145"/>
      <c r="GL2540" s="145"/>
      <c r="GM2540" s="145"/>
      <c r="GN2540" s="145"/>
      <c r="GO2540" s="145"/>
      <c r="GP2540" s="145"/>
      <c r="GQ2540" s="145"/>
      <c r="GR2540" s="145"/>
      <c r="GS2540" s="145"/>
      <c r="GT2540" s="145"/>
      <c r="GU2540" s="145"/>
      <c r="GV2540" s="145"/>
      <c r="GW2540" s="145"/>
      <c r="GX2540" s="145"/>
      <c r="GY2540" s="145"/>
      <c r="GZ2540" s="145"/>
      <c r="HA2540" s="145"/>
      <c r="HB2540" s="145"/>
      <c r="HC2540" s="145"/>
      <c r="HD2540" s="145"/>
      <c r="HE2540" s="145"/>
      <c r="HF2540" s="145"/>
    </row>
    <row r="2541" spans="1:214" ht="46.5" x14ac:dyDescent="0.35">
      <c r="A2541" s="271">
        <v>1130</v>
      </c>
      <c r="B2541" s="272"/>
      <c r="C2541" s="279"/>
      <c r="D2541" s="274"/>
      <c r="E2541" s="274"/>
      <c r="F2541" s="283"/>
      <c r="G2541" s="271"/>
      <c r="H2541" s="136" t="s">
        <v>673</v>
      </c>
      <c r="I2541" s="181">
        <f>K2541*D2540</f>
        <v>114478</v>
      </c>
      <c r="J2541" s="181">
        <f>I2541/D2540</f>
        <v>259</v>
      </c>
      <c r="K2541" s="181">
        <f>163+96</f>
        <v>259</v>
      </c>
      <c r="L2541" s="145"/>
      <c r="M2541" s="145"/>
      <c r="N2541" s="145"/>
      <c r="O2541" s="145"/>
      <c r="P2541" s="145"/>
      <c r="Q2541" s="145"/>
      <c r="R2541" s="145"/>
      <c r="S2541" s="145"/>
      <c r="T2541" s="145"/>
      <c r="U2541" s="145"/>
      <c r="V2541" s="145"/>
      <c r="W2541" s="145"/>
      <c r="X2541" s="145"/>
      <c r="Y2541" s="145"/>
      <c r="Z2541" s="145"/>
      <c r="AA2541" s="145"/>
      <c r="AB2541" s="145"/>
      <c r="AC2541" s="145"/>
      <c r="AD2541" s="145"/>
      <c r="AE2541" s="145"/>
      <c r="AF2541" s="145"/>
      <c r="AG2541" s="145"/>
      <c r="AH2541" s="145"/>
      <c r="AI2541" s="145"/>
      <c r="AJ2541" s="145"/>
      <c r="AK2541" s="145"/>
      <c r="AL2541" s="145"/>
      <c r="AM2541" s="145"/>
      <c r="AN2541" s="145"/>
      <c r="AO2541" s="145"/>
      <c r="AP2541" s="145"/>
      <c r="AQ2541" s="145"/>
      <c r="AR2541" s="145"/>
      <c r="AS2541" s="145"/>
      <c r="AT2541" s="145"/>
      <c r="AU2541" s="145"/>
      <c r="AV2541" s="145"/>
      <c r="AW2541" s="145"/>
      <c r="AX2541" s="145"/>
      <c r="AY2541" s="145"/>
      <c r="AZ2541" s="145"/>
      <c r="BA2541" s="145"/>
      <c r="BB2541" s="145"/>
      <c r="BC2541" s="145"/>
      <c r="BD2541" s="145"/>
      <c r="BE2541" s="145"/>
      <c r="BF2541" s="145"/>
      <c r="BG2541" s="145"/>
      <c r="BH2541" s="145"/>
      <c r="BI2541" s="145"/>
      <c r="BJ2541" s="145"/>
      <c r="BK2541" s="145"/>
      <c r="BL2541" s="145"/>
      <c r="BM2541" s="145"/>
      <c r="BN2541" s="145"/>
      <c r="BO2541" s="145"/>
      <c r="BP2541" s="145"/>
      <c r="BQ2541" s="145"/>
      <c r="BR2541" s="145"/>
      <c r="BS2541" s="145"/>
      <c r="BT2541" s="145"/>
      <c r="BU2541" s="145"/>
      <c r="BV2541" s="145"/>
      <c r="BW2541" s="145"/>
      <c r="BX2541" s="145"/>
      <c r="BY2541" s="145"/>
      <c r="BZ2541" s="145"/>
      <c r="CA2541" s="145"/>
      <c r="CB2541" s="145"/>
      <c r="CC2541" s="145"/>
      <c r="CD2541" s="145"/>
      <c r="CE2541" s="145"/>
      <c r="CF2541" s="145"/>
      <c r="CG2541" s="145"/>
      <c r="CH2541" s="145"/>
      <c r="CI2541" s="145"/>
      <c r="CJ2541" s="145"/>
      <c r="CK2541" s="145"/>
      <c r="CL2541" s="145"/>
      <c r="CM2541" s="145"/>
      <c r="CN2541" s="145"/>
      <c r="CO2541" s="145"/>
      <c r="CP2541" s="145"/>
      <c r="CQ2541" s="145"/>
      <c r="CR2541" s="145"/>
      <c r="CS2541" s="145"/>
      <c r="CT2541" s="145"/>
      <c r="CU2541" s="145"/>
      <c r="CV2541" s="145"/>
      <c r="CW2541" s="145"/>
      <c r="CX2541" s="145"/>
      <c r="CY2541" s="145"/>
      <c r="CZ2541" s="145"/>
      <c r="DA2541" s="145"/>
      <c r="DB2541" s="145"/>
      <c r="DC2541" s="145"/>
      <c r="DD2541" s="145"/>
      <c r="DE2541" s="145"/>
      <c r="DF2541" s="145"/>
      <c r="DG2541" s="145"/>
      <c r="DH2541" s="145"/>
      <c r="DI2541" s="145"/>
      <c r="DJ2541" s="145"/>
      <c r="DK2541" s="145"/>
      <c r="DL2541" s="145"/>
      <c r="DM2541" s="145"/>
      <c r="DN2541" s="145"/>
      <c r="DO2541" s="145"/>
      <c r="DP2541" s="145"/>
      <c r="DQ2541" s="145"/>
      <c r="DR2541" s="145"/>
      <c r="DS2541" s="145"/>
      <c r="DT2541" s="145"/>
      <c r="DU2541" s="145"/>
      <c r="DV2541" s="145"/>
      <c r="DW2541" s="145"/>
      <c r="DX2541" s="145"/>
      <c r="DY2541" s="145"/>
      <c r="DZ2541" s="145"/>
      <c r="EA2541" s="145"/>
      <c r="EB2541" s="145"/>
      <c r="EC2541" s="145"/>
      <c r="ED2541" s="145"/>
      <c r="EE2541" s="145"/>
      <c r="EF2541" s="145"/>
      <c r="EG2541" s="145"/>
      <c r="EH2541" s="145"/>
      <c r="EI2541" s="145"/>
      <c r="EJ2541" s="145"/>
      <c r="EK2541" s="145"/>
      <c r="EL2541" s="145"/>
      <c r="EM2541" s="145"/>
      <c r="EN2541" s="145"/>
      <c r="EO2541" s="145"/>
      <c r="EP2541" s="145"/>
      <c r="EQ2541" s="145"/>
      <c r="ER2541" s="145"/>
      <c r="ES2541" s="145"/>
      <c r="ET2541" s="145"/>
      <c r="EU2541" s="145"/>
      <c r="EV2541" s="145"/>
      <c r="EW2541" s="145"/>
      <c r="EX2541" s="145"/>
      <c r="EY2541" s="145"/>
      <c r="EZ2541" s="145"/>
      <c r="FA2541" s="145"/>
      <c r="FB2541" s="145"/>
      <c r="FC2541" s="145"/>
      <c r="FD2541" s="145"/>
      <c r="FE2541" s="145"/>
      <c r="FF2541" s="145"/>
      <c r="FG2541" s="145"/>
      <c r="FH2541" s="145"/>
      <c r="FI2541" s="145"/>
      <c r="FJ2541" s="145"/>
      <c r="FK2541" s="145"/>
      <c r="FL2541" s="145"/>
      <c r="FM2541" s="145"/>
      <c r="FN2541" s="145"/>
      <c r="FO2541" s="145"/>
      <c r="FP2541" s="145"/>
      <c r="FQ2541" s="145"/>
      <c r="FR2541" s="145"/>
      <c r="FS2541" s="145"/>
      <c r="FT2541" s="145"/>
      <c r="FU2541" s="145"/>
      <c r="FV2541" s="145"/>
      <c r="FW2541" s="145"/>
      <c r="FX2541" s="145"/>
      <c r="FY2541" s="145"/>
      <c r="FZ2541" s="145"/>
      <c r="GA2541" s="145"/>
      <c r="GB2541" s="145"/>
      <c r="GC2541" s="145"/>
      <c r="GD2541" s="145"/>
      <c r="GE2541" s="145"/>
      <c r="GF2541" s="145"/>
      <c r="GG2541" s="145"/>
      <c r="GH2541" s="145"/>
      <c r="GI2541" s="145"/>
      <c r="GJ2541" s="145"/>
      <c r="GK2541" s="145"/>
      <c r="GL2541" s="145"/>
      <c r="GM2541" s="145"/>
      <c r="GN2541" s="145"/>
      <c r="GO2541" s="145"/>
      <c r="GP2541" s="145"/>
      <c r="GQ2541" s="145"/>
      <c r="GR2541" s="145"/>
      <c r="GS2541" s="145"/>
      <c r="GT2541" s="145"/>
      <c r="GU2541" s="145"/>
      <c r="GV2541" s="145"/>
      <c r="GW2541" s="145"/>
      <c r="GX2541" s="145"/>
      <c r="GY2541" s="145"/>
      <c r="GZ2541" s="145"/>
      <c r="HA2541" s="145"/>
      <c r="HB2541" s="145"/>
      <c r="HC2541" s="145"/>
      <c r="HD2541" s="145"/>
      <c r="HE2541" s="145"/>
      <c r="HF2541" s="145"/>
    </row>
    <row r="2542" spans="1:214" x14ac:dyDescent="0.35">
      <c r="A2542" s="270">
        <f>A2540+1</f>
        <v>6</v>
      </c>
      <c r="B2542" s="270">
        <v>5404</v>
      </c>
      <c r="C2542" s="278" t="s">
        <v>439</v>
      </c>
      <c r="D2542" s="273">
        <v>418</v>
      </c>
      <c r="E2542" s="273" t="s">
        <v>633</v>
      </c>
      <c r="F2542" s="282">
        <v>2</v>
      </c>
      <c r="G2542" s="270" t="s">
        <v>84</v>
      </c>
      <c r="H2542" s="136" t="s">
        <v>72</v>
      </c>
      <c r="I2542" s="181">
        <f>I2545+I2546+I2543+I2544</f>
        <v>3967656</v>
      </c>
      <c r="J2542" s="181">
        <f>J2545+J2546+J2543+J2544</f>
        <v>9492</v>
      </c>
      <c r="K2542" s="181">
        <f>K2545+K2546+K2543+K2544</f>
        <v>9492</v>
      </c>
      <c r="L2542" s="145"/>
      <c r="M2542" s="145"/>
      <c r="N2542" s="145"/>
      <c r="O2542" s="145"/>
      <c r="P2542" s="145"/>
      <c r="Q2542" s="145"/>
      <c r="R2542" s="145"/>
      <c r="S2542" s="145"/>
      <c r="T2542" s="145"/>
      <c r="U2542" s="145"/>
      <c r="V2542" s="145"/>
      <c r="W2542" s="145"/>
      <c r="X2542" s="145"/>
      <c r="Y2542" s="145"/>
      <c r="Z2542" s="145"/>
      <c r="AA2542" s="145"/>
      <c r="AB2542" s="145"/>
      <c r="AC2542" s="145"/>
      <c r="AD2542" s="145"/>
      <c r="AE2542" s="145"/>
      <c r="AF2542" s="145"/>
      <c r="AG2542" s="145"/>
      <c r="AH2542" s="145"/>
      <c r="AI2542" s="145"/>
      <c r="AJ2542" s="145"/>
      <c r="AK2542" s="145"/>
      <c r="AL2542" s="145"/>
      <c r="AM2542" s="145"/>
      <c r="AN2542" s="145"/>
      <c r="AO2542" s="145"/>
      <c r="AP2542" s="145"/>
      <c r="AQ2542" s="145"/>
      <c r="AR2542" s="145"/>
      <c r="AS2542" s="145"/>
      <c r="AT2542" s="145"/>
      <c r="AU2542" s="145"/>
      <c r="AV2542" s="145"/>
      <c r="AW2542" s="145"/>
      <c r="AX2542" s="145"/>
      <c r="AY2542" s="145"/>
      <c r="AZ2542" s="145"/>
      <c r="BA2542" s="145"/>
      <c r="BB2542" s="145"/>
      <c r="BC2542" s="145"/>
      <c r="BD2542" s="145"/>
      <c r="BE2542" s="145"/>
      <c r="BF2542" s="145"/>
      <c r="BG2542" s="145"/>
      <c r="BH2542" s="145"/>
      <c r="BI2542" s="145"/>
      <c r="BJ2542" s="145"/>
      <c r="BK2542" s="145"/>
      <c r="BL2542" s="145"/>
      <c r="BM2542" s="145"/>
      <c r="BN2542" s="145"/>
      <c r="BO2542" s="145"/>
      <c r="BP2542" s="145"/>
      <c r="BQ2542" s="145"/>
      <c r="BR2542" s="145"/>
      <c r="BS2542" s="145"/>
      <c r="BT2542" s="145"/>
      <c r="BU2542" s="145"/>
      <c r="BV2542" s="145"/>
      <c r="BW2542" s="145"/>
      <c r="BX2542" s="145"/>
      <c r="BY2542" s="145"/>
      <c r="BZ2542" s="145"/>
      <c r="CA2542" s="145"/>
      <c r="CB2542" s="145"/>
      <c r="CC2542" s="145"/>
      <c r="CD2542" s="145"/>
      <c r="CE2542" s="145"/>
      <c r="CF2542" s="145"/>
      <c r="CG2542" s="145"/>
      <c r="CH2542" s="145"/>
      <c r="CI2542" s="145"/>
      <c r="CJ2542" s="145"/>
      <c r="CK2542" s="145"/>
      <c r="CL2542" s="145"/>
      <c r="CM2542" s="145"/>
      <c r="CN2542" s="145"/>
      <c r="CO2542" s="145"/>
      <c r="CP2542" s="145"/>
      <c r="CQ2542" s="145"/>
      <c r="CR2542" s="145"/>
      <c r="CS2542" s="145"/>
      <c r="CT2542" s="145"/>
      <c r="CU2542" s="145"/>
      <c r="CV2542" s="145"/>
      <c r="CW2542" s="145"/>
      <c r="CX2542" s="145"/>
      <c r="CY2542" s="145"/>
      <c r="CZ2542" s="145"/>
      <c r="DA2542" s="145"/>
      <c r="DB2542" s="145"/>
      <c r="DC2542" s="145"/>
      <c r="DD2542" s="145"/>
      <c r="DE2542" s="145"/>
      <c r="DF2542" s="145"/>
      <c r="DG2542" s="145"/>
      <c r="DH2542" s="145"/>
      <c r="DI2542" s="145"/>
      <c r="DJ2542" s="145"/>
      <c r="DK2542" s="145"/>
      <c r="DL2542" s="145"/>
      <c r="DM2542" s="145"/>
      <c r="DN2542" s="145"/>
      <c r="DO2542" s="145"/>
      <c r="DP2542" s="145"/>
      <c r="DQ2542" s="145"/>
      <c r="DR2542" s="145"/>
      <c r="DS2542" s="145"/>
      <c r="DT2542" s="145"/>
      <c r="DU2542" s="145"/>
      <c r="DV2542" s="145"/>
      <c r="DW2542" s="145"/>
      <c r="DX2542" s="145"/>
      <c r="DY2542" s="145"/>
      <c r="DZ2542" s="145"/>
      <c r="EA2542" s="145"/>
      <c r="EB2542" s="145"/>
      <c r="EC2542" s="145"/>
      <c r="ED2542" s="145"/>
      <c r="EE2542" s="145"/>
      <c r="EF2542" s="145"/>
      <c r="EG2542" s="145"/>
      <c r="EH2542" s="145"/>
      <c r="EI2542" s="145"/>
      <c r="EJ2542" s="145"/>
      <c r="EK2542" s="145"/>
      <c r="EL2542" s="145"/>
      <c r="EM2542" s="145"/>
      <c r="EN2542" s="145"/>
      <c r="EO2542" s="145"/>
      <c r="EP2542" s="145"/>
      <c r="EQ2542" s="145"/>
      <c r="ER2542" s="145"/>
      <c r="ES2542" s="145"/>
      <c r="ET2542" s="145"/>
      <c r="EU2542" s="145"/>
      <c r="EV2542" s="145"/>
      <c r="EW2542" s="145"/>
      <c r="EX2542" s="145"/>
      <c r="EY2542" s="145"/>
      <c r="EZ2542" s="145"/>
      <c r="FA2542" s="145"/>
      <c r="FB2542" s="145"/>
      <c r="FC2542" s="145"/>
      <c r="FD2542" s="145"/>
      <c r="FE2542" s="145"/>
      <c r="FF2542" s="145"/>
      <c r="FG2542" s="145"/>
      <c r="FH2542" s="145"/>
      <c r="FI2542" s="145"/>
      <c r="FJ2542" s="145"/>
      <c r="FK2542" s="145"/>
      <c r="FL2542" s="145"/>
      <c r="FM2542" s="145"/>
      <c r="FN2542" s="145"/>
      <c r="FO2542" s="145"/>
      <c r="FP2542" s="145"/>
      <c r="FQ2542" s="145"/>
      <c r="FR2542" s="145"/>
      <c r="FS2542" s="145"/>
      <c r="FT2542" s="145"/>
      <c r="FU2542" s="145"/>
      <c r="FV2542" s="145"/>
      <c r="FW2542" s="145"/>
      <c r="FX2542" s="145"/>
      <c r="FY2542" s="145"/>
      <c r="FZ2542" s="145"/>
      <c r="GA2542" s="145"/>
      <c r="GB2542" s="145"/>
      <c r="GC2542" s="145"/>
      <c r="GD2542" s="145"/>
      <c r="GE2542" s="145"/>
      <c r="GF2542" s="145"/>
      <c r="GG2542" s="145"/>
      <c r="GH2542" s="145"/>
      <c r="GI2542" s="145"/>
      <c r="GJ2542" s="145"/>
      <c r="GK2542" s="145"/>
      <c r="GL2542" s="145"/>
      <c r="GM2542" s="145"/>
      <c r="GN2542" s="145"/>
      <c r="GO2542" s="145"/>
      <c r="GP2542" s="145"/>
      <c r="GQ2542" s="145"/>
      <c r="GR2542" s="145"/>
      <c r="GS2542" s="145"/>
      <c r="GT2542" s="145"/>
      <c r="GU2542" s="145"/>
      <c r="GV2542" s="145"/>
      <c r="GW2542" s="145"/>
      <c r="GX2542" s="145"/>
      <c r="GY2542" s="145"/>
      <c r="GZ2542" s="145"/>
      <c r="HA2542" s="145"/>
      <c r="HB2542" s="145"/>
      <c r="HC2542" s="145"/>
      <c r="HD2542" s="145"/>
      <c r="HE2542" s="152"/>
      <c r="HF2542" s="152"/>
    </row>
    <row r="2543" spans="1:214" x14ac:dyDescent="0.35">
      <c r="A2543" s="271"/>
      <c r="B2543" s="271"/>
      <c r="C2543" s="279"/>
      <c r="D2543" s="274"/>
      <c r="E2543" s="274"/>
      <c r="F2543" s="283"/>
      <c r="G2543" s="271"/>
      <c r="H2543" s="136" t="s">
        <v>635</v>
      </c>
      <c r="I2543" s="181">
        <f>D2542*K2543</f>
        <v>2193664</v>
      </c>
      <c r="J2543" s="181">
        <f>I2543/D2542</f>
        <v>5248</v>
      </c>
      <c r="K2543" s="181">
        <v>5248</v>
      </c>
      <c r="L2543" s="145"/>
      <c r="M2543" s="145"/>
      <c r="N2543" s="145"/>
      <c r="O2543" s="145"/>
      <c r="P2543" s="145"/>
      <c r="Q2543" s="145"/>
      <c r="R2543" s="145"/>
      <c r="S2543" s="145"/>
      <c r="T2543" s="145"/>
      <c r="U2543" s="145"/>
      <c r="V2543" s="145"/>
      <c r="W2543" s="145"/>
      <c r="X2543" s="145"/>
      <c r="Y2543" s="145"/>
      <c r="Z2543" s="145"/>
      <c r="AA2543" s="145"/>
      <c r="AB2543" s="145"/>
      <c r="AC2543" s="145"/>
      <c r="AD2543" s="145"/>
      <c r="AE2543" s="145"/>
      <c r="AF2543" s="145"/>
      <c r="AG2543" s="145"/>
      <c r="AH2543" s="145"/>
      <c r="AI2543" s="145"/>
      <c r="AJ2543" s="145"/>
      <c r="AK2543" s="145"/>
      <c r="AL2543" s="145"/>
      <c r="AM2543" s="145"/>
      <c r="AN2543" s="145"/>
      <c r="AO2543" s="145"/>
      <c r="AP2543" s="145"/>
      <c r="AQ2543" s="145"/>
      <c r="AR2543" s="145"/>
      <c r="AS2543" s="145"/>
      <c r="AT2543" s="145"/>
      <c r="AU2543" s="145"/>
      <c r="AV2543" s="145"/>
      <c r="AW2543" s="145"/>
      <c r="AX2543" s="145"/>
      <c r="AY2543" s="145"/>
      <c r="AZ2543" s="145"/>
      <c r="BA2543" s="145"/>
      <c r="BB2543" s="145"/>
      <c r="BC2543" s="145"/>
      <c r="BD2543" s="145"/>
      <c r="BE2543" s="145"/>
      <c r="BF2543" s="145"/>
      <c r="BG2543" s="145"/>
      <c r="BH2543" s="145"/>
      <c r="BI2543" s="145"/>
      <c r="BJ2543" s="145"/>
      <c r="BK2543" s="145"/>
      <c r="BL2543" s="145"/>
      <c r="BM2543" s="145"/>
      <c r="BN2543" s="145"/>
      <c r="BO2543" s="145"/>
      <c r="BP2543" s="145"/>
      <c r="BQ2543" s="145"/>
      <c r="BR2543" s="145"/>
      <c r="BS2543" s="145"/>
      <c r="BT2543" s="145"/>
      <c r="BU2543" s="145"/>
      <c r="BV2543" s="145"/>
      <c r="BW2543" s="145"/>
      <c r="BX2543" s="145"/>
      <c r="BY2543" s="145"/>
      <c r="BZ2543" s="145"/>
      <c r="CA2543" s="145"/>
      <c r="CB2543" s="145"/>
      <c r="CC2543" s="145"/>
      <c r="CD2543" s="145"/>
      <c r="CE2543" s="145"/>
      <c r="CF2543" s="145"/>
      <c r="CG2543" s="145"/>
      <c r="CH2543" s="145"/>
      <c r="CI2543" s="145"/>
      <c r="CJ2543" s="145"/>
      <c r="CK2543" s="145"/>
      <c r="CL2543" s="145"/>
      <c r="CM2543" s="145"/>
      <c r="CN2543" s="145"/>
      <c r="CO2543" s="145"/>
      <c r="CP2543" s="145"/>
      <c r="CQ2543" s="145"/>
      <c r="CR2543" s="145"/>
      <c r="CS2543" s="145"/>
      <c r="CT2543" s="145"/>
      <c r="CU2543" s="145"/>
      <c r="CV2543" s="145"/>
      <c r="CW2543" s="145"/>
      <c r="CX2543" s="145"/>
      <c r="CY2543" s="145"/>
      <c r="CZ2543" s="145"/>
      <c r="DA2543" s="145"/>
      <c r="DB2543" s="145"/>
      <c r="DC2543" s="145"/>
      <c r="DD2543" s="145"/>
      <c r="DE2543" s="145"/>
      <c r="DF2543" s="145"/>
      <c r="DG2543" s="145"/>
      <c r="DH2543" s="145"/>
      <c r="DI2543" s="145"/>
      <c r="DJ2543" s="145"/>
      <c r="DK2543" s="145"/>
      <c r="DL2543" s="145"/>
      <c r="DM2543" s="145"/>
      <c r="DN2543" s="145"/>
      <c r="DO2543" s="145"/>
      <c r="DP2543" s="145"/>
      <c r="DQ2543" s="145"/>
      <c r="DR2543" s="145"/>
      <c r="DS2543" s="145"/>
      <c r="DT2543" s="145"/>
      <c r="DU2543" s="145"/>
      <c r="DV2543" s="145"/>
      <c r="DW2543" s="145"/>
      <c r="DX2543" s="145"/>
      <c r="DY2543" s="145"/>
      <c r="DZ2543" s="145"/>
      <c r="EA2543" s="145"/>
      <c r="EB2543" s="145"/>
      <c r="EC2543" s="145"/>
      <c r="ED2543" s="145"/>
      <c r="EE2543" s="145"/>
      <c r="EF2543" s="145"/>
      <c r="EG2543" s="145"/>
      <c r="EH2543" s="145"/>
      <c r="EI2543" s="145"/>
      <c r="EJ2543" s="145"/>
      <c r="EK2543" s="145"/>
      <c r="EL2543" s="145"/>
      <c r="EM2543" s="145"/>
      <c r="EN2543" s="145"/>
      <c r="EO2543" s="145"/>
      <c r="EP2543" s="145"/>
      <c r="EQ2543" s="145"/>
      <c r="ER2543" s="145"/>
      <c r="ES2543" s="145"/>
      <c r="ET2543" s="145"/>
      <c r="EU2543" s="145"/>
      <c r="EV2543" s="145"/>
      <c r="EW2543" s="145"/>
      <c r="EX2543" s="145"/>
      <c r="EY2543" s="145"/>
      <c r="EZ2543" s="145"/>
      <c r="FA2543" s="145"/>
      <c r="FB2543" s="145"/>
      <c r="FC2543" s="145"/>
      <c r="FD2543" s="145"/>
      <c r="FE2543" s="145"/>
      <c r="FF2543" s="145"/>
      <c r="FG2543" s="145"/>
      <c r="FH2543" s="145"/>
      <c r="FI2543" s="145"/>
      <c r="FJ2543" s="145"/>
      <c r="FK2543" s="145"/>
      <c r="FL2543" s="145"/>
      <c r="FM2543" s="145"/>
      <c r="FN2543" s="145"/>
      <c r="FO2543" s="145"/>
      <c r="FP2543" s="145"/>
      <c r="FQ2543" s="145"/>
      <c r="FR2543" s="145"/>
      <c r="FS2543" s="145"/>
      <c r="FT2543" s="145"/>
      <c r="FU2543" s="145"/>
      <c r="FV2543" s="145"/>
      <c r="FW2543" s="145"/>
      <c r="FX2543" s="145"/>
      <c r="FY2543" s="145"/>
      <c r="FZ2543" s="145"/>
      <c r="GA2543" s="145"/>
      <c r="GB2543" s="145"/>
      <c r="GC2543" s="145"/>
      <c r="GD2543" s="145"/>
      <c r="GE2543" s="145"/>
      <c r="GF2543" s="145"/>
      <c r="GG2543" s="145"/>
      <c r="GH2543" s="145"/>
      <c r="GI2543" s="145"/>
      <c r="GJ2543" s="145"/>
      <c r="GK2543" s="145"/>
      <c r="GL2543" s="145"/>
      <c r="GM2543" s="145"/>
      <c r="GN2543" s="145"/>
      <c r="GO2543" s="145"/>
      <c r="GP2543" s="145"/>
      <c r="GQ2543" s="145"/>
      <c r="GR2543" s="145"/>
      <c r="GS2543" s="145"/>
      <c r="GT2543" s="145"/>
      <c r="GU2543" s="145"/>
      <c r="GV2543" s="145"/>
      <c r="GW2543" s="145"/>
      <c r="GX2543" s="145"/>
      <c r="GY2543" s="145"/>
      <c r="GZ2543" s="145"/>
      <c r="HA2543" s="145"/>
      <c r="HB2543" s="145"/>
      <c r="HC2543" s="145"/>
      <c r="HD2543" s="145"/>
      <c r="HE2543" s="145"/>
      <c r="HF2543" s="145"/>
    </row>
    <row r="2544" spans="1:214" x14ac:dyDescent="0.35">
      <c r="A2544" s="271"/>
      <c r="B2544" s="271"/>
      <c r="C2544" s="279"/>
      <c r="D2544" s="274"/>
      <c r="E2544" s="274"/>
      <c r="F2544" s="283"/>
      <c r="G2544" s="271"/>
      <c r="H2544" s="136" t="s">
        <v>75</v>
      </c>
      <c r="I2544" s="181">
        <f>D2542*K2544</f>
        <v>46816</v>
      </c>
      <c r="J2544" s="181">
        <f>I2544/D2542</f>
        <v>112</v>
      </c>
      <c r="K2544" s="181">
        <v>112</v>
      </c>
      <c r="L2544" s="145"/>
      <c r="M2544" s="145"/>
      <c r="N2544" s="145"/>
      <c r="O2544" s="145"/>
      <c r="P2544" s="145"/>
      <c r="Q2544" s="145"/>
      <c r="R2544" s="145"/>
      <c r="S2544" s="145"/>
      <c r="T2544" s="145"/>
      <c r="U2544" s="145"/>
      <c r="V2544" s="145"/>
      <c r="W2544" s="145"/>
      <c r="X2544" s="145"/>
      <c r="Y2544" s="145"/>
      <c r="Z2544" s="145"/>
      <c r="AA2544" s="145"/>
      <c r="AB2544" s="145"/>
      <c r="AC2544" s="145"/>
      <c r="AD2544" s="145"/>
      <c r="AE2544" s="145"/>
      <c r="AF2544" s="145"/>
      <c r="AG2544" s="145"/>
      <c r="AH2544" s="145"/>
      <c r="AI2544" s="145"/>
      <c r="AJ2544" s="145"/>
      <c r="AK2544" s="145"/>
      <c r="AL2544" s="145"/>
      <c r="AM2544" s="145"/>
      <c r="AN2544" s="145"/>
      <c r="AO2544" s="145"/>
      <c r="AP2544" s="145"/>
      <c r="AQ2544" s="145"/>
      <c r="AR2544" s="145"/>
      <c r="AS2544" s="145"/>
      <c r="AT2544" s="145"/>
      <c r="AU2544" s="145"/>
      <c r="AV2544" s="145"/>
      <c r="AW2544" s="145"/>
      <c r="AX2544" s="145"/>
      <c r="AY2544" s="145"/>
      <c r="AZ2544" s="145"/>
      <c r="BA2544" s="145"/>
      <c r="BB2544" s="145"/>
      <c r="BC2544" s="145"/>
      <c r="BD2544" s="145"/>
      <c r="BE2544" s="145"/>
      <c r="BF2544" s="145"/>
      <c r="BG2544" s="145"/>
      <c r="BH2544" s="145"/>
      <c r="BI2544" s="145"/>
      <c r="BJ2544" s="145"/>
      <c r="BK2544" s="145"/>
      <c r="BL2544" s="145"/>
      <c r="BM2544" s="145"/>
      <c r="BN2544" s="145"/>
      <c r="BO2544" s="145"/>
      <c r="BP2544" s="145"/>
      <c r="BQ2544" s="145"/>
      <c r="BR2544" s="145"/>
      <c r="BS2544" s="145"/>
      <c r="BT2544" s="145"/>
      <c r="BU2544" s="145"/>
      <c r="BV2544" s="145"/>
      <c r="BW2544" s="145"/>
      <c r="BX2544" s="145"/>
      <c r="BY2544" s="145"/>
      <c r="BZ2544" s="145"/>
      <c r="CA2544" s="145"/>
      <c r="CB2544" s="145"/>
      <c r="CC2544" s="145"/>
      <c r="CD2544" s="145"/>
      <c r="CE2544" s="145"/>
      <c r="CF2544" s="145"/>
      <c r="CG2544" s="145"/>
      <c r="CH2544" s="145"/>
      <c r="CI2544" s="145"/>
      <c r="CJ2544" s="145"/>
      <c r="CK2544" s="145"/>
      <c r="CL2544" s="145"/>
      <c r="CM2544" s="145"/>
      <c r="CN2544" s="145"/>
      <c r="CO2544" s="145"/>
      <c r="CP2544" s="145"/>
      <c r="CQ2544" s="145"/>
      <c r="CR2544" s="145"/>
      <c r="CS2544" s="145"/>
      <c r="CT2544" s="145"/>
      <c r="CU2544" s="145"/>
      <c r="CV2544" s="145"/>
      <c r="CW2544" s="145"/>
      <c r="CX2544" s="145"/>
      <c r="CY2544" s="145"/>
      <c r="CZ2544" s="145"/>
      <c r="DA2544" s="145"/>
      <c r="DB2544" s="145"/>
      <c r="DC2544" s="145"/>
      <c r="DD2544" s="145"/>
      <c r="DE2544" s="145"/>
      <c r="DF2544" s="145"/>
      <c r="DG2544" s="145"/>
      <c r="DH2544" s="145"/>
      <c r="DI2544" s="145"/>
      <c r="DJ2544" s="145"/>
      <c r="DK2544" s="145"/>
      <c r="DL2544" s="145"/>
      <c r="DM2544" s="145"/>
      <c r="DN2544" s="145"/>
      <c r="DO2544" s="145"/>
      <c r="DP2544" s="145"/>
      <c r="DQ2544" s="145"/>
      <c r="DR2544" s="145"/>
      <c r="DS2544" s="145"/>
      <c r="DT2544" s="145"/>
      <c r="DU2544" s="145"/>
      <c r="DV2544" s="145"/>
      <c r="DW2544" s="145"/>
      <c r="DX2544" s="145"/>
      <c r="DY2544" s="145"/>
      <c r="DZ2544" s="145"/>
      <c r="EA2544" s="145"/>
      <c r="EB2544" s="145"/>
      <c r="EC2544" s="145"/>
      <c r="ED2544" s="145"/>
      <c r="EE2544" s="145"/>
      <c r="EF2544" s="145"/>
      <c r="EG2544" s="145"/>
      <c r="EH2544" s="145"/>
      <c r="EI2544" s="145"/>
      <c r="EJ2544" s="145"/>
      <c r="EK2544" s="145"/>
      <c r="EL2544" s="145"/>
      <c r="EM2544" s="145"/>
      <c r="EN2544" s="145"/>
      <c r="EO2544" s="145"/>
      <c r="EP2544" s="145"/>
      <c r="EQ2544" s="145"/>
      <c r="ER2544" s="145"/>
      <c r="ES2544" s="145"/>
      <c r="ET2544" s="145"/>
      <c r="EU2544" s="145"/>
      <c r="EV2544" s="145"/>
      <c r="EW2544" s="145"/>
      <c r="EX2544" s="145"/>
      <c r="EY2544" s="145"/>
      <c r="EZ2544" s="145"/>
      <c r="FA2544" s="145"/>
      <c r="FB2544" s="145"/>
      <c r="FC2544" s="145"/>
      <c r="FD2544" s="145"/>
      <c r="FE2544" s="145"/>
      <c r="FF2544" s="145"/>
      <c r="FG2544" s="145"/>
      <c r="FH2544" s="145"/>
      <c r="FI2544" s="145"/>
      <c r="FJ2544" s="145"/>
      <c r="FK2544" s="145"/>
      <c r="FL2544" s="145"/>
      <c r="FM2544" s="145"/>
      <c r="FN2544" s="145"/>
      <c r="FO2544" s="145"/>
      <c r="FP2544" s="145"/>
      <c r="FQ2544" s="145"/>
      <c r="FR2544" s="145"/>
      <c r="FS2544" s="145"/>
      <c r="FT2544" s="145"/>
      <c r="FU2544" s="145"/>
      <c r="FV2544" s="145"/>
      <c r="FW2544" s="145"/>
      <c r="FX2544" s="145"/>
      <c r="FY2544" s="145"/>
      <c r="FZ2544" s="145"/>
      <c r="GA2544" s="145"/>
      <c r="GB2544" s="145"/>
      <c r="GC2544" s="145"/>
      <c r="GD2544" s="145"/>
      <c r="GE2544" s="145"/>
      <c r="GF2544" s="145"/>
      <c r="GG2544" s="145"/>
      <c r="GH2544" s="145"/>
      <c r="GI2544" s="145"/>
      <c r="GJ2544" s="145"/>
      <c r="GK2544" s="145"/>
      <c r="GL2544" s="145"/>
      <c r="GM2544" s="145"/>
      <c r="GN2544" s="145"/>
      <c r="GO2544" s="145"/>
      <c r="GP2544" s="145"/>
      <c r="GQ2544" s="145"/>
      <c r="GR2544" s="145"/>
      <c r="GS2544" s="145"/>
      <c r="GT2544" s="145"/>
      <c r="GU2544" s="145"/>
      <c r="GV2544" s="145"/>
      <c r="GW2544" s="145"/>
      <c r="GX2544" s="145"/>
      <c r="GY2544" s="145"/>
      <c r="GZ2544" s="145"/>
      <c r="HA2544" s="145"/>
      <c r="HB2544" s="145"/>
      <c r="HC2544" s="145"/>
      <c r="HD2544" s="145"/>
      <c r="HE2544" s="145"/>
      <c r="HF2544" s="145"/>
    </row>
    <row r="2545" spans="1:215" x14ac:dyDescent="0.35">
      <c r="A2545" s="271">
        <v>1128</v>
      </c>
      <c r="B2545" s="271"/>
      <c r="C2545" s="279"/>
      <c r="D2545" s="274"/>
      <c r="E2545" s="274"/>
      <c r="F2545" s="283"/>
      <c r="G2545" s="271"/>
      <c r="H2545" s="136" t="s">
        <v>676</v>
      </c>
      <c r="I2545" s="181">
        <f>D2542*K2545</f>
        <v>1690810</v>
      </c>
      <c r="J2545" s="181">
        <f>I2545/D2542</f>
        <v>4045</v>
      </c>
      <c r="K2545" s="181">
        <v>4045</v>
      </c>
      <c r="L2545" s="145"/>
      <c r="M2545" s="145"/>
      <c r="N2545" s="145"/>
      <c r="O2545" s="145"/>
      <c r="P2545" s="145"/>
      <c r="Q2545" s="145"/>
      <c r="R2545" s="145"/>
      <c r="S2545" s="145"/>
      <c r="T2545" s="145"/>
      <c r="U2545" s="145"/>
      <c r="V2545" s="145"/>
      <c r="W2545" s="145"/>
      <c r="X2545" s="145"/>
      <c r="Y2545" s="145"/>
      <c r="Z2545" s="145"/>
      <c r="AA2545" s="145"/>
      <c r="AB2545" s="145"/>
      <c r="AC2545" s="145"/>
      <c r="AD2545" s="145"/>
      <c r="AE2545" s="145"/>
      <c r="AF2545" s="145"/>
      <c r="AG2545" s="145"/>
      <c r="AH2545" s="145"/>
      <c r="AI2545" s="145"/>
      <c r="AJ2545" s="145"/>
      <c r="AK2545" s="145"/>
      <c r="AL2545" s="145"/>
      <c r="AM2545" s="145"/>
      <c r="AN2545" s="145"/>
      <c r="AO2545" s="145"/>
      <c r="AP2545" s="145"/>
      <c r="AQ2545" s="145"/>
      <c r="AR2545" s="145"/>
      <c r="AS2545" s="145"/>
      <c r="AT2545" s="145"/>
      <c r="AU2545" s="145"/>
      <c r="AV2545" s="145"/>
      <c r="AW2545" s="145"/>
      <c r="AX2545" s="145"/>
      <c r="AY2545" s="145"/>
      <c r="AZ2545" s="145"/>
      <c r="BA2545" s="145"/>
      <c r="BB2545" s="145"/>
      <c r="BC2545" s="145"/>
      <c r="BD2545" s="145"/>
      <c r="BE2545" s="145"/>
      <c r="BF2545" s="145"/>
      <c r="BG2545" s="145"/>
      <c r="BH2545" s="145"/>
      <c r="BI2545" s="145"/>
      <c r="BJ2545" s="145"/>
      <c r="BK2545" s="145"/>
      <c r="BL2545" s="145"/>
      <c r="BM2545" s="145"/>
      <c r="BN2545" s="145"/>
      <c r="BO2545" s="145"/>
      <c r="BP2545" s="145"/>
      <c r="BQ2545" s="145"/>
      <c r="BR2545" s="145"/>
      <c r="BS2545" s="145"/>
      <c r="BT2545" s="145"/>
      <c r="BU2545" s="145"/>
      <c r="BV2545" s="145"/>
      <c r="BW2545" s="145"/>
      <c r="BX2545" s="145"/>
      <c r="BY2545" s="145"/>
      <c r="BZ2545" s="145"/>
      <c r="CA2545" s="145"/>
      <c r="CB2545" s="145"/>
      <c r="CC2545" s="145"/>
      <c r="CD2545" s="145"/>
      <c r="CE2545" s="145"/>
      <c r="CF2545" s="145"/>
      <c r="CG2545" s="145"/>
      <c r="CH2545" s="145"/>
      <c r="CI2545" s="145"/>
      <c r="CJ2545" s="145"/>
      <c r="CK2545" s="145"/>
      <c r="CL2545" s="145"/>
      <c r="CM2545" s="145"/>
      <c r="CN2545" s="145"/>
      <c r="CO2545" s="145"/>
      <c r="CP2545" s="145"/>
      <c r="CQ2545" s="145"/>
      <c r="CR2545" s="145"/>
      <c r="CS2545" s="145"/>
      <c r="CT2545" s="145"/>
      <c r="CU2545" s="145"/>
      <c r="CV2545" s="145"/>
      <c r="CW2545" s="145"/>
      <c r="CX2545" s="145"/>
      <c r="CY2545" s="145"/>
      <c r="CZ2545" s="145"/>
      <c r="DA2545" s="145"/>
      <c r="DB2545" s="145"/>
      <c r="DC2545" s="145"/>
      <c r="DD2545" s="145"/>
      <c r="DE2545" s="145"/>
      <c r="DF2545" s="145"/>
      <c r="DG2545" s="145"/>
      <c r="DH2545" s="145"/>
      <c r="DI2545" s="145"/>
      <c r="DJ2545" s="145"/>
      <c r="DK2545" s="145"/>
      <c r="DL2545" s="145"/>
      <c r="DM2545" s="145"/>
      <c r="DN2545" s="145"/>
      <c r="DO2545" s="145"/>
      <c r="DP2545" s="145"/>
      <c r="DQ2545" s="145"/>
      <c r="DR2545" s="145"/>
      <c r="DS2545" s="145"/>
      <c r="DT2545" s="145"/>
      <c r="DU2545" s="145"/>
      <c r="DV2545" s="145"/>
      <c r="DW2545" s="145"/>
      <c r="DX2545" s="145"/>
      <c r="DY2545" s="145"/>
      <c r="DZ2545" s="145"/>
      <c r="EA2545" s="145"/>
      <c r="EB2545" s="145"/>
      <c r="EC2545" s="145"/>
      <c r="ED2545" s="145"/>
      <c r="EE2545" s="145"/>
      <c r="EF2545" s="145"/>
      <c r="EG2545" s="145"/>
      <c r="EH2545" s="145"/>
      <c r="EI2545" s="145"/>
      <c r="EJ2545" s="145"/>
      <c r="EK2545" s="145"/>
      <c r="EL2545" s="145"/>
      <c r="EM2545" s="145"/>
      <c r="EN2545" s="145"/>
      <c r="EO2545" s="145"/>
      <c r="EP2545" s="145"/>
      <c r="EQ2545" s="145"/>
      <c r="ER2545" s="145"/>
      <c r="ES2545" s="145"/>
      <c r="ET2545" s="145"/>
      <c r="EU2545" s="145"/>
      <c r="EV2545" s="145"/>
      <c r="EW2545" s="145"/>
      <c r="EX2545" s="145"/>
      <c r="EY2545" s="145"/>
      <c r="EZ2545" s="145"/>
      <c r="FA2545" s="145"/>
      <c r="FB2545" s="145"/>
      <c r="FC2545" s="145"/>
      <c r="FD2545" s="145"/>
      <c r="FE2545" s="145"/>
      <c r="FF2545" s="145"/>
      <c r="FG2545" s="145"/>
      <c r="FH2545" s="145"/>
      <c r="FI2545" s="145"/>
      <c r="FJ2545" s="145"/>
      <c r="FK2545" s="145"/>
      <c r="FL2545" s="145"/>
      <c r="FM2545" s="145"/>
      <c r="FN2545" s="145"/>
      <c r="FO2545" s="145"/>
      <c r="FP2545" s="145"/>
      <c r="FQ2545" s="145"/>
      <c r="FR2545" s="145"/>
      <c r="FS2545" s="145"/>
      <c r="FT2545" s="145"/>
      <c r="FU2545" s="145"/>
      <c r="FV2545" s="145"/>
      <c r="FW2545" s="145"/>
      <c r="FX2545" s="145"/>
      <c r="FY2545" s="145"/>
      <c r="FZ2545" s="145"/>
      <c r="GA2545" s="145"/>
      <c r="GB2545" s="145"/>
      <c r="GC2545" s="145"/>
      <c r="GD2545" s="145"/>
      <c r="GE2545" s="145"/>
      <c r="GF2545" s="145"/>
      <c r="GG2545" s="145"/>
      <c r="GH2545" s="145"/>
      <c r="GI2545" s="145"/>
      <c r="GJ2545" s="145"/>
      <c r="GK2545" s="145"/>
      <c r="GL2545" s="145"/>
      <c r="GM2545" s="145"/>
      <c r="GN2545" s="145"/>
      <c r="GO2545" s="145"/>
      <c r="GP2545" s="145"/>
      <c r="GQ2545" s="145"/>
      <c r="GR2545" s="145"/>
      <c r="GS2545" s="145"/>
      <c r="GT2545" s="145"/>
      <c r="GU2545" s="145"/>
      <c r="GV2545" s="145"/>
      <c r="GW2545" s="145"/>
      <c r="GX2545" s="145"/>
      <c r="GY2545" s="145"/>
      <c r="GZ2545" s="145"/>
      <c r="HA2545" s="145"/>
      <c r="HB2545" s="145"/>
      <c r="HC2545" s="145"/>
      <c r="HD2545" s="145"/>
      <c r="HE2545" s="145"/>
      <c r="HF2545" s="145"/>
    </row>
    <row r="2546" spans="1:215" x14ac:dyDescent="0.35">
      <c r="A2546" s="272">
        <v>1129</v>
      </c>
      <c r="B2546" s="272"/>
      <c r="C2546" s="285"/>
      <c r="D2546" s="275"/>
      <c r="E2546" s="275"/>
      <c r="F2546" s="284"/>
      <c r="G2546" s="272"/>
      <c r="H2546" s="136" t="s">
        <v>75</v>
      </c>
      <c r="I2546" s="181">
        <f>D2542*K2546</f>
        <v>36366</v>
      </c>
      <c r="J2546" s="181">
        <f>I2546/D2542</f>
        <v>87</v>
      </c>
      <c r="K2546" s="181">
        <v>87</v>
      </c>
      <c r="L2546" s="145"/>
      <c r="M2546" s="145"/>
      <c r="N2546" s="145"/>
      <c r="O2546" s="145"/>
      <c r="P2546" s="145"/>
      <c r="Q2546" s="145"/>
      <c r="R2546" s="145"/>
      <c r="S2546" s="145"/>
      <c r="T2546" s="145"/>
      <c r="U2546" s="145"/>
      <c r="V2546" s="145"/>
      <c r="W2546" s="145"/>
      <c r="X2546" s="145"/>
      <c r="Y2546" s="145"/>
      <c r="Z2546" s="145"/>
      <c r="AA2546" s="145"/>
      <c r="AB2546" s="145"/>
      <c r="AC2546" s="145"/>
      <c r="AD2546" s="145"/>
      <c r="AE2546" s="145"/>
      <c r="AF2546" s="145"/>
      <c r="AG2546" s="145"/>
      <c r="AH2546" s="145"/>
      <c r="AI2546" s="145"/>
      <c r="AJ2546" s="145"/>
      <c r="AK2546" s="145"/>
      <c r="AL2546" s="145"/>
      <c r="AM2546" s="145"/>
      <c r="AN2546" s="145"/>
      <c r="AO2546" s="145"/>
      <c r="AP2546" s="145"/>
      <c r="AQ2546" s="145"/>
      <c r="AR2546" s="145"/>
      <c r="AS2546" s="145"/>
      <c r="AT2546" s="145"/>
      <c r="AU2546" s="145"/>
      <c r="AV2546" s="145"/>
      <c r="AW2546" s="145"/>
      <c r="AX2546" s="145"/>
      <c r="AY2546" s="145"/>
      <c r="AZ2546" s="145"/>
      <c r="BA2546" s="145"/>
      <c r="BB2546" s="145"/>
      <c r="BC2546" s="145"/>
      <c r="BD2546" s="145"/>
      <c r="BE2546" s="145"/>
      <c r="BF2546" s="145"/>
      <c r="BG2546" s="145"/>
      <c r="BH2546" s="145"/>
      <c r="BI2546" s="145"/>
      <c r="BJ2546" s="145"/>
      <c r="BK2546" s="145"/>
      <c r="BL2546" s="145"/>
      <c r="BM2546" s="145"/>
      <c r="BN2546" s="145"/>
      <c r="BO2546" s="145"/>
      <c r="BP2546" s="145"/>
      <c r="BQ2546" s="145"/>
      <c r="BR2546" s="145"/>
      <c r="BS2546" s="145"/>
      <c r="BT2546" s="145"/>
      <c r="BU2546" s="145"/>
      <c r="BV2546" s="145"/>
      <c r="BW2546" s="145"/>
      <c r="BX2546" s="145"/>
      <c r="BY2546" s="145"/>
      <c r="BZ2546" s="145"/>
      <c r="CA2546" s="145"/>
      <c r="CB2546" s="145"/>
      <c r="CC2546" s="145"/>
      <c r="CD2546" s="145"/>
      <c r="CE2546" s="145"/>
      <c r="CF2546" s="145"/>
      <c r="CG2546" s="145"/>
      <c r="CH2546" s="145"/>
      <c r="CI2546" s="145"/>
      <c r="CJ2546" s="145"/>
      <c r="CK2546" s="145"/>
      <c r="CL2546" s="145"/>
      <c r="CM2546" s="145"/>
      <c r="CN2546" s="145"/>
      <c r="CO2546" s="145"/>
      <c r="CP2546" s="145"/>
      <c r="CQ2546" s="145"/>
      <c r="CR2546" s="145"/>
      <c r="CS2546" s="145"/>
      <c r="CT2546" s="145"/>
      <c r="CU2546" s="145"/>
      <c r="CV2546" s="145"/>
      <c r="CW2546" s="145"/>
      <c r="CX2546" s="145"/>
      <c r="CY2546" s="145"/>
      <c r="CZ2546" s="145"/>
      <c r="DA2546" s="145"/>
      <c r="DB2546" s="145"/>
      <c r="DC2546" s="145"/>
      <c r="DD2546" s="145"/>
      <c r="DE2546" s="145"/>
      <c r="DF2546" s="145"/>
      <c r="DG2546" s="145"/>
      <c r="DH2546" s="145"/>
      <c r="DI2546" s="145"/>
      <c r="DJ2546" s="145"/>
      <c r="DK2546" s="145"/>
      <c r="DL2546" s="145"/>
      <c r="DM2546" s="145"/>
      <c r="DN2546" s="145"/>
      <c r="DO2546" s="145"/>
      <c r="DP2546" s="145"/>
      <c r="DQ2546" s="145"/>
      <c r="DR2546" s="145"/>
      <c r="DS2546" s="145"/>
      <c r="DT2546" s="145"/>
      <c r="DU2546" s="145"/>
      <c r="DV2546" s="145"/>
      <c r="DW2546" s="145"/>
      <c r="DX2546" s="145"/>
      <c r="DY2546" s="145"/>
      <c r="DZ2546" s="145"/>
      <c r="EA2546" s="145"/>
      <c r="EB2546" s="145"/>
      <c r="EC2546" s="145"/>
      <c r="ED2546" s="145"/>
      <c r="EE2546" s="145"/>
      <c r="EF2546" s="145"/>
      <c r="EG2546" s="145"/>
      <c r="EH2546" s="145"/>
      <c r="EI2546" s="145"/>
      <c r="EJ2546" s="145"/>
      <c r="EK2546" s="145"/>
      <c r="EL2546" s="145"/>
      <c r="EM2546" s="145"/>
      <c r="EN2546" s="145"/>
      <c r="EO2546" s="145"/>
      <c r="EP2546" s="145"/>
      <c r="EQ2546" s="145"/>
      <c r="ER2546" s="145"/>
      <c r="ES2546" s="145"/>
      <c r="ET2546" s="145"/>
      <c r="EU2546" s="145"/>
      <c r="EV2546" s="145"/>
      <c r="EW2546" s="145"/>
      <c r="EX2546" s="145"/>
      <c r="EY2546" s="145"/>
      <c r="EZ2546" s="145"/>
      <c r="FA2546" s="145"/>
      <c r="FB2546" s="145"/>
      <c r="FC2546" s="145"/>
      <c r="FD2546" s="145"/>
      <c r="FE2546" s="145"/>
      <c r="FF2546" s="145"/>
      <c r="FG2546" s="145"/>
      <c r="FH2546" s="145"/>
      <c r="FI2546" s="145"/>
      <c r="FJ2546" s="145"/>
      <c r="FK2546" s="145"/>
      <c r="FL2546" s="145"/>
      <c r="FM2546" s="145"/>
      <c r="FN2546" s="145"/>
      <c r="FO2546" s="145"/>
      <c r="FP2546" s="145"/>
      <c r="FQ2546" s="145"/>
      <c r="FR2546" s="145"/>
      <c r="FS2546" s="145"/>
      <c r="FT2546" s="145"/>
      <c r="FU2546" s="145"/>
      <c r="FV2546" s="145"/>
      <c r="FW2546" s="145"/>
      <c r="FX2546" s="145"/>
      <c r="FY2546" s="145"/>
      <c r="FZ2546" s="145"/>
      <c r="GA2546" s="145"/>
      <c r="GB2546" s="145"/>
      <c r="GC2546" s="145"/>
      <c r="GD2546" s="145"/>
      <c r="GE2546" s="145"/>
      <c r="GF2546" s="145"/>
      <c r="GG2546" s="145"/>
      <c r="GH2546" s="145"/>
      <c r="GI2546" s="145"/>
      <c r="GJ2546" s="145"/>
      <c r="GK2546" s="145"/>
      <c r="GL2546" s="145"/>
      <c r="GM2546" s="145"/>
      <c r="GN2546" s="145"/>
      <c r="GO2546" s="145"/>
      <c r="GP2546" s="145"/>
      <c r="GQ2546" s="145"/>
      <c r="GR2546" s="145"/>
      <c r="GS2546" s="145"/>
      <c r="GT2546" s="145"/>
      <c r="GU2546" s="145"/>
      <c r="GV2546" s="145"/>
      <c r="GW2546" s="145"/>
      <c r="GX2546" s="145"/>
      <c r="GY2546" s="145"/>
      <c r="GZ2546" s="145"/>
      <c r="HA2546" s="145"/>
      <c r="HB2546" s="145"/>
      <c r="HC2546" s="145"/>
      <c r="HD2546" s="145"/>
      <c r="HE2546" s="145"/>
      <c r="HF2546" s="145"/>
    </row>
    <row r="2547" spans="1:215" x14ac:dyDescent="0.35">
      <c r="A2547" s="270">
        <f>A2542+1</f>
        <v>7</v>
      </c>
      <c r="B2547" s="270">
        <v>5423</v>
      </c>
      <c r="C2547" s="278" t="s">
        <v>601</v>
      </c>
      <c r="D2547" s="273">
        <v>2954.3</v>
      </c>
      <c r="E2547" s="273" t="s">
        <v>74</v>
      </c>
      <c r="F2547" s="282">
        <v>5</v>
      </c>
      <c r="G2547" s="270" t="s">
        <v>71</v>
      </c>
      <c r="H2547" s="136" t="s">
        <v>72</v>
      </c>
      <c r="I2547" s="181">
        <f>I2548</f>
        <v>256734.64</v>
      </c>
      <c r="J2547" s="181">
        <f>J2548</f>
        <v>86.9</v>
      </c>
      <c r="K2547" s="181">
        <f>K2548</f>
        <v>172</v>
      </c>
      <c r="L2547" s="145"/>
      <c r="M2547" s="145"/>
      <c r="N2547" s="145"/>
      <c r="O2547" s="145"/>
      <c r="P2547" s="145"/>
      <c r="Q2547" s="145"/>
      <c r="R2547" s="145"/>
      <c r="S2547" s="145"/>
      <c r="T2547" s="145"/>
      <c r="U2547" s="145"/>
      <c r="V2547" s="145"/>
      <c r="W2547" s="145"/>
      <c r="X2547" s="145"/>
      <c r="Y2547" s="145"/>
      <c r="Z2547" s="145"/>
      <c r="AA2547" s="145"/>
      <c r="AB2547" s="145"/>
      <c r="AC2547" s="145"/>
      <c r="AD2547" s="145"/>
      <c r="AE2547" s="145"/>
      <c r="AF2547" s="145"/>
      <c r="AG2547" s="145"/>
      <c r="AH2547" s="145"/>
      <c r="AI2547" s="145"/>
      <c r="AJ2547" s="145"/>
      <c r="AK2547" s="145"/>
      <c r="AL2547" s="145"/>
      <c r="AM2547" s="145"/>
      <c r="AN2547" s="145"/>
      <c r="AO2547" s="145"/>
      <c r="AP2547" s="145"/>
      <c r="AQ2547" s="145"/>
      <c r="AR2547" s="145"/>
      <c r="AS2547" s="145"/>
      <c r="AT2547" s="145"/>
      <c r="AU2547" s="145"/>
      <c r="AV2547" s="145"/>
      <c r="AW2547" s="145"/>
      <c r="AX2547" s="145"/>
      <c r="AY2547" s="145"/>
      <c r="AZ2547" s="145"/>
      <c r="BA2547" s="145"/>
      <c r="BB2547" s="145"/>
      <c r="BC2547" s="145"/>
      <c r="BD2547" s="145"/>
      <c r="BE2547" s="145"/>
      <c r="BF2547" s="145"/>
      <c r="BG2547" s="145"/>
      <c r="BH2547" s="145"/>
      <c r="BI2547" s="145"/>
      <c r="BJ2547" s="145"/>
      <c r="BK2547" s="145"/>
      <c r="BL2547" s="145"/>
      <c r="BM2547" s="145"/>
      <c r="BN2547" s="145"/>
      <c r="BO2547" s="145"/>
      <c r="BP2547" s="145"/>
      <c r="BQ2547" s="145"/>
      <c r="BR2547" s="145"/>
      <c r="BS2547" s="145"/>
      <c r="BT2547" s="145"/>
      <c r="BU2547" s="145"/>
      <c r="BV2547" s="145"/>
      <c r="BW2547" s="145"/>
      <c r="BX2547" s="145"/>
      <c r="BY2547" s="145"/>
      <c r="BZ2547" s="145"/>
      <c r="CA2547" s="145"/>
      <c r="CB2547" s="145"/>
      <c r="CC2547" s="145"/>
      <c r="CD2547" s="145"/>
      <c r="CE2547" s="145"/>
      <c r="CF2547" s="145"/>
      <c r="CG2547" s="145"/>
      <c r="CH2547" s="145"/>
      <c r="CI2547" s="145"/>
      <c r="CJ2547" s="145"/>
      <c r="CK2547" s="145"/>
      <c r="CL2547" s="145"/>
      <c r="CM2547" s="145"/>
      <c r="CN2547" s="145"/>
      <c r="CO2547" s="145"/>
      <c r="CP2547" s="145"/>
      <c r="CQ2547" s="145"/>
      <c r="CR2547" s="145"/>
      <c r="CS2547" s="145"/>
      <c r="CT2547" s="145"/>
      <c r="CU2547" s="145"/>
      <c r="CV2547" s="145"/>
      <c r="CW2547" s="145"/>
      <c r="CX2547" s="145"/>
      <c r="CY2547" s="145"/>
      <c r="CZ2547" s="145"/>
      <c r="DA2547" s="145"/>
      <c r="DB2547" s="145"/>
      <c r="DC2547" s="145"/>
      <c r="DD2547" s="145"/>
      <c r="DE2547" s="145"/>
      <c r="DF2547" s="145"/>
      <c r="DG2547" s="145"/>
      <c r="DH2547" s="145"/>
      <c r="DI2547" s="145"/>
      <c r="DJ2547" s="145"/>
      <c r="DK2547" s="145"/>
      <c r="DL2547" s="145"/>
      <c r="DM2547" s="145"/>
      <c r="DN2547" s="145"/>
      <c r="DO2547" s="145"/>
      <c r="DP2547" s="145"/>
      <c r="DQ2547" s="145"/>
      <c r="DR2547" s="145"/>
      <c r="DS2547" s="145"/>
      <c r="DT2547" s="145"/>
      <c r="DU2547" s="145"/>
      <c r="DV2547" s="145"/>
      <c r="DW2547" s="145"/>
      <c r="DX2547" s="145"/>
      <c r="DY2547" s="145"/>
      <c r="DZ2547" s="145"/>
      <c r="EA2547" s="145"/>
      <c r="EB2547" s="145"/>
      <c r="EC2547" s="145"/>
      <c r="ED2547" s="145"/>
      <c r="EE2547" s="145"/>
      <c r="EF2547" s="145"/>
      <c r="EG2547" s="145"/>
      <c r="EH2547" s="145"/>
      <c r="EI2547" s="145"/>
      <c r="EJ2547" s="145"/>
      <c r="EK2547" s="145"/>
      <c r="EL2547" s="145"/>
      <c r="EM2547" s="145"/>
      <c r="EN2547" s="145"/>
      <c r="EO2547" s="145"/>
      <c r="EP2547" s="145"/>
      <c r="EQ2547" s="145"/>
      <c r="ER2547" s="145"/>
      <c r="ES2547" s="145"/>
      <c r="ET2547" s="145"/>
      <c r="EU2547" s="145"/>
      <c r="EV2547" s="145"/>
      <c r="EW2547" s="145"/>
      <c r="EX2547" s="145"/>
      <c r="EY2547" s="145"/>
      <c r="EZ2547" s="145"/>
      <c r="FA2547" s="145"/>
      <c r="FB2547" s="145"/>
      <c r="FC2547" s="145"/>
      <c r="FD2547" s="145"/>
      <c r="FE2547" s="145"/>
      <c r="FF2547" s="145"/>
      <c r="FG2547" s="145"/>
      <c r="FH2547" s="145"/>
      <c r="FI2547" s="145"/>
      <c r="FJ2547" s="145"/>
      <c r="FK2547" s="145"/>
      <c r="FL2547" s="145"/>
      <c r="FM2547" s="145"/>
      <c r="FN2547" s="145"/>
      <c r="FO2547" s="145"/>
      <c r="FP2547" s="145"/>
      <c r="FQ2547" s="145"/>
      <c r="FR2547" s="145"/>
      <c r="FS2547" s="145"/>
      <c r="FT2547" s="145"/>
      <c r="FU2547" s="145"/>
      <c r="FV2547" s="145"/>
      <c r="FW2547" s="145"/>
      <c r="FX2547" s="145"/>
      <c r="FY2547" s="145"/>
      <c r="FZ2547" s="145"/>
      <c r="GA2547" s="145"/>
      <c r="GB2547" s="145"/>
      <c r="GC2547" s="145"/>
      <c r="GD2547" s="145"/>
      <c r="GE2547" s="145"/>
      <c r="GF2547" s="145"/>
      <c r="GG2547" s="145"/>
      <c r="GH2547" s="145"/>
      <c r="GI2547" s="145"/>
      <c r="GJ2547" s="145"/>
      <c r="GK2547" s="145"/>
      <c r="GL2547" s="145"/>
      <c r="GM2547" s="145"/>
      <c r="GN2547" s="145"/>
      <c r="GO2547" s="145"/>
      <c r="GP2547" s="145"/>
      <c r="GQ2547" s="145"/>
      <c r="GR2547" s="145"/>
      <c r="GS2547" s="145"/>
      <c r="GT2547" s="145"/>
      <c r="GU2547" s="145"/>
      <c r="GV2547" s="145"/>
      <c r="GW2547" s="145"/>
      <c r="GX2547" s="145"/>
      <c r="GY2547" s="145"/>
      <c r="GZ2547" s="145"/>
      <c r="HA2547" s="145"/>
      <c r="HB2547" s="145"/>
      <c r="HC2547" s="145"/>
      <c r="HD2547" s="145"/>
      <c r="HE2547" s="145"/>
      <c r="HF2547" s="145"/>
    </row>
    <row r="2548" spans="1:215" ht="46.5" x14ac:dyDescent="0.35">
      <c r="A2548" s="271">
        <v>1130</v>
      </c>
      <c r="B2548" s="272"/>
      <c r="C2548" s="279"/>
      <c r="D2548" s="274"/>
      <c r="E2548" s="274"/>
      <c r="F2548" s="283"/>
      <c r="G2548" s="271"/>
      <c r="H2548" s="136" t="s">
        <v>673</v>
      </c>
      <c r="I2548" s="181">
        <f>203557.24+D2547*18</f>
        <v>256734.64</v>
      </c>
      <c r="J2548" s="181">
        <f>I2548/D2547</f>
        <v>86.9</v>
      </c>
      <c r="K2548" s="181">
        <f>154+18</f>
        <v>172</v>
      </c>
      <c r="L2548" s="145"/>
      <c r="M2548" s="145"/>
      <c r="N2548" s="145"/>
      <c r="O2548" s="145"/>
      <c r="P2548" s="145"/>
      <c r="Q2548" s="145"/>
      <c r="R2548" s="145"/>
      <c r="S2548" s="145"/>
      <c r="T2548" s="145"/>
      <c r="U2548" s="145"/>
      <c r="V2548" s="145"/>
      <c r="W2548" s="145"/>
      <c r="X2548" s="145"/>
      <c r="Y2548" s="145"/>
      <c r="Z2548" s="145"/>
      <c r="AA2548" s="145"/>
      <c r="AB2548" s="145"/>
      <c r="AC2548" s="145"/>
      <c r="AD2548" s="145"/>
      <c r="AE2548" s="145"/>
      <c r="AF2548" s="145"/>
      <c r="AG2548" s="145"/>
      <c r="AH2548" s="145"/>
      <c r="AI2548" s="145"/>
      <c r="AJ2548" s="145"/>
      <c r="AK2548" s="145"/>
      <c r="AL2548" s="145"/>
      <c r="AM2548" s="145"/>
      <c r="AN2548" s="145"/>
      <c r="AO2548" s="145"/>
      <c r="AP2548" s="145"/>
      <c r="AQ2548" s="145"/>
      <c r="AR2548" s="145"/>
      <c r="AS2548" s="145"/>
      <c r="AT2548" s="145"/>
      <c r="AU2548" s="145"/>
      <c r="AV2548" s="145"/>
      <c r="AW2548" s="145"/>
      <c r="AX2548" s="145"/>
      <c r="AY2548" s="145"/>
      <c r="AZ2548" s="145"/>
      <c r="BA2548" s="145"/>
      <c r="BB2548" s="145"/>
      <c r="BC2548" s="145"/>
      <c r="BD2548" s="145"/>
      <c r="BE2548" s="145"/>
      <c r="BF2548" s="145"/>
      <c r="BG2548" s="145"/>
      <c r="BH2548" s="145"/>
      <c r="BI2548" s="145"/>
      <c r="BJ2548" s="145"/>
      <c r="BK2548" s="145"/>
      <c r="BL2548" s="145"/>
      <c r="BM2548" s="145"/>
      <c r="BN2548" s="145"/>
      <c r="BO2548" s="145"/>
      <c r="BP2548" s="145"/>
      <c r="BQ2548" s="145"/>
      <c r="BR2548" s="145"/>
      <c r="BS2548" s="145"/>
      <c r="BT2548" s="145"/>
      <c r="BU2548" s="145"/>
      <c r="BV2548" s="145"/>
      <c r="BW2548" s="145"/>
      <c r="BX2548" s="145"/>
      <c r="BY2548" s="145"/>
      <c r="BZ2548" s="145"/>
      <c r="CA2548" s="145"/>
      <c r="CB2548" s="145"/>
      <c r="CC2548" s="145"/>
      <c r="CD2548" s="145"/>
      <c r="CE2548" s="145"/>
      <c r="CF2548" s="145"/>
      <c r="CG2548" s="145"/>
      <c r="CH2548" s="145"/>
      <c r="CI2548" s="145"/>
      <c r="CJ2548" s="145"/>
      <c r="CK2548" s="145"/>
      <c r="CL2548" s="145"/>
      <c r="CM2548" s="145"/>
      <c r="CN2548" s="145"/>
      <c r="CO2548" s="145"/>
      <c r="CP2548" s="145"/>
      <c r="CQ2548" s="145"/>
      <c r="CR2548" s="145"/>
      <c r="CS2548" s="145"/>
      <c r="CT2548" s="145"/>
      <c r="CU2548" s="145"/>
      <c r="CV2548" s="145"/>
      <c r="CW2548" s="145"/>
      <c r="CX2548" s="145"/>
      <c r="CY2548" s="145"/>
      <c r="CZ2548" s="145"/>
      <c r="DA2548" s="145"/>
      <c r="DB2548" s="145"/>
      <c r="DC2548" s="145"/>
      <c r="DD2548" s="145"/>
      <c r="DE2548" s="145"/>
      <c r="DF2548" s="145"/>
      <c r="DG2548" s="145"/>
      <c r="DH2548" s="145"/>
      <c r="DI2548" s="145"/>
      <c r="DJ2548" s="145"/>
      <c r="DK2548" s="145"/>
      <c r="DL2548" s="145"/>
      <c r="DM2548" s="145"/>
      <c r="DN2548" s="145"/>
      <c r="DO2548" s="145"/>
      <c r="DP2548" s="145"/>
      <c r="DQ2548" s="145"/>
      <c r="DR2548" s="145"/>
      <c r="DS2548" s="145"/>
      <c r="DT2548" s="145"/>
      <c r="DU2548" s="145"/>
      <c r="DV2548" s="145"/>
      <c r="DW2548" s="145"/>
      <c r="DX2548" s="145"/>
      <c r="DY2548" s="145"/>
      <c r="DZ2548" s="145"/>
      <c r="EA2548" s="145"/>
      <c r="EB2548" s="145"/>
      <c r="EC2548" s="145"/>
      <c r="ED2548" s="145"/>
      <c r="EE2548" s="145"/>
      <c r="EF2548" s="145"/>
      <c r="EG2548" s="145"/>
      <c r="EH2548" s="145"/>
      <c r="EI2548" s="145"/>
      <c r="EJ2548" s="145"/>
      <c r="EK2548" s="145"/>
      <c r="EL2548" s="145"/>
      <c r="EM2548" s="145"/>
      <c r="EN2548" s="145"/>
      <c r="EO2548" s="145"/>
      <c r="EP2548" s="145"/>
      <c r="EQ2548" s="145"/>
      <c r="ER2548" s="145"/>
      <c r="ES2548" s="145"/>
      <c r="ET2548" s="145"/>
      <c r="EU2548" s="145"/>
      <c r="EV2548" s="145"/>
      <c r="EW2548" s="145"/>
      <c r="EX2548" s="145"/>
      <c r="EY2548" s="145"/>
      <c r="EZ2548" s="145"/>
      <c r="FA2548" s="145"/>
      <c r="FB2548" s="145"/>
      <c r="FC2548" s="145"/>
      <c r="FD2548" s="145"/>
      <c r="FE2548" s="145"/>
      <c r="FF2548" s="145"/>
      <c r="FG2548" s="145"/>
      <c r="FH2548" s="145"/>
      <c r="FI2548" s="145"/>
      <c r="FJ2548" s="145"/>
      <c r="FK2548" s="145"/>
      <c r="FL2548" s="145"/>
      <c r="FM2548" s="145"/>
      <c r="FN2548" s="145"/>
      <c r="FO2548" s="145"/>
      <c r="FP2548" s="145"/>
      <c r="FQ2548" s="145"/>
      <c r="FR2548" s="145"/>
      <c r="FS2548" s="145"/>
      <c r="FT2548" s="145"/>
      <c r="FU2548" s="145"/>
      <c r="FV2548" s="145"/>
      <c r="FW2548" s="145"/>
      <c r="FX2548" s="145"/>
      <c r="FY2548" s="145"/>
      <c r="FZ2548" s="145"/>
      <c r="GA2548" s="145"/>
      <c r="GB2548" s="145"/>
      <c r="GC2548" s="145"/>
      <c r="GD2548" s="145"/>
      <c r="GE2548" s="145"/>
      <c r="GF2548" s="145"/>
      <c r="GG2548" s="145"/>
      <c r="GH2548" s="145"/>
      <c r="GI2548" s="145"/>
      <c r="GJ2548" s="145"/>
      <c r="GK2548" s="145"/>
      <c r="GL2548" s="145"/>
      <c r="GM2548" s="145"/>
      <c r="GN2548" s="145"/>
      <c r="GO2548" s="145"/>
      <c r="GP2548" s="145"/>
      <c r="GQ2548" s="145"/>
      <c r="GR2548" s="145"/>
      <c r="GS2548" s="145"/>
      <c r="GT2548" s="145"/>
      <c r="GU2548" s="145"/>
      <c r="GV2548" s="145"/>
      <c r="GW2548" s="145"/>
      <c r="GX2548" s="145"/>
      <c r="GY2548" s="145"/>
      <c r="GZ2548" s="145"/>
      <c r="HA2548" s="145"/>
      <c r="HB2548" s="145"/>
      <c r="HC2548" s="145"/>
      <c r="HD2548" s="145"/>
      <c r="HE2548" s="145"/>
      <c r="HF2548" s="145"/>
    </row>
    <row r="2549" spans="1:215" x14ac:dyDescent="0.35">
      <c r="A2549" s="270">
        <f>A2547+1</f>
        <v>8</v>
      </c>
      <c r="B2549" s="270">
        <v>5611</v>
      </c>
      <c r="C2549" s="278" t="s">
        <v>695</v>
      </c>
      <c r="D2549" s="273">
        <v>458.4</v>
      </c>
      <c r="E2549" s="273" t="s">
        <v>633</v>
      </c>
      <c r="F2549" s="282">
        <v>2</v>
      </c>
      <c r="G2549" s="270" t="s">
        <v>81</v>
      </c>
      <c r="H2549" s="136" t="s">
        <v>72</v>
      </c>
      <c r="I2549" s="181">
        <f>I2550+I2551</f>
        <v>1712632.04</v>
      </c>
      <c r="J2549" s="181">
        <f>J2550+J2551</f>
        <v>3736.11</v>
      </c>
      <c r="K2549" s="181">
        <f>K2550+K2551</f>
        <v>5813</v>
      </c>
      <c r="L2549" s="145"/>
      <c r="M2549" s="145"/>
      <c r="N2549" s="145"/>
      <c r="O2549" s="145"/>
      <c r="P2549" s="145"/>
      <c r="Q2549" s="145"/>
      <c r="R2549" s="145"/>
      <c r="S2549" s="145"/>
      <c r="T2549" s="145"/>
      <c r="U2549" s="145"/>
      <c r="V2549" s="145"/>
      <c r="W2549" s="145"/>
      <c r="X2549" s="145"/>
      <c r="Y2549" s="145"/>
      <c r="Z2549" s="145"/>
      <c r="AA2549" s="145"/>
      <c r="AB2549" s="145"/>
      <c r="AC2549" s="145"/>
      <c r="AD2549" s="145"/>
      <c r="AE2549" s="145"/>
      <c r="AF2549" s="145"/>
      <c r="AG2549" s="145"/>
      <c r="AH2549" s="145"/>
      <c r="AI2549" s="145"/>
      <c r="AJ2549" s="145"/>
      <c r="AK2549" s="145"/>
      <c r="AL2549" s="145"/>
      <c r="AM2549" s="145"/>
      <c r="AN2549" s="145"/>
      <c r="AO2549" s="145"/>
      <c r="AP2549" s="145"/>
      <c r="AQ2549" s="145"/>
      <c r="AR2549" s="145"/>
      <c r="AS2549" s="145"/>
      <c r="AT2549" s="145"/>
      <c r="AU2549" s="145"/>
      <c r="AV2549" s="145"/>
      <c r="AW2549" s="145"/>
      <c r="AX2549" s="145"/>
      <c r="AY2549" s="145"/>
      <c r="AZ2549" s="145"/>
      <c r="BA2549" s="145"/>
      <c r="BB2549" s="145"/>
      <c r="BC2549" s="145"/>
      <c r="BD2549" s="145"/>
      <c r="BE2549" s="145"/>
      <c r="BF2549" s="145"/>
      <c r="BG2549" s="145"/>
      <c r="BH2549" s="145"/>
      <c r="BI2549" s="145"/>
      <c r="BJ2549" s="145"/>
      <c r="BK2549" s="145"/>
      <c r="BL2549" s="145"/>
      <c r="BM2549" s="145"/>
      <c r="BN2549" s="145"/>
      <c r="BO2549" s="145"/>
      <c r="BP2549" s="145"/>
      <c r="BQ2549" s="145"/>
      <c r="BR2549" s="145"/>
      <c r="BS2549" s="145"/>
      <c r="BT2549" s="145"/>
      <c r="BU2549" s="145"/>
      <c r="BV2549" s="145"/>
      <c r="BW2549" s="145"/>
      <c r="BX2549" s="145"/>
      <c r="BY2549" s="145"/>
      <c r="BZ2549" s="145"/>
      <c r="CA2549" s="145"/>
      <c r="CB2549" s="145"/>
      <c r="CC2549" s="145"/>
      <c r="CD2549" s="145"/>
      <c r="CE2549" s="145"/>
      <c r="CF2549" s="145"/>
      <c r="CG2549" s="145"/>
      <c r="CH2549" s="145"/>
      <c r="CI2549" s="145"/>
      <c r="CJ2549" s="145"/>
      <c r="CK2549" s="145"/>
      <c r="CL2549" s="145"/>
      <c r="CM2549" s="145"/>
      <c r="CN2549" s="145"/>
      <c r="CO2549" s="145"/>
      <c r="CP2549" s="145"/>
      <c r="CQ2549" s="145"/>
      <c r="CR2549" s="145"/>
      <c r="CS2549" s="145"/>
      <c r="CT2549" s="145"/>
      <c r="CU2549" s="145"/>
      <c r="CV2549" s="145"/>
      <c r="CW2549" s="145"/>
      <c r="CX2549" s="145"/>
      <c r="CY2549" s="145"/>
      <c r="CZ2549" s="145"/>
      <c r="DA2549" s="145"/>
      <c r="DB2549" s="145"/>
      <c r="DC2549" s="145"/>
      <c r="DD2549" s="145"/>
      <c r="DE2549" s="145"/>
      <c r="DF2549" s="145"/>
      <c r="DG2549" s="145"/>
      <c r="DH2549" s="145"/>
      <c r="DI2549" s="145"/>
      <c r="DJ2549" s="145"/>
      <c r="DK2549" s="145"/>
      <c r="DL2549" s="145"/>
      <c r="DM2549" s="145"/>
      <c r="DN2549" s="145"/>
      <c r="DO2549" s="145"/>
      <c r="DP2549" s="145"/>
      <c r="DQ2549" s="145"/>
      <c r="DR2549" s="145"/>
      <c r="DS2549" s="145"/>
      <c r="DT2549" s="145"/>
      <c r="DU2549" s="145"/>
      <c r="DV2549" s="145"/>
      <c r="DW2549" s="145"/>
      <c r="DX2549" s="145"/>
      <c r="DY2549" s="145"/>
      <c r="DZ2549" s="145"/>
      <c r="EA2549" s="145"/>
      <c r="EB2549" s="145"/>
      <c r="EC2549" s="145"/>
      <c r="ED2549" s="145"/>
      <c r="EE2549" s="145"/>
      <c r="EF2549" s="145"/>
      <c r="EG2549" s="145"/>
      <c r="EH2549" s="145"/>
      <c r="EI2549" s="145"/>
      <c r="EJ2549" s="145"/>
      <c r="EK2549" s="145"/>
      <c r="EL2549" s="145"/>
      <c r="EM2549" s="145"/>
      <c r="EN2549" s="145"/>
      <c r="EO2549" s="145"/>
      <c r="EP2549" s="145"/>
      <c r="EQ2549" s="145"/>
      <c r="ER2549" s="145"/>
      <c r="ES2549" s="145"/>
      <c r="ET2549" s="145"/>
      <c r="EU2549" s="145"/>
      <c r="EV2549" s="145"/>
      <c r="EW2549" s="145"/>
      <c r="EX2549" s="145"/>
      <c r="EY2549" s="145"/>
      <c r="EZ2549" s="145"/>
      <c r="FA2549" s="145"/>
      <c r="FB2549" s="145"/>
      <c r="FC2549" s="145"/>
      <c r="FD2549" s="145"/>
      <c r="FE2549" s="145"/>
      <c r="FF2549" s="145"/>
      <c r="FG2549" s="145"/>
      <c r="FH2549" s="145"/>
      <c r="FI2549" s="145"/>
      <c r="FJ2549" s="145"/>
      <c r="FK2549" s="145"/>
      <c r="FL2549" s="145"/>
      <c r="FM2549" s="145"/>
      <c r="FN2549" s="145"/>
      <c r="FO2549" s="145"/>
      <c r="FP2549" s="145"/>
      <c r="FQ2549" s="145"/>
      <c r="FR2549" s="145"/>
      <c r="FS2549" s="145"/>
      <c r="FT2549" s="145"/>
      <c r="FU2549" s="145"/>
      <c r="FV2549" s="145"/>
      <c r="FW2549" s="145"/>
      <c r="FX2549" s="145"/>
      <c r="FY2549" s="145"/>
      <c r="FZ2549" s="145"/>
      <c r="GA2549" s="145"/>
      <c r="GB2549" s="145"/>
      <c r="GC2549" s="145"/>
      <c r="GD2549" s="145"/>
      <c r="GE2549" s="145"/>
      <c r="GF2549" s="145"/>
      <c r="GG2549" s="145"/>
      <c r="GH2549" s="145"/>
      <c r="GI2549" s="145"/>
      <c r="GJ2549" s="145"/>
      <c r="GK2549" s="145"/>
      <c r="GL2549" s="145"/>
      <c r="GM2549" s="145"/>
      <c r="GN2549" s="145"/>
      <c r="GO2549" s="145"/>
      <c r="GP2549" s="145"/>
      <c r="GQ2549" s="145"/>
      <c r="GR2549" s="145"/>
      <c r="GS2549" s="145"/>
      <c r="GT2549" s="145"/>
      <c r="GU2549" s="145"/>
      <c r="GV2549" s="145"/>
      <c r="GW2549" s="145"/>
      <c r="GX2549" s="145"/>
      <c r="GY2549" s="145"/>
      <c r="GZ2549" s="145"/>
      <c r="HA2549" s="145"/>
      <c r="HB2549" s="145"/>
      <c r="HC2549" s="145"/>
      <c r="HD2549" s="145"/>
      <c r="HE2549" s="145"/>
      <c r="HF2549" s="145"/>
    </row>
    <row r="2550" spans="1:215" x14ac:dyDescent="0.35">
      <c r="A2550" s="271"/>
      <c r="B2550" s="271"/>
      <c r="C2550" s="279"/>
      <c r="D2550" s="274"/>
      <c r="E2550" s="274"/>
      <c r="F2550" s="283"/>
      <c r="G2550" s="271"/>
      <c r="H2550" s="136" t="s">
        <v>73</v>
      </c>
      <c r="I2550" s="181">
        <v>1676749.6</v>
      </c>
      <c r="J2550" s="181">
        <f>I2550/D2549</f>
        <v>3657.83</v>
      </c>
      <c r="K2550" s="181">
        <v>5691</v>
      </c>
      <c r="L2550" s="145"/>
      <c r="M2550" s="145"/>
      <c r="N2550" s="145"/>
      <c r="O2550" s="145"/>
      <c r="P2550" s="145"/>
      <c r="Q2550" s="145"/>
      <c r="R2550" s="145"/>
      <c r="S2550" s="145"/>
      <c r="T2550" s="145"/>
      <c r="U2550" s="145"/>
      <c r="V2550" s="145"/>
      <c r="W2550" s="145"/>
      <c r="X2550" s="145"/>
      <c r="Y2550" s="145"/>
      <c r="Z2550" s="145"/>
      <c r="AA2550" s="145"/>
      <c r="AB2550" s="145"/>
      <c r="AC2550" s="145"/>
      <c r="AD2550" s="145"/>
      <c r="AE2550" s="145"/>
      <c r="AF2550" s="145"/>
      <c r="AG2550" s="145"/>
      <c r="AH2550" s="145"/>
      <c r="AI2550" s="145"/>
      <c r="AJ2550" s="145"/>
      <c r="AK2550" s="145"/>
      <c r="AL2550" s="145"/>
      <c r="AM2550" s="145"/>
      <c r="AN2550" s="145"/>
      <c r="AO2550" s="145"/>
      <c r="AP2550" s="145"/>
      <c r="AQ2550" s="145"/>
      <c r="AR2550" s="145"/>
      <c r="AS2550" s="145"/>
      <c r="AT2550" s="145"/>
      <c r="AU2550" s="145"/>
      <c r="AV2550" s="145"/>
      <c r="AW2550" s="145"/>
      <c r="AX2550" s="145"/>
      <c r="AY2550" s="145"/>
      <c r="AZ2550" s="145"/>
      <c r="BA2550" s="145"/>
      <c r="BB2550" s="145"/>
      <c r="BC2550" s="145"/>
      <c r="BD2550" s="145"/>
      <c r="BE2550" s="145"/>
      <c r="BF2550" s="145"/>
      <c r="BG2550" s="145"/>
      <c r="BH2550" s="145"/>
      <c r="BI2550" s="145"/>
      <c r="BJ2550" s="145"/>
      <c r="BK2550" s="145"/>
      <c r="BL2550" s="145"/>
      <c r="BM2550" s="145"/>
      <c r="BN2550" s="145"/>
      <c r="BO2550" s="145"/>
      <c r="BP2550" s="145"/>
      <c r="BQ2550" s="145"/>
      <c r="BR2550" s="145"/>
      <c r="BS2550" s="145"/>
      <c r="BT2550" s="145"/>
      <c r="BU2550" s="145"/>
      <c r="BV2550" s="145"/>
      <c r="BW2550" s="145"/>
      <c r="BX2550" s="145"/>
      <c r="BY2550" s="145"/>
      <c r="BZ2550" s="145"/>
      <c r="CA2550" s="145"/>
      <c r="CB2550" s="145"/>
      <c r="CC2550" s="145"/>
      <c r="CD2550" s="145"/>
      <c r="CE2550" s="145"/>
      <c r="CF2550" s="145"/>
      <c r="CG2550" s="145"/>
      <c r="CH2550" s="145"/>
      <c r="CI2550" s="145"/>
      <c r="CJ2550" s="145"/>
      <c r="CK2550" s="145"/>
      <c r="CL2550" s="145"/>
      <c r="CM2550" s="145"/>
      <c r="CN2550" s="145"/>
      <c r="CO2550" s="145"/>
      <c r="CP2550" s="145"/>
      <c r="CQ2550" s="145"/>
      <c r="CR2550" s="145"/>
      <c r="CS2550" s="145"/>
      <c r="CT2550" s="145"/>
      <c r="CU2550" s="145"/>
      <c r="CV2550" s="145"/>
      <c r="CW2550" s="145"/>
      <c r="CX2550" s="145"/>
      <c r="CY2550" s="145"/>
      <c r="CZ2550" s="145"/>
      <c r="DA2550" s="145"/>
      <c r="DB2550" s="145"/>
      <c r="DC2550" s="145"/>
      <c r="DD2550" s="145"/>
      <c r="DE2550" s="145"/>
      <c r="DF2550" s="145"/>
      <c r="DG2550" s="145"/>
      <c r="DH2550" s="145"/>
      <c r="DI2550" s="145"/>
      <c r="DJ2550" s="145"/>
      <c r="DK2550" s="145"/>
      <c r="DL2550" s="145"/>
      <c r="DM2550" s="145"/>
      <c r="DN2550" s="145"/>
      <c r="DO2550" s="145"/>
      <c r="DP2550" s="145"/>
      <c r="DQ2550" s="145"/>
      <c r="DR2550" s="145"/>
      <c r="DS2550" s="145"/>
      <c r="DT2550" s="145"/>
      <c r="DU2550" s="145"/>
      <c r="DV2550" s="145"/>
      <c r="DW2550" s="145"/>
      <c r="DX2550" s="145"/>
      <c r="DY2550" s="145"/>
      <c r="DZ2550" s="145"/>
      <c r="EA2550" s="145"/>
      <c r="EB2550" s="145"/>
      <c r="EC2550" s="145"/>
      <c r="ED2550" s="145"/>
      <c r="EE2550" s="145"/>
      <c r="EF2550" s="145"/>
      <c r="EG2550" s="145"/>
      <c r="EH2550" s="145"/>
      <c r="EI2550" s="145"/>
      <c r="EJ2550" s="145"/>
      <c r="EK2550" s="145"/>
      <c r="EL2550" s="145"/>
      <c r="EM2550" s="145"/>
      <c r="EN2550" s="145"/>
      <c r="EO2550" s="145"/>
      <c r="EP2550" s="145"/>
      <c r="EQ2550" s="145"/>
      <c r="ER2550" s="145"/>
      <c r="ES2550" s="145"/>
      <c r="ET2550" s="145"/>
      <c r="EU2550" s="145"/>
      <c r="EV2550" s="145"/>
      <c r="EW2550" s="145"/>
      <c r="EX2550" s="145"/>
      <c r="EY2550" s="145"/>
      <c r="EZ2550" s="145"/>
      <c r="FA2550" s="145"/>
      <c r="FB2550" s="145"/>
      <c r="FC2550" s="145"/>
      <c r="FD2550" s="145"/>
      <c r="FE2550" s="145"/>
      <c r="FF2550" s="145"/>
      <c r="FG2550" s="145"/>
      <c r="FH2550" s="145"/>
      <c r="FI2550" s="145"/>
      <c r="FJ2550" s="145"/>
      <c r="FK2550" s="145"/>
      <c r="FL2550" s="145"/>
      <c r="FM2550" s="145"/>
      <c r="FN2550" s="145"/>
      <c r="FO2550" s="145"/>
      <c r="FP2550" s="145"/>
      <c r="FQ2550" s="145"/>
      <c r="FR2550" s="145"/>
      <c r="FS2550" s="145"/>
      <c r="FT2550" s="145"/>
      <c r="FU2550" s="145"/>
      <c r="FV2550" s="145"/>
      <c r="FW2550" s="145"/>
      <c r="FX2550" s="145"/>
      <c r="FY2550" s="145"/>
      <c r="FZ2550" s="145"/>
      <c r="GA2550" s="145"/>
      <c r="GB2550" s="145"/>
      <c r="GC2550" s="145"/>
      <c r="GD2550" s="145"/>
      <c r="GE2550" s="145"/>
      <c r="GF2550" s="145"/>
      <c r="GG2550" s="145"/>
      <c r="GH2550" s="145"/>
      <c r="GI2550" s="145"/>
      <c r="GJ2550" s="145"/>
      <c r="GK2550" s="145"/>
      <c r="GL2550" s="145"/>
      <c r="GM2550" s="145"/>
      <c r="GN2550" s="145"/>
      <c r="GO2550" s="145"/>
      <c r="GP2550" s="145"/>
      <c r="GQ2550" s="145"/>
      <c r="GR2550" s="145"/>
      <c r="GS2550" s="145"/>
      <c r="GT2550" s="145"/>
      <c r="GU2550" s="145"/>
      <c r="GV2550" s="145"/>
      <c r="GW2550" s="145"/>
      <c r="GX2550" s="145"/>
      <c r="GY2550" s="145"/>
      <c r="GZ2550" s="145"/>
      <c r="HA2550" s="145"/>
      <c r="HB2550" s="145"/>
      <c r="HC2550" s="145"/>
      <c r="HD2550" s="145"/>
      <c r="HE2550" s="152"/>
      <c r="HF2550" s="152"/>
    </row>
    <row r="2551" spans="1:215" x14ac:dyDescent="0.35">
      <c r="A2551" s="272"/>
      <c r="B2551" s="272"/>
      <c r="C2551" s="285"/>
      <c r="D2551" s="275"/>
      <c r="E2551" s="275"/>
      <c r="F2551" s="284"/>
      <c r="G2551" s="272"/>
      <c r="H2551" s="136" t="s">
        <v>75</v>
      </c>
      <c r="I2551" s="181">
        <f>I2550*0.0214</f>
        <v>35882.44</v>
      </c>
      <c r="J2551" s="181">
        <f>I2551/D2549</f>
        <v>78.28</v>
      </c>
      <c r="K2551" s="181">
        <v>122</v>
      </c>
      <c r="L2551" s="145"/>
      <c r="M2551" s="145"/>
      <c r="N2551" s="145"/>
      <c r="O2551" s="145"/>
      <c r="P2551" s="145"/>
      <c r="Q2551" s="145"/>
      <c r="R2551" s="145"/>
      <c r="S2551" s="145"/>
      <c r="T2551" s="145"/>
      <c r="U2551" s="145"/>
      <c r="V2551" s="145"/>
      <c r="W2551" s="145"/>
      <c r="X2551" s="145"/>
      <c r="Y2551" s="145"/>
      <c r="Z2551" s="145"/>
      <c r="AA2551" s="145"/>
      <c r="AB2551" s="145"/>
      <c r="AC2551" s="145"/>
      <c r="AD2551" s="145"/>
      <c r="AE2551" s="145"/>
      <c r="AF2551" s="145"/>
      <c r="AG2551" s="145"/>
      <c r="AH2551" s="145"/>
      <c r="AI2551" s="145"/>
      <c r="AJ2551" s="145"/>
      <c r="AK2551" s="145"/>
      <c r="AL2551" s="145"/>
      <c r="AM2551" s="145"/>
      <c r="AN2551" s="145"/>
      <c r="AO2551" s="145"/>
      <c r="AP2551" s="145"/>
      <c r="AQ2551" s="145"/>
      <c r="AR2551" s="145"/>
      <c r="AS2551" s="145"/>
      <c r="AT2551" s="145"/>
      <c r="AU2551" s="145"/>
      <c r="AV2551" s="145"/>
      <c r="AW2551" s="145"/>
      <c r="AX2551" s="145"/>
      <c r="AY2551" s="145"/>
      <c r="AZ2551" s="145"/>
      <c r="BA2551" s="145"/>
      <c r="BB2551" s="145"/>
      <c r="BC2551" s="145"/>
      <c r="BD2551" s="145"/>
      <c r="BE2551" s="145"/>
      <c r="BF2551" s="145"/>
      <c r="BG2551" s="145"/>
      <c r="BH2551" s="145"/>
      <c r="BI2551" s="145"/>
      <c r="BJ2551" s="145"/>
      <c r="BK2551" s="145"/>
      <c r="BL2551" s="145"/>
      <c r="BM2551" s="145"/>
      <c r="BN2551" s="145"/>
      <c r="BO2551" s="145"/>
      <c r="BP2551" s="145"/>
      <c r="BQ2551" s="145"/>
      <c r="BR2551" s="145"/>
      <c r="BS2551" s="145"/>
      <c r="BT2551" s="145"/>
      <c r="BU2551" s="145"/>
      <c r="BV2551" s="145"/>
      <c r="BW2551" s="145"/>
      <c r="BX2551" s="145"/>
      <c r="BY2551" s="145"/>
      <c r="BZ2551" s="145"/>
      <c r="CA2551" s="145"/>
      <c r="CB2551" s="145"/>
      <c r="CC2551" s="145"/>
      <c r="CD2551" s="145"/>
      <c r="CE2551" s="145"/>
      <c r="CF2551" s="145"/>
      <c r="CG2551" s="145"/>
      <c r="CH2551" s="145"/>
      <c r="CI2551" s="145"/>
      <c r="CJ2551" s="145"/>
      <c r="CK2551" s="145"/>
      <c r="CL2551" s="145"/>
      <c r="CM2551" s="145"/>
      <c r="CN2551" s="145"/>
      <c r="CO2551" s="145"/>
      <c r="CP2551" s="145"/>
      <c r="CQ2551" s="145"/>
      <c r="CR2551" s="145"/>
      <c r="CS2551" s="145"/>
      <c r="CT2551" s="145"/>
      <c r="CU2551" s="145"/>
      <c r="CV2551" s="145"/>
      <c r="CW2551" s="145"/>
      <c r="CX2551" s="145"/>
      <c r="CY2551" s="145"/>
      <c r="CZ2551" s="145"/>
      <c r="DA2551" s="145"/>
      <c r="DB2551" s="145"/>
      <c r="DC2551" s="145"/>
      <c r="DD2551" s="145"/>
      <c r="DE2551" s="145"/>
      <c r="DF2551" s="145"/>
      <c r="DG2551" s="145"/>
      <c r="DH2551" s="145"/>
      <c r="DI2551" s="145"/>
      <c r="DJ2551" s="145"/>
      <c r="DK2551" s="145"/>
      <c r="DL2551" s="145"/>
      <c r="DM2551" s="145"/>
      <c r="DN2551" s="145"/>
      <c r="DO2551" s="145"/>
      <c r="DP2551" s="145"/>
      <c r="DQ2551" s="145"/>
      <c r="DR2551" s="145"/>
      <c r="DS2551" s="145"/>
      <c r="DT2551" s="145"/>
      <c r="DU2551" s="145"/>
      <c r="DV2551" s="145"/>
      <c r="DW2551" s="145"/>
      <c r="DX2551" s="145"/>
      <c r="DY2551" s="145"/>
      <c r="DZ2551" s="145"/>
      <c r="EA2551" s="145"/>
      <c r="EB2551" s="145"/>
      <c r="EC2551" s="145"/>
      <c r="ED2551" s="145"/>
      <c r="EE2551" s="145"/>
      <c r="EF2551" s="145"/>
      <c r="EG2551" s="145"/>
      <c r="EH2551" s="145"/>
      <c r="EI2551" s="145"/>
      <c r="EJ2551" s="145"/>
      <c r="EK2551" s="145"/>
      <c r="EL2551" s="145"/>
      <c r="EM2551" s="145"/>
      <c r="EN2551" s="145"/>
      <c r="EO2551" s="145"/>
      <c r="EP2551" s="145"/>
      <c r="EQ2551" s="145"/>
      <c r="ER2551" s="145"/>
      <c r="ES2551" s="145"/>
      <c r="ET2551" s="145"/>
      <c r="EU2551" s="145"/>
      <c r="EV2551" s="145"/>
      <c r="EW2551" s="145"/>
      <c r="EX2551" s="145"/>
      <c r="EY2551" s="145"/>
      <c r="EZ2551" s="145"/>
      <c r="FA2551" s="145"/>
      <c r="FB2551" s="145"/>
      <c r="FC2551" s="145"/>
      <c r="FD2551" s="145"/>
      <c r="FE2551" s="145"/>
      <c r="FF2551" s="145"/>
      <c r="FG2551" s="145"/>
      <c r="FH2551" s="145"/>
      <c r="FI2551" s="145"/>
      <c r="FJ2551" s="145"/>
      <c r="FK2551" s="145"/>
      <c r="FL2551" s="145"/>
      <c r="FM2551" s="145"/>
      <c r="FN2551" s="145"/>
      <c r="FO2551" s="145"/>
      <c r="FP2551" s="145"/>
      <c r="FQ2551" s="145"/>
      <c r="FR2551" s="145"/>
      <c r="FS2551" s="145"/>
      <c r="FT2551" s="145"/>
      <c r="FU2551" s="145"/>
      <c r="FV2551" s="145"/>
      <c r="FW2551" s="145"/>
      <c r="FX2551" s="145"/>
      <c r="FY2551" s="145"/>
      <c r="FZ2551" s="145"/>
      <c r="GA2551" s="145"/>
      <c r="GB2551" s="145"/>
      <c r="GC2551" s="145"/>
      <c r="GD2551" s="145"/>
      <c r="GE2551" s="145"/>
      <c r="GF2551" s="145"/>
      <c r="GG2551" s="145"/>
      <c r="GH2551" s="145"/>
      <c r="GI2551" s="145"/>
      <c r="GJ2551" s="145"/>
      <c r="GK2551" s="145"/>
      <c r="GL2551" s="145"/>
      <c r="GM2551" s="145"/>
      <c r="GN2551" s="145"/>
      <c r="GO2551" s="145"/>
      <c r="GP2551" s="145"/>
      <c r="GQ2551" s="145"/>
      <c r="GR2551" s="145"/>
      <c r="GS2551" s="145"/>
      <c r="GT2551" s="145"/>
      <c r="GU2551" s="145"/>
      <c r="GV2551" s="145"/>
      <c r="GW2551" s="145"/>
      <c r="GX2551" s="145"/>
      <c r="GY2551" s="145"/>
      <c r="GZ2551" s="145"/>
      <c r="HA2551" s="145"/>
      <c r="HB2551" s="145"/>
      <c r="HC2551" s="145"/>
      <c r="HD2551" s="145"/>
      <c r="HE2551" s="145"/>
      <c r="HF2551" s="145"/>
    </row>
    <row r="2552" spans="1:215" x14ac:dyDescent="0.35">
      <c r="A2552" s="270">
        <f>A2549+1</f>
        <v>9</v>
      </c>
      <c r="B2552" s="270">
        <v>5440</v>
      </c>
      <c r="C2552" s="278" t="s">
        <v>444</v>
      </c>
      <c r="D2552" s="273">
        <v>331.9</v>
      </c>
      <c r="E2552" s="273" t="s">
        <v>633</v>
      </c>
      <c r="F2552" s="282">
        <v>2</v>
      </c>
      <c r="G2552" s="270" t="s">
        <v>71</v>
      </c>
      <c r="H2552" s="136" t="s">
        <v>72</v>
      </c>
      <c r="I2552" s="181">
        <f>I2553+I2554</f>
        <v>1315608.3799999999</v>
      </c>
      <c r="J2552" s="181">
        <f>J2553+J2554</f>
        <v>3963.87</v>
      </c>
      <c r="K2552" s="181">
        <f>K2553+K2554</f>
        <v>7539</v>
      </c>
      <c r="L2552" s="145"/>
      <c r="M2552" s="145"/>
      <c r="N2552" s="145"/>
      <c r="O2552" s="145"/>
      <c r="P2552" s="145"/>
      <c r="Q2552" s="145"/>
      <c r="R2552" s="145"/>
      <c r="S2552" s="145"/>
      <c r="T2552" s="145"/>
      <c r="U2552" s="145"/>
      <c r="V2552" s="145"/>
      <c r="W2552" s="145"/>
      <c r="X2552" s="145"/>
      <c r="Y2552" s="145"/>
      <c r="Z2552" s="145"/>
      <c r="AA2552" s="145"/>
      <c r="AB2552" s="145"/>
      <c r="AC2552" s="145"/>
      <c r="AD2552" s="145"/>
      <c r="AE2552" s="145"/>
      <c r="AF2552" s="145"/>
      <c r="AG2552" s="145"/>
      <c r="AH2552" s="145"/>
      <c r="AI2552" s="145"/>
      <c r="AJ2552" s="145"/>
      <c r="AK2552" s="145"/>
      <c r="AL2552" s="145"/>
      <c r="AM2552" s="145"/>
      <c r="AN2552" s="145"/>
      <c r="AO2552" s="145"/>
      <c r="AP2552" s="145"/>
      <c r="AQ2552" s="145"/>
      <c r="AR2552" s="145"/>
      <c r="AS2552" s="145"/>
      <c r="AT2552" s="145"/>
      <c r="AU2552" s="145"/>
      <c r="AV2552" s="145"/>
      <c r="AW2552" s="145"/>
      <c r="AX2552" s="145"/>
      <c r="AY2552" s="145"/>
      <c r="AZ2552" s="145"/>
      <c r="BA2552" s="145"/>
      <c r="BB2552" s="145"/>
      <c r="BC2552" s="145"/>
      <c r="BD2552" s="145"/>
      <c r="BE2552" s="145"/>
      <c r="BF2552" s="145"/>
      <c r="BG2552" s="145"/>
      <c r="BH2552" s="145"/>
      <c r="BI2552" s="145"/>
      <c r="BJ2552" s="145"/>
      <c r="BK2552" s="145"/>
      <c r="BL2552" s="145"/>
      <c r="BM2552" s="145"/>
      <c r="BN2552" s="145"/>
      <c r="BO2552" s="145"/>
      <c r="BP2552" s="145"/>
      <c r="BQ2552" s="145"/>
      <c r="BR2552" s="145"/>
      <c r="BS2552" s="145"/>
      <c r="BT2552" s="145"/>
      <c r="BU2552" s="145"/>
      <c r="BV2552" s="145"/>
      <c r="BW2552" s="145"/>
      <c r="BX2552" s="145"/>
      <c r="BY2552" s="145"/>
      <c r="BZ2552" s="145"/>
      <c r="CA2552" s="145"/>
      <c r="CB2552" s="145"/>
      <c r="CC2552" s="145"/>
      <c r="CD2552" s="145"/>
      <c r="CE2552" s="145"/>
      <c r="CF2552" s="145"/>
      <c r="CG2552" s="145"/>
      <c r="CH2552" s="145"/>
      <c r="CI2552" s="145"/>
      <c r="CJ2552" s="145"/>
      <c r="CK2552" s="145"/>
      <c r="CL2552" s="145"/>
      <c r="CM2552" s="145"/>
      <c r="CN2552" s="145"/>
      <c r="CO2552" s="145"/>
      <c r="CP2552" s="145"/>
      <c r="CQ2552" s="145"/>
      <c r="CR2552" s="145"/>
      <c r="CS2552" s="145"/>
      <c r="CT2552" s="145"/>
      <c r="CU2552" s="145"/>
      <c r="CV2552" s="145"/>
      <c r="CW2552" s="145"/>
      <c r="CX2552" s="145"/>
      <c r="CY2552" s="145"/>
      <c r="CZ2552" s="145"/>
      <c r="DA2552" s="145"/>
      <c r="DB2552" s="145"/>
      <c r="DC2552" s="145"/>
      <c r="DD2552" s="145"/>
      <c r="DE2552" s="145"/>
      <c r="DF2552" s="145"/>
      <c r="DG2552" s="145"/>
      <c r="DH2552" s="145"/>
      <c r="DI2552" s="145"/>
      <c r="DJ2552" s="145"/>
      <c r="DK2552" s="145"/>
      <c r="DL2552" s="145"/>
      <c r="DM2552" s="145"/>
      <c r="DN2552" s="145"/>
      <c r="DO2552" s="145"/>
      <c r="DP2552" s="145"/>
      <c r="DQ2552" s="145"/>
      <c r="DR2552" s="145"/>
      <c r="DS2552" s="145"/>
      <c r="DT2552" s="145"/>
      <c r="DU2552" s="145"/>
      <c r="DV2552" s="145"/>
      <c r="DW2552" s="145"/>
      <c r="DX2552" s="145"/>
      <c r="DY2552" s="145"/>
      <c r="DZ2552" s="145"/>
      <c r="EA2552" s="145"/>
      <c r="EB2552" s="145"/>
      <c r="EC2552" s="145"/>
      <c r="ED2552" s="145"/>
      <c r="EE2552" s="145"/>
      <c r="EF2552" s="145"/>
      <c r="EG2552" s="145"/>
      <c r="EH2552" s="145"/>
      <c r="EI2552" s="145"/>
      <c r="EJ2552" s="145"/>
      <c r="EK2552" s="145"/>
      <c r="EL2552" s="145"/>
      <c r="EM2552" s="145"/>
      <c r="EN2552" s="145"/>
      <c r="EO2552" s="145"/>
      <c r="EP2552" s="145"/>
      <c r="EQ2552" s="145"/>
      <c r="ER2552" s="145"/>
      <c r="ES2552" s="145"/>
      <c r="ET2552" s="145"/>
      <c r="EU2552" s="145"/>
      <c r="EV2552" s="145"/>
      <c r="EW2552" s="145"/>
      <c r="EX2552" s="145"/>
      <c r="EY2552" s="145"/>
      <c r="EZ2552" s="145"/>
      <c r="FA2552" s="145"/>
      <c r="FB2552" s="145"/>
      <c r="FC2552" s="145"/>
      <c r="FD2552" s="145"/>
      <c r="FE2552" s="145"/>
      <c r="FF2552" s="145"/>
      <c r="FG2552" s="145"/>
      <c r="FH2552" s="145"/>
      <c r="FI2552" s="145"/>
      <c r="FJ2552" s="145"/>
      <c r="FK2552" s="145"/>
      <c r="FL2552" s="145"/>
      <c r="FM2552" s="145"/>
      <c r="FN2552" s="145"/>
      <c r="FO2552" s="145"/>
      <c r="FP2552" s="145"/>
      <c r="FQ2552" s="145"/>
      <c r="FR2552" s="145"/>
      <c r="FS2552" s="145"/>
      <c r="FT2552" s="145"/>
      <c r="FU2552" s="145"/>
      <c r="FV2552" s="145"/>
      <c r="FW2552" s="145"/>
      <c r="FX2552" s="145"/>
      <c r="FY2552" s="145"/>
      <c r="FZ2552" s="145"/>
      <c r="GA2552" s="145"/>
      <c r="GB2552" s="145"/>
      <c r="GC2552" s="145"/>
      <c r="GD2552" s="145"/>
      <c r="GE2552" s="145"/>
      <c r="GF2552" s="145"/>
      <c r="GG2552" s="145"/>
      <c r="GH2552" s="145"/>
      <c r="GI2552" s="145"/>
      <c r="GJ2552" s="145"/>
      <c r="GK2552" s="145"/>
      <c r="GL2552" s="145"/>
      <c r="GM2552" s="145"/>
      <c r="GN2552" s="145"/>
      <c r="GO2552" s="145"/>
      <c r="GP2552" s="145"/>
      <c r="GQ2552" s="145"/>
      <c r="GR2552" s="145"/>
      <c r="GS2552" s="145"/>
      <c r="GT2552" s="145"/>
      <c r="GU2552" s="145"/>
      <c r="GV2552" s="145"/>
      <c r="GW2552" s="145"/>
      <c r="GX2552" s="145"/>
      <c r="GY2552" s="145"/>
      <c r="GZ2552" s="145"/>
      <c r="HA2552" s="145"/>
      <c r="HB2552" s="145"/>
      <c r="HC2552" s="145"/>
      <c r="HD2552" s="145"/>
      <c r="HE2552" s="145"/>
      <c r="HF2552" s="145"/>
    </row>
    <row r="2553" spans="1:215" x14ac:dyDescent="0.35">
      <c r="A2553" s="271">
        <v>1132</v>
      </c>
      <c r="B2553" s="271"/>
      <c r="C2553" s="279"/>
      <c r="D2553" s="274"/>
      <c r="E2553" s="274"/>
      <c r="F2553" s="283"/>
      <c r="G2553" s="271"/>
      <c r="H2553" s="136" t="s">
        <v>73</v>
      </c>
      <c r="I2553" s="181">
        <v>1274962.46</v>
      </c>
      <c r="J2553" s="181">
        <f>I2553/D2552</f>
        <v>3841.41</v>
      </c>
      <c r="K2553" s="181">
        <v>7381</v>
      </c>
      <c r="L2553" s="145"/>
      <c r="M2553" s="145"/>
      <c r="N2553" s="145"/>
      <c r="O2553" s="145"/>
      <c r="P2553" s="145"/>
      <c r="Q2553" s="145"/>
      <c r="R2553" s="145"/>
      <c r="S2553" s="145"/>
      <c r="T2553" s="145"/>
      <c r="U2553" s="145"/>
      <c r="V2553" s="145"/>
      <c r="W2553" s="145"/>
      <c r="X2553" s="145"/>
      <c r="Y2553" s="145"/>
      <c r="Z2553" s="145"/>
      <c r="AA2553" s="145"/>
      <c r="AB2553" s="145"/>
      <c r="AC2553" s="145"/>
      <c r="AD2553" s="145"/>
      <c r="AE2553" s="145"/>
      <c r="AF2553" s="145"/>
      <c r="AG2553" s="145"/>
      <c r="AH2553" s="145"/>
      <c r="AI2553" s="145"/>
      <c r="AJ2553" s="145"/>
      <c r="AK2553" s="145"/>
      <c r="AL2553" s="145"/>
      <c r="AM2553" s="145"/>
      <c r="AN2553" s="145"/>
      <c r="AO2553" s="145"/>
      <c r="AP2553" s="145"/>
      <c r="AQ2553" s="145"/>
      <c r="AR2553" s="145"/>
      <c r="AS2553" s="145"/>
      <c r="AT2553" s="145"/>
      <c r="AU2553" s="145"/>
      <c r="AV2553" s="145"/>
      <c r="AW2553" s="145"/>
      <c r="AX2553" s="145"/>
      <c r="AY2553" s="145"/>
      <c r="AZ2553" s="145"/>
      <c r="BA2553" s="145"/>
      <c r="BB2553" s="145"/>
      <c r="BC2553" s="145"/>
      <c r="BD2553" s="145"/>
      <c r="BE2553" s="145"/>
      <c r="BF2553" s="145"/>
      <c r="BG2553" s="145"/>
      <c r="BH2553" s="145"/>
      <c r="BI2553" s="145"/>
      <c r="BJ2553" s="145"/>
      <c r="BK2553" s="145"/>
      <c r="BL2553" s="145"/>
      <c r="BM2553" s="145"/>
      <c r="BN2553" s="145"/>
      <c r="BO2553" s="145"/>
      <c r="BP2553" s="145"/>
      <c r="BQ2553" s="145"/>
      <c r="BR2553" s="145"/>
      <c r="BS2553" s="145"/>
      <c r="BT2553" s="145"/>
      <c r="BU2553" s="145"/>
      <c r="BV2553" s="145"/>
      <c r="BW2553" s="145"/>
      <c r="BX2553" s="145"/>
      <c r="BY2553" s="145"/>
      <c r="BZ2553" s="145"/>
      <c r="CA2553" s="145"/>
      <c r="CB2553" s="145"/>
      <c r="CC2553" s="145"/>
      <c r="CD2553" s="145"/>
      <c r="CE2553" s="145"/>
      <c r="CF2553" s="145"/>
      <c r="CG2553" s="145"/>
      <c r="CH2553" s="145"/>
      <c r="CI2553" s="145"/>
      <c r="CJ2553" s="145"/>
      <c r="CK2553" s="145"/>
      <c r="CL2553" s="145"/>
      <c r="CM2553" s="145"/>
      <c r="CN2553" s="145"/>
      <c r="CO2553" s="145"/>
      <c r="CP2553" s="145"/>
      <c r="CQ2553" s="145"/>
      <c r="CR2553" s="145"/>
      <c r="CS2553" s="145"/>
      <c r="CT2553" s="145"/>
      <c r="CU2553" s="145"/>
      <c r="CV2553" s="145"/>
      <c r="CW2553" s="145"/>
      <c r="CX2553" s="145"/>
      <c r="CY2553" s="145"/>
      <c r="CZ2553" s="145"/>
      <c r="DA2553" s="145"/>
      <c r="DB2553" s="145"/>
      <c r="DC2553" s="145"/>
      <c r="DD2553" s="145"/>
      <c r="DE2553" s="145"/>
      <c r="DF2553" s="145"/>
      <c r="DG2553" s="145"/>
      <c r="DH2553" s="145"/>
      <c r="DI2553" s="145"/>
      <c r="DJ2553" s="145"/>
      <c r="DK2553" s="145"/>
      <c r="DL2553" s="145"/>
      <c r="DM2553" s="145"/>
      <c r="DN2553" s="145"/>
      <c r="DO2553" s="145"/>
      <c r="DP2553" s="145"/>
      <c r="DQ2553" s="145"/>
      <c r="DR2553" s="145"/>
      <c r="DS2553" s="145"/>
      <c r="DT2553" s="145"/>
      <c r="DU2553" s="145"/>
      <c r="DV2553" s="145"/>
      <c r="DW2553" s="145"/>
      <c r="DX2553" s="145"/>
      <c r="DY2553" s="145"/>
      <c r="DZ2553" s="145"/>
      <c r="EA2553" s="145"/>
      <c r="EB2553" s="145"/>
      <c r="EC2553" s="145"/>
      <c r="ED2553" s="145"/>
      <c r="EE2553" s="145"/>
      <c r="EF2553" s="145"/>
      <c r="EG2553" s="145"/>
      <c r="EH2553" s="145"/>
      <c r="EI2553" s="145"/>
      <c r="EJ2553" s="145"/>
      <c r="EK2553" s="145"/>
      <c r="EL2553" s="145"/>
      <c r="EM2553" s="145"/>
      <c r="EN2553" s="145"/>
      <c r="EO2553" s="145"/>
      <c r="EP2553" s="145"/>
      <c r="EQ2553" s="145"/>
      <c r="ER2553" s="145"/>
      <c r="ES2553" s="145"/>
      <c r="ET2553" s="145"/>
      <c r="EU2553" s="145"/>
      <c r="EV2553" s="145"/>
      <c r="EW2553" s="145"/>
      <c r="EX2553" s="145"/>
      <c r="EY2553" s="145"/>
      <c r="EZ2553" s="145"/>
      <c r="FA2553" s="145"/>
      <c r="FB2553" s="145"/>
      <c r="FC2553" s="145"/>
      <c r="FD2553" s="145"/>
      <c r="FE2553" s="145"/>
      <c r="FF2553" s="145"/>
      <c r="FG2553" s="145"/>
      <c r="FH2553" s="145"/>
      <c r="FI2553" s="145"/>
      <c r="FJ2553" s="145"/>
      <c r="FK2553" s="145"/>
      <c r="FL2553" s="145"/>
      <c r="FM2553" s="145"/>
      <c r="FN2553" s="145"/>
      <c r="FO2553" s="145"/>
      <c r="FP2553" s="145"/>
      <c r="FQ2553" s="145"/>
      <c r="FR2553" s="145"/>
      <c r="FS2553" s="145"/>
      <c r="FT2553" s="145"/>
      <c r="FU2553" s="145"/>
      <c r="FV2553" s="145"/>
      <c r="FW2553" s="145"/>
      <c r="FX2553" s="145"/>
      <c r="FY2553" s="145"/>
      <c r="FZ2553" s="145"/>
      <c r="GA2553" s="145"/>
      <c r="GB2553" s="145"/>
      <c r="GC2553" s="145"/>
      <c r="GD2553" s="145"/>
      <c r="GE2553" s="145"/>
      <c r="GF2553" s="145"/>
      <c r="GG2553" s="145"/>
      <c r="GH2553" s="145"/>
      <c r="GI2553" s="145"/>
      <c r="GJ2553" s="145"/>
      <c r="GK2553" s="145"/>
      <c r="GL2553" s="145"/>
      <c r="GM2553" s="145"/>
      <c r="GN2553" s="145"/>
      <c r="GO2553" s="145"/>
      <c r="GP2553" s="145"/>
      <c r="GQ2553" s="145"/>
      <c r="GR2553" s="145"/>
      <c r="GS2553" s="145"/>
      <c r="GT2553" s="145"/>
      <c r="GU2553" s="145"/>
      <c r="GV2553" s="145"/>
      <c r="GW2553" s="145"/>
      <c r="GX2553" s="145"/>
      <c r="GY2553" s="145"/>
      <c r="GZ2553" s="145"/>
      <c r="HA2553" s="145"/>
      <c r="HB2553" s="145"/>
      <c r="HC2553" s="145"/>
      <c r="HD2553" s="145"/>
      <c r="HE2553" s="145"/>
      <c r="HF2553" s="145"/>
    </row>
    <row r="2554" spans="1:215" x14ac:dyDescent="0.35">
      <c r="A2554" s="272">
        <v>1133</v>
      </c>
      <c r="B2554" s="272"/>
      <c r="C2554" s="285"/>
      <c r="D2554" s="275"/>
      <c r="E2554" s="275"/>
      <c r="F2554" s="284"/>
      <c r="G2554" s="272"/>
      <c r="H2554" s="136" t="s">
        <v>75</v>
      </c>
      <c r="I2554" s="181">
        <f>1899342*0.0214</f>
        <v>40645.919999999998</v>
      </c>
      <c r="J2554" s="181">
        <f>I2554/D2552</f>
        <v>122.46</v>
      </c>
      <c r="K2554" s="181">
        <v>158</v>
      </c>
      <c r="L2554" s="145"/>
      <c r="M2554" s="145"/>
      <c r="N2554" s="145"/>
      <c r="O2554" s="145"/>
      <c r="P2554" s="145"/>
      <c r="Q2554" s="145"/>
      <c r="R2554" s="145"/>
      <c r="S2554" s="145"/>
      <c r="T2554" s="145"/>
      <c r="U2554" s="145"/>
      <c r="V2554" s="145"/>
      <c r="W2554" s="145"/>
      <c r="X2554" s="145"/>
      <c r="Y2554" s="145"/>
      <c r="Z2554" s="145"/>
      <c r="AA2554" s="145"/>
      <c r="AB2554" s="145"/>
      <c r="AC2554" s="145"/>
      <c r="AD2554" s="145"/>
      <c r="AE2554" s="145"/>
      <c r="AF2554" s="145"/>
      <c r="AG2554" s="145"/>
      <c r="AH2554" s="145"/>
      <c r="AI2554" s="145"/>
      <c r="AJ2554" s="145"/>
      <c r="AK2554" s="145"/>
      <c r="AL2554" s="145"/>
      <c r="AM2554" s="145"/>
      <c r="AN2554" s="145"/>
      <c r="AO2554" s="145"/>
      <c r="AP2554" s="145"/>
      <c r="AQ2554" s="145"/>
      <c r="AR2554" s="145"/>
      <c r="AS2554" s="145"/>
      <c r="AT2554" s="145"/>
      <c r="AU2554" s="145"/>
      <c r="AV2554" s="145"/>
      <c r="AW2554" s="145"/>
      <c r="AX2554" s="145"/>
      <c r="AY2554" s="145"/>
      <c r="AZ2554" s="145"/>
      <c r="BA2554" s="145"/>
      <c r="BB2554" s="145"/>
      <c r="BC2554" s="145"/>
      <c r="BD2554" s="145"/>
      <c r="BE2554" s="145"/>
      <c r="BF2554" s="145"/>
      <c r="BG2554" s="145"/>
      <c r="BH2554" s="145"/>
      <c r="BI2554" s="145"/>
      <c r="BJ2554" s="145"/>
      <c r="BK2554" s="145"/>
      <c r="BL2554" s="145"/>
      <c r="BM2554" s="145"/>
      <c r="BN2554" s="145"/>
      <c r="BO2554" s="145"/>
      <c r="BP2554" s="145"/>
      <c r="BQ2554" s="145"/>
      <c r="BR2554" s="145"/>
      <c r="BS2554" s="145"/>
      <c r="BT2554" s="145"/>
      <c r="BU2554" s="145"/>
      <c r="BV2554" s="145"/>
      <c r="BW2554" s="145"/>
      <c r="BX2554" s="145"/>
      <c r="BY2554" s="145"/>
      <c r="BZ2554" s="145"/>
      <c r="CA2554" s="145"/>
      <c r="CB2554" s="145"/>
      <c r="CC2554" s="145"/>
      <c r="CD2554" s="145"/>
      <c r="CE2554" s="145"/>
      <c r="CF2554" s="145"/>
      <c r="CG2554" s="145"/>
      <c r="CH2554" s="145"/>
      <c r="CI2554" s="145"/>
      <c r="CJ2554" s="145"/>
      <c r="CK2554" s="145"/>
      <c r="CL2554" s="145"/>
      <c r="CM2554" s="145"/>
      <c r="CN2554" s="145"/>
      <c r="CO2554" s="145"/>
      <c r="CP2554" s="145"/>
      <c r="CQ2554" s="145"/>
      <c r="CR2554" s="145"/>
      <c r="CS2554" s="145"/>
      <c r="CT2554" s="145"/>
      <c r="CU2554" s="145"/>
      <c r="CV2554" s="145"/>
      <c r="CW2554" s="145"/>
      <c r="CX2554" s="145"/>
      <c r="CY2554" s="145"/>
      <c r="CZ2554" s="145"/>
      <c r="DA2554" s="145"/>
      <c r="DB2554" s="145"/>
      <c r="DC2554" s="145"/>
      <c r="DD2554" s="145"/>
      <c r="DE2554" s="145"/>
      <c r="DF2554" s="145"/>
      <c r="DG2554" s="145"/>
      <c r="DH2554" s="145"/>
      <c r="DI2554" s="145"/>
      <c r="DJ2554" s="145"/>
      <c r="DK2554" s="145"/>
      <c r="DL2554" s="145"/>
      <c r="DM2554" s="145"/>
      <c r="DN2554" s="145"/>
      <c r="DO2554" s="145"/>
      <c r="DP2554" s="145"/>
      <c r="DQ2554" s="145"/>
      <c r="DR2554" s="145"/>
      <c r="DS2554" s="145"/>
      <c r="DT2554" s="145"/>
      <c r="DU2554" s="145"/>
      <c r="DV2554" s="145"/>
      <c r="DW2554" s="145"/>
      <c r="DX2554" s="145"/>
      <c r="DY2554" s="145"/>
      <c r="DZ2554" s="145"/>
      <c r="EA2554" s="145"/>
      <c r="EB2554" s="145"/>
      <c r="EC2554" s="145"/>
      <c r="ED2554" s="145"/>
      <c r="EE2554" s="145"/>
      <c r="EF2554" s="145"/>
      <c r="EG2554" s="145"/>
      <c r="EH2554" s="145"/>
      <c r="EI2554" s="145"/>
      <c r="EJ2554" s="145"/>
      <c r="EK2554" s="145"/>
      <c r="EL2554" s="145"/>
      <c r="EM2554" s="145"/>
      <c r="EN2554" s="145"/>
      <c r="EO2554" s="145"/>
      <c r="EP2554" s="145"/>
      <c r="EQ2554" s="145"/>
      <c r="ER2554" s="145"/>
      <c r="ES2554" s="145"/>
      <c r="ET2554" s="145"/>
      <c r="EU2554" s="145"/>
      <c r="EV2554" s="145"/>
      <c r="EW2554" s="145"/>
      <c r="EX2554" s="145"/>
      <c r="EY2554" s="145"/>
      <c r="EZ2554" s="145"/>
      <c r="FA2554" s="145"/>
      <c r="FB2554" s="145"/>
      <c r="FC2554" s="145"/>
      <c r="FD2554" s="145"/>
      <c r="FE2554" s="145"/>
      <c r="FF2554" s="145"/>
      <c r="FG2554" s="145"/>
      <c r="FH2554" s="145"/>
      <c r="FI2554" s="145"/>
      <c r="FJ2554" s="145"/>
      <c r="FK2554" s="145"/>
      <c r="FL2554" s="145"/>
      <c r="FM2554" s="145"/>
      <c r="FN2554" s="145"/>
      <c r="FO2554" s="145"/>
      <c r="FP2554" s="145"/>
      <c r="FQ2554" s="145"/>
      <c r="FR2554" s="145"/>
      <c r="FS2554" s="145"/>
      <c r="FT2554" s="145"/>
      <c r="FU2554" s="145"/>
      <c r="FV2554" s="145"/>
      <c r="FW2554" s="145"/>
      <c r="FX2554" s="145"/>
      <c r="FY2554" s="145"/>
      <c r="FZ2554" s="145"/>
      <c r="GA2554" s="145"/>
      <c r="GB2554" s="145"/>
      <c r="GC2554" s="145"/>
      <c r="GD2554" s="145"/>
      <c r="GE2554" s="145"/>
      <c r="GF2554" s="145"/>
      <c r="GG2554" s="145"/>
      <c r="GH2554" s="145"/>
      <c r="GI2554" s="145"/>
      <c r="GJ2554" s="145"/>
      <c r="GK2554" s="145"/>
      <c r="GL2554" s="145"/>
      <c r="GM2554" s="145"/>
      <c r="GN2554" s="145"/>
      <c r="GO2554" s="145"/>
      <c r="GP2554" s="145"/>
      <c r="GQ2554" s="145"/>
      <c r="GR2554" s="145"/>
      <c r="GS2554" s="145"/>
      <c r="GT2554" s="145"/>
      <c r="GU2554" s="145"/>
      <c r="GV2554" s="145"/>
      <c r="GW2554" s="145"/>
      <c r="GX2554" s="145"/>
      <c r="GY2554" s="145"/>
      <c r="GZ2554" s="145"/>
      <c r="HA2554" s="145"/>
      <c r="HB2554" s="145"/>
      <c r="HC2554" s="145"/>
      <c r="HD2554" s="145"/>
      <c r="HE2554" s="145"/>
      <c r="HF2554" s="145"/>
    </row>
    <row r="2555" spans="1:215" x14ac:dyDescent="0.35">
      <c r="A2555" s="270">
        <f>A2552+1</f>
        <v>10</v>
      </c>
      <c r="B2555" s="270">
        <v>5436</v>
      </c>
      <c r="C2555" s="278" t="s">
        <v>445</v>
      </c>
      <c r="D2555" s="273">
        <v>320.5</v>
      </c>
      <c r="E2555" s="273" t="s">
        <v>633</v>
      </c>
      <c r="F2555" s="282">
        <v>2</v>
      </c>
      <c r="G2555" s="270" t="s">
        <v>84</v>
      </c>
      <c r="H2555" s="136" t="s">
        <v>72</v>
      </c>
      <c r="I2555" s="181">
        <f>I2556+I2557+I2558+I2559</f>
        <v>2148664.0499999998</v>
      </c>
      <c r="J2555" s="181">
        <f>J2556+J2557+J2558+J2559</f>
        <v>6704.1</v>
      </c>
      <c r="K2555" s="181">
        <f>K2556+K2557+K2558+K2559</f>
        <v>9492</v>
      </c>
      <c r="L2555" s="145"/>
      <c r="M2555" s="145"/>
      <c r="N2555" s="145"/>
      <c r="O2555" s="145"/>
      <c r="P2555" s="145"/>
      <c r="Q2555" s="145"/>
      <c r="R2555" s="145"/>
      <c r="S2555" s="145"/>
      <c r="T2555" s="145"/>
      <c r="U2555" s="145"/>
      <c r="V2555" s="145"/>
      <c r="W2555" s="145"/>
      <c r="X2555" s="145"/>
      <c r="Y2555" s="145"/>
      <c r="Z2555" s="145"/>
      <c r="AA2555" s="145"/>
      <c r="AB2555" s="145"/>
      <c r="AC2555" s="145"/>
      <c r="AD2555" s="145"/>
      <c r="AE2555" s="145"/>
      <c r="AF2555" s="145"/>
      <c r="AG2555" s="145"/>
      <c r="AH2555" s="145"/>
      <c r="AI2555" s="145"/>
      <c r="AJ2555" s="145"/>
      <c r="AK2555" s="145"/>
      <c r="AL2555" s="145"/>
      <c r="AM2555" s="145"/>
      <c r="AN2555" s="145"/>
      <c r="AO2555" s="145"/>
      <c r="AP2555" s="145"/>
      <c r="AQ2555" s="145"/>
      <c r="AR2555" s="145"/>
      <c r="AS2555" s="145"/>
      <c r="AT2555" s="145"/>
      <c r="AU2555" s="145"/>
      <c r="AV2555" s="145"/>
      <c r="AW2555" s="145"/>
      <c r="AX2555" s="145"/>
      <c r="AY2555" s="145"/>
      <c r="AZ2555" s="145"/>
      <c r="BA2555" s="145"/>
      <c r="BB2555" s="145"/>
      <c r="BC2555" s="145"/>
      <c r="BD2555" s="145"/>
      <c r="BE2555" s="145"/>
      <c r="BF2555" s="145"/>
      <c r="BG2555" s="145"/>
      <c r="BH2555" s="145"/>
      <c r="BI2555" s="145"/>
      <c r="BJ2555" s="145"/>
      <c r="BK2555" s="145"/>
      <c r="BL2555" s="145"/>
      <c r="BM2555" s="145"/>
      <c r="BN2555" s="145"/>
      <c r="BO2555" s="145"/>
      <c r="BP2555" s="145"/>
      <c r="BQ2555" s="145"/>
      <c r="BR2555" s="145"/>
      <c r="BS2555" s="145"/>
      <c r="BT2555" s="145"/>
      <c r="BU2555" s="145"/>
      <c r="BV2555" s="145"/>
      <c r="BW2555" s="145"/>
      <c r="BX2555" s="145"/>
      <c r="BY2555" s="145"/>
      <c r="BZ2555" s="145"/>
      <c r="CA2555" s="145"/>
      <c r="CB2555" s="145"/>
      <c r="CC2555" s="145"/>
      <c r="CD2555" s="145"/>
      <c r="CE2555" s="145"/>
      <c r="CF2555" s="145"/>
      <c r="CG2555" s="145"/>
      <c r="CH2555" s="145"/>
      <c r="CI2555" s="145"/>
      <c r="CJ2555" s="145"/>
      <c r="CK2555" s="145"/>
      <c r="CL2555" s="145"/>
      <c r="CM2555" s="145"/>
      <c r="CN2555" s="145"/>
      <c r="CO2555" s="145"/>
      <c r="CP2555" s="145"/>
      <c r="CQ2555" s="145"/>
      <c r="CR2555" s="145"/>
      <c r="CS2555" s="145"/>
      <c r="CT2555" s="145"/>
      <c r="CU2555" s="145"/>
      <c r="CV2555" s="145"/>
      <c r="CW2555" s="145"/>
      <c r="CX2555" s="145"/>
      <c r="CY2555" s="145"/>
      <c r="CZ2555" s="145"/>
      <c r="DA2555" s="145"/>
      <c r="DB2555" s="145"/>
      <c r="DC2555" s="145"/>
      <c r="DD2555" s="145"/>
      <c r="DE2555" s="145"/>
      <c r="DF2555" s="145"/>
      <c r="DG2555" s="145"/>
      <c r="DH2555" s="145"/>
      <c r="DI2555" s="145"/>
      <c r="DJ2555" s="145"/>
      <c r="DK2555" s="145"/>
      <c r="DL2555" s="145"/>
      <c r="DM2555" s="145"/>
      <c r="DN2555" s="145"/>
      <c r="DO2555" s="145"/>
      <c r="DP2555" s="145"/>
      <c r="DQ2555" s="145"/>
      <c r="DR2555" s="145"/>
      <c r="DS2555" s="145"/>
      <c r="DT2555" s="145"/>
      <c r="DU2555" s="145"/>
      <c r="DV2555" s="145"/>
      <c r="DW2555" s="145"/>
      <c r="DX2555" s="145"/>
      <c r="DY2555" s="145"/>
      <c r="DZ2555" s="145"/>
      <c r="EA2555" s="145"/>
      <c r="EB2555" s="145"/>
      <c r="EC2555" s="145"/>
      <c r="ED2555" s="145"/>
      <c r="EE2555" s="145"/>
      <c r="EF2555" s="145"/>
      <c r="EG2555" s="145"/>
      <c r="EH2555" s="145"/>
      <c r="EI2555" s="145"/>
      <c r="EJ2555" s="145"/>
      <c r="EK2555" s="145"/>
      <c r="EL2555" s="145"/>
      <c r="EM2555" s="145"/>
      <c r="EN2555" s="145"/>
      <c r="EO2555" s="145"/>
      <c r="EP2555" s="145"/>
      <c r="EQ2555" s="145"/>
      <c r="ER2555" s="145"/>
      <c r="ES2555" s="145"/>
      <c r="ET2555" s="145"/>
      <c r="EU2555" s="145"/>
      <c r="EV2555" s="145"/>
      <c r="EW2555" s="145"/>
      <c r="EX2555" s="145"/>
      <c r="EY2555" s="145"/>
      <c r="EZ2555" s="145"/>
      <c r="FA2555" s="145"/>
      <c r="FB2555" s="145"/>
      <c r="FC2555" s="145"/>
      <c r="FD2555" s="145"/>
      <c r="FE2555" s="145"/>
      <c r="FF2555" s="145"/>
      <c r="FG2555" s="145"/>
      <c r="FH2555" s="145"/>
      <c r="FI2555" s="145"/>
      <c r="FJ2555" s="145"/>
      <c r="FK2555" s="145"/>
      <c r="FL2555" s="145"/>
      <c r="FM2555" s="145"/>
      <c r="FN2555" s="145"/>
      <c r="FO2555" s="145"/>
      <c r="FP2555" s="145"/>
      <c r="FQ2555" s="145"/>
      <c r="FR2555" s="145"/>
      <c r="FS2555" s="145"/>
      <c r="FT2555" s="145"/>
      <c r="FU2555" s="145"/>
      <c r="FV2555" s="145"/>
      <c r="FW2555" s="145"/>
      <c r="FX2555" s="145"/>
      <c r="FY2555" s="145"/>
      <c r="FZ2555" s="145"/>
      <c r="GA2555" s="145"/>
      <c r="GB2555" s="145"/>
      <c r="GC2555" s="145"/>
      <c r="GD2555" s="145"/>
      <c r="GE2555" s="145"/>
      <c r="GF2555" s="145"/>
      <c r="GG2555" s="145"/>
      <c r="GH2555" s="145"/>
      <c r="GI2555" s="145"/>
      <c r="GJ2555" s="145"/>
      <c r="GK2555" s="145"/>
      <c r="GL2555" s="145"/>
      <c r="GM2555" s="145"/>
      <c r="GN2555" s="145"/>
      <c r="GO2555" s="145"/>
      <c r="GP2555" s="145"/>
      <c r="GQ2555" s="145"/>
      <c r="GR2555" s="145"/>
      <c r="GS2555" s="145"/>
      <c r="GT2555" s="145"/>
      <c r="GU2555" s="145"/>
      <c r="GV2555" s="145"/>
      <c r="GW2555" s="145"/>
      <c r="GX2555" s="145"/>
      <c r="GY2555" s="145"/>
      <c r="GZ2555" s="145"/>
      <c r="HA2555" s="145"/>
      <c r="HB2555" s="145"/>
      <c r="HC2555" s="145"/>
      <c r="HD2555" s="145"/>
      <c r="HE2555" s="145"/>
      <c r="HF2555" s="145"/>
    </row>
    <row r="2556" spans="1:215" x14ac:dyDescent="0.35">
      <c r="A2556" s="271"/>
      <c r="B2556" s="271"/>
      <c r="C2556" s="279"/>
      <c r="D2556" s="274"/>
      <c r="E2556" s="274"/>
      <c r="F2556" s="283"/>
      <c r="G2556" s="271"/>
      <c r="H2556" s="136" t="s">
        <v>73</v>
      </c>
      <c r="I2556" s="181">
        <f>D2555*K2556*0.7</f>
        <v>1177388.8</v>
      </c>
      <c r="J2556" s="181">
        <f>I2556/D2555</f>
        <v>3673.6</v>
      </c>
      <c r="K2556" s="181">
        <v>5248</v>
      </c>
      <c r="L2556" s="145"/>
      <c r="M2556" s="145"/>
      <c r="N2556" s="145"/>
      <c r="O2556" s="145"/>
      <c r="P2556" s="145"/>
      <c r="Q2556" s="145"/>
      <c r="R2556" s="145"/>
      <c r="S2556" s="145"/>
      <c r="T2556" s="145"/>
      <c r="U2556" s="145"/>
      <c r="V2556" s="145"/>
      <c r="W2556" s="145"/>
      <c r="X2556" s="145"/>
      <c r="Y2556" s="145"/>
      <c r="Z2556" s="145"/>
      <c r="AA2556" s="145"/>
      <c r="AB2556" s="145"/>
      <c r="AC2556" s="145"/>
      <c r="AD2556" s="145"/>
      <c r="AE2556" s="145"/>
      <c r="AF2556" s="145"/>
      <c r="AG2556" s="145"/>
      <c r="AH2556" s="145"/>
      <c r="AI2556" s="145"/>
      <c r="AJ2556" s="145"/>
      <c r="AK2556" s="145"/>
      <c r="AL2556" s="145"/>
      <c r="AM2556" s="145"/>
      <c r="AN2556" s="145"/>
      <c r="AO2556" s="145"/>
      <c r="AP2556" s="145"/>
      <c r="AQ2556" s="145"/>
      <c r="AR2556" s="145"/>
      <c r="AS2556" s="145"/>
      <c r="AT2556" s="145"/>
      <c r="AU2556" s="145"/>
      <c r="AV2556" s="145"/>
      <c r="AW2556" s="145"/>
      <c r="AX2556" s="145"/>
      <c r="AY2556" s="145"/>
      <c r="AZ2556" s="145"/>
      <c r="BA2556" s="145"/>
      <c r="BB2556" s="145"/>
      <c r="BC2556" s="145"/>
      <c r="BD2556" s="145"/>
      <c r="BE2556" s="145"/>
      <c r="BF2556" s="145"/>
      <c r="BG2556" s="145"/>
      <c r="BH2556" s="145"/>
      <c r="BI2556" s="145"/>
      <c r="BJ2556" s="145"/>
      <c r="BK2556" s="145"/>
      <c r="BL2556" s="145"/>
      <c r="BM2556" s="145"/>
      <c r="BN2556" s="145"/>
      <c r="BO2556" s="145"/>
      <c r="BP2556" s="145"/>
      <c r="BQ2556" s="145"/>
      <c r="BR2556" s="145"/>
      <c r="BS2556" s="145"/>
      <c r="BT2556" s="145"/>
      <c r="BU2556" s="145"/>
      <c r="BV2556" s="145"/>
      <c r="BW2556" s="145"/>
      <c r="BX2556" s="145"/>
      <c r="BY2556" s="145"/>
      <c r="BZ2556" s="145"/>
      <c r="CA2556" s="145"/>
      <c r="CB2556" s="145"/>
      <c r="CC2556" s="145"/>
      <c r="CD2556" s="145"/>
      <c r="CE2556" s="145"/>
      <c r="CF2556" s="145"/>
      <c r="CG2556" s="145"/>
      <c r="CH2556" s="145"/>
      <c r="CI2556" s="145"/>
      <c r="CJ2556" s="145"/>
      <c r="CK2556" s="145"/>
      <c r="CL2556" s="145"/>
      <c r="CM2556" s="145"/>
      <c r="CN2556" s="145"/>
      <c r="CO2556" s="145"/>
      <c r="CP2556" s="145"/>
      <c r="CQ2556" s="145"/>
      <c r="CR2556" s="145"/>
      <c r="CS2556" s="145"/>
      <c r="CT2556" s="145"/>
      <c r="CU2556" s="145"/>
      <c r="CV2556" s="145"/>
      <c r="CW2556" s="145"/>
      <c r="CX2556" s="145"/>
      <c r="CY2556" s="145"/>
      <c r="CZ2556" s="145"/>
      <c r="DA2556" s="145"/>
      <c r="DB2556" s="145"/>
      <c r="DC2556" s="145"/>
      <c r="DD2556" s="145"/>
      <c r="DE2556" s="145"/>
      <c r="DF2556" s="145"/>
      <c r="DG2556" s="145"/>
      <c r="DH2556" s="145"/>
      <c r="DI2556" s="145"/>
      <c r="DJ2556" s="145"/>
      <c r="DK2556" s="145"/>
      <c r="DL2556" s="145"/>
      <c r="DM2556" s="145"/>
      <c r="DN2556" s="145"/>
      <c r="DO2556" s="145"/>
      <c r="DP2556" s="145"/>
      <c r="DQ2556" s="145"/>
      <c r="DR2556" s="145"/>
      <c r="DS2556" s="145"/>
      <c r="DT2556" s="145"/>
      <c r="DU2556" s="145"/>
      <c r="DV2556" s="145"/>
      <c r="DW2556" s="145"/>
      <c r="DX2556" s="145"/>
      <c r="DY2556" s="145"/>
      <c r="DZ2556" s="145"/>
      <c r="EA2556" s="145"/>
      <c r="EB2556" s="145"/>
      <c r="EC2556" s="145"/>
      <c r="ED2556" s="145"/>
      <c r="EE2556" s="145"/>
      <c r="EF2556" s="145"/>
      <c r="EG2556" s="145"/>
      <c r="EH2556" s="145"/>
      <c r="EI2556" s="145"/>
      <c r="EJ2556" s="145"/>
      <c r="EK2556" s="145"/>
      <c r="EL2556" s="145"/>
      <c r="EM2556" s="145"/>
      <c r="EN2556" s="145"/>
      <c r="EO2556" s="145"/>
      <c r="EP2556" s="145"/>
      <c r="EQ2556" s="145"/>
      <c r="ER2556" s="145"/>
      <c r="ES2556" s="145"/>
      <c r="ET2556" s="145"/>
      <c r="EU2556" s="145"/>
      <c r="EV2556" s="145"/>
      <c r="EW2556" s="145"/>
      <c r="EX2556" s="145"/>
      <c r="EY2556" s="145"/>
      <c r="EZ2556" s="145"/>
      <c r="FA2556" s="145"/>
      <c r="FB2556" s="145"/>
      <c r="FC2556" s="145"/>
      <c r="FD2556" s="145"/>
      <c r="FE2556" s="145"/>
      <c r="FF2556" s="145"/>
      <c r="FG2556" s="145"/>
      <c r="FH2556" s="145"/>
      <c r="FI2556" s="145"/>
      <c r="FJ2556" s="145"/>
      <c r="FK2556" s="145"/>
      <c r="FL2556" s="145"/>
      <c r="FM2556" s="145"/>
      <c r="FN2556" s="145"/>
      <c r="FO2556" s="145"/>
      <c r="FP2556" s="145"/>
      <c r="FQ2556" s="145"/>
      <c r="FR2556" s="145"/>
      <c r="FS2556" s="145"/>
      <c r="FT2556" s="145"/>
      <c r="FU2556" s="145"/>
      <c r="FV2556" s="145"/>
      <c r="FW2556" s="145"/>
      <c r="FX2556" s="145"/>
      <c r="FY2556" s="145"/>
      <c r="FZ2556" s="145"/>
      <c r="GA2556" s="145"/>
      <c r="GB2556" s="145"/>
      <c r="GC2556" s="145"/>
      <c r="GD2556" s="145"/>
      <c r="GE2556" s="145"/>
      <c r="GF2556" s="145"/>
      <c r="GG2556" s="145"/>
      <c r="GH2556" s="145"/>
      <c r="GI2556" s="145"/>
      <c r="GJ2556" s="145"/>
      <c r="GK2556" s="145"/>
      <c r="GL2556" s="145"/>
      <c r="GM2556" s="145"/>
      <c r="GN2556" s="145"/>
      <c r="GO2556" s="145"/>
      <c r="GP2556" s="145"/>
      <c r="GQ2556" s="145"/>
      <c r="GR2556" s="145"/>
      <c r="GS2556" s="145"/>
      <c r="GT2556" s="145"/>
      <c r="GU2556" s="145"/>
      <c r="GV2556" s="145"/>
      <c r="GW2556" s="145"/>
      <c r="GX2556" s="145"/>
      <c r="GY2556" s="145"/>
      <c r="GZ2556" s="145"/>
      <c r="HA2556" s="145"/>
      <c r="HB2556" s="145"/>
      <c r="HC2556" s="145"/>
      <c r="HD2556" s="145"/>
      <c r="HE2556" s="145"/>
      <c r="HF2556" s="145"/>
    </row>
    <row r="2557" spans="1:215" x14ac:dyDescent="0.35">
      <c r="A2557" s="271"/>
      <c r="B2557" s="271"/>
      <c r="C2557" s="279"/>
      <c r="D2557" s="274"/>
      <c r="E2557" s="274"/>
      <c r="F2557" s="283"/>
      <c r="G2557" s="271"/>
      <c r="H2557" s="136" t="s">
        <v>75</v>
      </c>
      <c r="I2557" s="181">
        <f>D2555*K2557</f>
        <v>35896</v>
      </c>
      <c r="J2557" s="181">
        <f>I2557/D2555</f>
        <v>112</v>
      </c>
      <c r="K2557" s="181">
        <v>112</v>
      </c>
      <c r="L2557" s="145"/>
      <c r="M2557" s="145"/>
      <c r="N2557" s="145"/>
      <c r="O2557" s="145"/>
      <c r="P2557" s="145"/>
      <c r="Q2557" s="145"/>
      <c r="R2557" s="145"/>
      <c r="S2557" s="145"/>
      <c r="T2557" s="145"/>
      <c r="U2557" s="145"/>
      <c r="V2557" s="145"/>
      <c r="W2557" s="145"/>
      <c r="X2557" s="145"/>
      <c r="Y2557" s="145"/>
      <c r="Z2557" s="145"/>
      <c r="AA2557" s="145"/>
      <c r="AB2557" s="145"/>
      <c r="AC2557" s="145"/>
      <c r="AD2557" s="145"/>
      <c r="AE2557" s="145"/>
      <c r="AF2557" s="145"/>
      <c r="AG2557" s="145"/>
      <c r="AH2557" s="145"/>
      <c r="AI2557" s="145"/>
      <c r="AJ2557" s="145"/>
      <c r="AK2557" s="145"/>
      <c r="AL2557" s="145"/>
      <c r="AM2557" s="145"/>
      <c r="AN2557" s="145"/>
      <c r="AO2557" s="145"/>
      <c r="AP2557" s="145"/>
      <c r="AQ2557" s="145"/>
      <c r="AR2557" s="145"/>
      <c r="AS2557" s="145"/>
      <c r="AT2557" s="145"/>
      <c r="AU2557" s="145"/>
      <c r="AV2557" s="145"/>
      <c r="AW2557" s="145"/>
      <c r="AX2557" s="145"/>
      <c r="AY2557" s="145"/>
      <c r="AZ2557" s="145"/>
      <c r="BA2557" s="145"/>
      <c r="BB2557" s="145"/>
      <c r="BC2557" s="145"/>
      <c r="BD2557" s="145"/>
      <c r="BE2557" s="145"/>
      <c r="BF2557" s="145"/>
      <c r="BG2557" s="145"/>
      <c r="BH2557" s="145"/>
      <c r="BI2557" s="145"/>
      <c r="BJ2557" s="145"/>
      <c r="BK2557" s="145"/>
      <c r="BL2557" s="145"/>
      <c r="BM2557" s="145"/>
      <c r="BN2557" s="145"/>
      <c r="BO2557" s="145"/>
      <c r="BP2557" s="145"/>
      <c r="BQ2557" s="145"/>
      <c r="BR2557" s="145"/>
      <c r="BS2557" s="145"/>
      <c r="BT2557" s="145"/>
      <c r="BU2557" s="145"/>
      <c r="BV2557" s="145"/>
      <c r="BW2557" s="145"/>
      <c r="BX2557" s="145"/>
      <c r="BY2557" s="145"/>
      <c r="BZ2557" s="145"/>
      <c r="CA2557" s="145"/>
      <c r="CB2557" s="145"/>
      <c r="CC2557" s="145"/>
      <c r="CD2557" s="145"/>
      <c r="CE2557" s="145"/>
      <c r="CF2557" s="145"/>
      <c r="CG2557" s="145"/>
      <c r="CH2557" s="145"/>
      <c r="CI2557" s="145"/>
      <c r="CJ2557" s="145"/>
      <c r="CK2557" s="145"/>
      <c r="CL2557" s="145"/>
      <c r="CM2557" s="145"/>
      <c r="CN2557" s="145"/>
      <c r="CO2557" s="145"/>
      <c r="CP2557" s="145"/>
      <c r="CQ2557" s="145"/>
      <c r="CR2557" s="145"/>
      <c r="CS2557" s="145"/>
      <c r="CT2557" s="145"/>
      <c r="CU2557" s="145"/>
      <c r="CV2557" s="145"/>
      <c r="CW2557" s="145"/>
      <c r="CX2557" s="145"/>
      <c r="CY2557" s="145"/>
      <c r="CZ2557" s="145"/>
      <c r="DA2557" s="145"/>
      <c r="DB2557" s="145"/>
      <c r="DC2557" s="145"/>
      <c r="DD2557" s="145"/>
      <c r="DE2557" s="145"/>
      <c r="DF2557" s="145"/>
      <c r="DG2557" s="145"/>
      <c r="DH2557" s="145"/>
      <c r="DI2557" s="145"/>
      <c r="DJ2557" s="145"/>
      <c r="DK2557" s="145"/>
      <c r="DL2557" s="145"/>
      <c r="DM2557" s="145"/>
      <c r="DN2557" s="145"/>
      <c r="DO2557" s="145"/>
      <c r="DP2557" s="145"/>
      <c r="DQ2557" s="145"/>
      <c r="DR2557" s="145"/>
      <c r="DS2557" s="145"/>
      <c r="DT2557" s="145"/>
      <c r="DU2557" s="145"/>
      <c r="DV2557" s="145"/>
      <c r="DW2557" s="145"/>
      <c r="DX2557" s="145"/>
      <c r="DY2557" s="145"/>
      <c r="DZ2557" s="145"/>
      <c r="EA2557" s="145"/>
      <c r="EB2557" s="145"/>
      <c r="EC2557" s="145"/>
      <c r="ED2557" s="145"/>
      <c r="EE2557" s="145"/>
      <c r="EF2557" s="145"/>
      <c r="EG2557" s="145"/>
      <c r="EH2557" s="145"/>
      <c r="EI2557" s="145"/>
      <c r="EJ2557" s="145"/>
      <c r="EK2557" s="145"/>
      <c r="EL2557" s="145"/>
      <c r="EM2557" s="145"/>
      <c r="EN2557" s="145"/>
      <c r="EO2557" s="145"/>
      <c r="EP2557" s="145"/>
      <c r="EQ2557" s="145"/>
      <c r="ER2557" s="145"/>
      <c r="ES2557" s="145"/>
      <c r="ET2557" s="145"/>
      <c r="EU2557" s="145"/>
      <c r="EV2557" s="145"/>
      <c r="EW2557" s="145"/>
      <c r="EX2557" s="145"/>
      <c r="EY2557" s="145"/>
      <c r="EZ2557" s="145"/>
      <c r="FA2557" s="145"/>
      <c r="FB2557" s="145"/>
      <c r="FC2557" s="145"/>
      <c r="FD2557" s="145"/>
      <c r="FE2557" s="145"/>
      <c r="FF2557" s="145"/>
      <c r="FG2557" s="145"/>
      <c r="FH2557" s="145"/>
      <c r="FI2557" s="145"/>
      <c r="FJ2557" s="145"/>
      <c r="FK2557" s="145"/>
      <c r="FL2557" s="145"/>
      <c r="FM2557" s="145"/>
      <c r="FN2557" s="145"/>
      <c r="FO2557" s="145"/>
      <c r="FP2557" s="145"/>
      <c r="FQ2557" s="145"/>
      <c r="FR2557" s="145"/>
      <c r="FS2557" s="145"/>
      <c r="FT2557" s="145"/>
      <c r="FU2557" s="145"/>
      <c r="FV2557" s="145"/>
      <c r="FW2557" s="145"/>
      <c r="FX2557" s="145"/>
      <c r="FY2557" s="145"/>
      <c r="FZ2557" s="145"/>
      <c r="GA2557" s="145"/>
      <c r="GB2557" s="145"/>
      <c r="GC2557" s="145"/>
      <c r="GD2557" s="145"/>
      <c r="GE2557" s="145"/>
      <c r="GF2557" s="145"/>
      <c r="GG2557" s="145"/>
      <c r="GH2557" s="145"/>
      <c r="GI2557" s="145"/>
      <c r="GJ2557" s="145"/>
      <c r="GK2557" s="145"/>
      <c r="GL2557" s="145"/>
      <c r="GM2557" s="145"/>
      <c r="GN2557" s="145"/>
      <c r="GO2557" s="145"/>
      <c r="GP2557" s="145"/>
      <c r="GQ2557" s="145"/>
      <c r="GR2557" s="145"/>
      <c r="GS2557" s="145"/>
      <c r="GT2557" s="145"/>
      <c r="GU2557" s="145"/>
      <c r="GV2557" s="145"/>
      <c r="GW2557" s="145"/>
      <c r="GX2557" s="145"/>
      <c r="GY2557" s="145"/>
      <c r="GZ2557" s="145"/>
      <c r="HA2557" s="145"/>
      <c r="HB2557" s="145"/>
      <c r="HC2557" s="145"/>
      <c r="HD2557" s="145"/>
      <c r="HE2557" s="145"/>
      <c r="HF2557" s="152"/>
      <c r="HG2557" s="152"/>
    </row>
    <row r="2558" spans="1:215" x14ac:dyDescent="0.35">
      <c r="A2558" s="271">
        <v>1124</v>
      </c>
      <c r="B2558" s="271"/>
      <c r="C2558" s="279"/>
      <c r="D2558" s="274"/>
      <c r="E2558" s="274"/>
      <c r="F2558" s="283"/>
      <c r="G2558" s="271"/>
      <c r="H2558" s="136" t="s">
        <v>676</v>
      </c>
      <c r="I2558" s="181">
        <f>D2555*K2558*0.7</f>
        <v>907495.75</v>
      </c>
      <c r="J2558" s="181">
        <f>I2558/D2555</f>
        <v>2831.5</v>
      </c>
      <c r="K2558" s="181">
        <v>4045</v>
      </c>
      <c r="L2558" s="145"/>
      <c r="M2558" s="145"/>
      <c r="N2558" s="145"/>
      <c r="O2558" s="145"/>
      <c r="P2558" s="145"/>
      <c r="Q2558" s="145"/>
      <c r="R2558" s="145"/>
      <c r="S2558" s="145"/>
      <c r="T2558" s="145"/>
      <c r="U2558" s="145"/>
      <c r="V2558" s="145"/>
      <c r="W2558" s="145"/>
      <c r="X2558" s="145"/>
      <c r="Y2558" s="145"/>
      <c r="Z2558" s="145"/>
      <c r="AA2558" s="145"/>
      <c r="AB2558" s="145"/>
      <c r="AC2558" s="145"/>
      <c r="AD2558" s="145"/>
      <c r="AE2558" s="145"/>
      <c r="AF2558" s="145"/>
      <c r="AG2558" s="145"/>
      <c r="AH2558" s="145"/>
      <c r="AI2558" s="145"/>
      <c r="AJ2558" s="145"/>
      <c r="AK2558" s="145"/>
      <c r="AL2558" s="145"/>
      <c r="AM2558" s="145"/>
      <c r="AN2558" s="145"/>
      <c r="AO2558" s="145"/>
      <c r="AP2558" s="145"/>
      <c r="AQ2558" s="145"/>
      <c r="AR2558" s="145"/>
      <c r="AS2558" s="145"/>
      <c r="AT2558" s="145"/>
      <c r="AU2558" s="145"/>
      <c r="AV2558" s="145"/>
      <c r="AW2558" s="145"/>
      <c r="AX2558" s="145"/>
      <c r="AY2558" s="145"/>
      <c r="AZ2558" s="145"/>
      <c r="BA2558" s="145"/>
      <c r="BB2558" s="145"/>
      <c r="BC2558" s="145"/>
      <c r="BD2558" s="145"/>
      <c r="BE2558" s="145"/>
      <c r="BF2558" s="145"/>
      <c r="BG2558" s="145"/>
      <c r="BH2558" s="145"/>
      <c r="BI2558" s="145"/>
      <c r="BJ2558" s="145"/>
      <c r="BK2558" s="145"/>
      <c r="BL2558" s="145"/>
      <c r="BM2558" s="145"/>
      <c r="BN2558" s="145"/>
      <c r="BO2558" s="145"/>
      <c r="BP2558" s="145"/>
      <c r="BQ2558" s="145"/>
      <c r="BR2558" s="145"/>
      <c r="BS2558" s="145"/>
      <c r="BT2558" s="145"/>
      <c r="BU2558" s="145"/>
      <c r="BV2558" s="145"/>
      <c r="BW2558" s="145"/>
      <c r="BX2558" s="145"/>
      <c r="BY2558" s="145"/>
      <c r="BZ2558" s="145"/>
      <c r="CA2558" s="145"/>
      <c r="CB2558" s="145"/>
      <c r="CC2558" s="145"/>
      <c r="CD2558" s="145"/>
      <c r="CE2558" s="145"/>
      <c r="CF2558" s="145"/>
      <c r="CG2558" s="145"/>
      <c r="CH2558" s="145"/>
      <c r="CI2558" s="145"/>
      <c r="CJ2558" s="145"/>
      <c r="CK2558" s="145"/>
      <c r="CL2558" s="145"/>
      <c r="CM2558" s="145"/>
      <c r="CN2558" s="145"/>
      <c r="CO2558" s="145"/>
      <c r="CP2558" s="145"/>
      <c r="CQ2558" s="145"/>
      <c r="CR2558" s="145"/>
      <c r="CS2558" s="145"/>
      <c r="CT2558" s="145"/>
      <c r="CU2558" s="145"/>
      <c r="CV2558" s="145"/>
      <c r="CW2558" s="145"/>
      <c r="CX2558" s="145"/>
      <c r="CY2558" s="145"/>
      <c r="CZ2558" s="145"/>
      <c r="DA2558" s="145"/>
      <c r="DB2558" s="145"/>
      <c r="DC2558" s="145"/>
      <c r="DD2558" s="145"/>
      <c r="DE2558" s="145"/>
      <c r="DF2558" s="145"/>
      <c r="DG2558" s="145"/>
      <c r="DH2558" s="145"/>
      <c r="DI2558" s="145"/>
      <c r="DJ2558" s="145"/>
      <c r="DK2558" s="145"/>
      <c r="DL2558" s="145"/>
      <c r="DM2558" s="145"/>
      <c r="DN2558" s="145"/>
      <c r="DO2558" s="145"/>
      <c r="DP2558" s="145"/>
      <c r="DQ2558" s="145"/>
      <c r="DR2558" s="145"/>
      <c r="DS2558" s="145"/>
      <c r="DT2558" s="145"/>
      <c r="DU2558" s="145"/>
      <c r="DV2558" s="145"/>
      <c r="DW2558" s="145"/>
      <c r="DX2558" s="145"/>
      <c r="DY2558" s="145"/>
      <c r="DZ2558" s="145"/>
      <c r="EA2558" s="145"/>
      <c r="EB2558" s="145"/>
      <c r="EC2558" s="145"/>
      <c r="ED2558" s="145"/>
      <c r="EE2558" s="145"/>
      <c r="EF2558" s="145"/>
      <c r="EG2558" s="145"/>
      <c r="EH2558" s="145"/>
      <c r="EI2558" s="145"/>
      <c r="EJ2558" s="145"/>
      <c r="EK2558" s="145"/>
      <c r="EL2558" s="145"/>
      <c r="EM2558" s="145"/>
      <c r="EN2558" s="145"/>
      <c r="EO2558" s="145"/>
      <c r="EP2558" s="145"/>
      <c r="EQ2558" s="145"/>
      <c r="ER2558" s="145"/>
      <c r="ES2558" s="145"/>
      <c r="ET2558" s="145"/>
      <c r="EU2558" s="145"/>
      <c r="EV2558" s="145"/>
      <c r="EW2558" s="145"/>
      <c r="EX2558" s="145"/>
      <c r="EY2558" s="145"/>
      <c r="EZ2558" s="145"/>
      <c r="FA2558" s="145"/>
      <c r="FB2558" s="145"/>
      <c r="FC2558" s="145"/>
      <c r="FD2558" s="145"/>
      <c r="FE2558" s="145"/>
      <c r="FF2558" s="145"/>
      <c r="FG2558" s="145"/>
      <c r="FH2558" s="145"/>
      <c r="FI2558" s="145"/>
      <c r="FJ2558" s="145"/>
      <c r="FK2558" s="145"/>
      <c r="FL2558" s="145"/>
      <c r="FM2558" s="145"/>
      <c r="FN2558" s="145"/>
      <c r="FO2558" s="145"/>
      <c r="FP2558" s="145"/>
      <c r="FQ2558" s="145"/>
      <c r="FR2558" s="145"/>
      <c r="FS2558" s="145"/>
      <c r="FT2558" s="145"/>
      <c r="FU2558" s="145"/>
      <c r="FV2558" s="145"/>
      <c r="FW2558" s="145"/>
      <c r="FX2558" s="145"/>
      <c r="FY2558" s="145"/>
      <c r="FZ2558" s="145"/>
      <c r="GA2558" s="145"/>
      <c r="GB2558" s="145"/>
      <c r="GC2558" s="145"/>
      <c r="GD2558" s="145"/>
      <c r="GE2558" s="145"/>
      <c r="GF2558" s="145"/>
      <c r="GG2558" s="145"/>
      <c r="GH2558" s="145"/>
      <c r="GI2558" s="145"/>
      <c r="GJ2558" s="145"/>
      <c r="GK2558" s="145"/>
      <c r="GL2558" s="145"/>
      <c r="GM2558" s="145"/>
      <c r="GN2558" s="145"/>
      <c r="GO2558" s="145"/>
      <c r="GP2558" s="145"/>
      <c r="GQ2558" s="145"/>
      <c r="GR2558" s="145"/>
      <c r="GS2558" s="145"/>
      <c r="GT2558" s="145"/>
      <c r="GU2558" s="145"/>
      <c r="GV2558" s="145"/>
      <c r="GW2558" s="145"/>
      <c r="GX2558" s="145"/>
      <c r="GY2558" s="145"/>
      <c r="GZ2558" s="145"/>
      <c r="HA2558" s="145"/>
      <c r="HB2558" s="145"/>
      <c r="HC2558" s="145"/>
      <c r="HD2558" s="145"/>
      <c r="HE2558" s="145"/>
      <c r="HF2558" s="145"/>
      <c r="HG2558" s="145"/>
    </row>
    <row r="2559" spans="1:215" x14ac:dyDescent="0.35">
      <c r="A2559" s="272">
        <v>1125</v>
      </c>
      <c r="B2559" s="272"/>
      <c r="C2559" s="285"/>
      <c r="D2559" s="275"/>
      <c r="E2559" s="275"/>
      <c r="F2559" s="284"/>
      <c r="G2559" s="272"/>
      <c r="H2559" s="136" t="s">
        <v>75</v>
      </c>
      <c r="I2559" s="181">
        <f>D2555*K2559</f>
        <v>27883.5</v>
      </c>
      <c r="J2559" s="181">
        <f>I2559/D2555</f>
        <v>87</v>
      </c>
      <c r="K2559" s="181">
        <v>87</v>
      </c>
      <c r="L2559" s="145"/>
      <c r="M2559" s="145"/>
      <c r="N2559" s="145"/>
      <c r="O2559" s="145"/>
      <c r="P2559" s="145"/>
      <c r="Q2559" s="145"/>
      <c r="R2559" s="145"/>
      <c r="S2559" s="145"/>
      <c r="T2559" s="145"/>
      <c r="U2559" s="145"/>
      <c r="V2559" s="145"/>
      <c r="W2559" s="145"/>
      <c r="X2559" s="145"/>
      <c r="Y2559" s="145"/>
      <c r="Z2559" s="145"/>
      <c r="AA2559" s="145"/>
      <c r="AB2559" s="145"/>
      <c r="AC2559" s="145"/>
      <c r="AD2559" s="145"/>
      <c r="AE2559" s="145"/>
      <c r="AF2559" s="145"/>
      <c r="AG2559" s="145"/>
      <c r="AH2559" s="145"/>
      <c r="AI2559" s="145"/>
      <c r="AJ2559" s="145"/>
      <c r="AK2559" s="145"/>
      <c r="AL2559" s="145"/>
      <c r="AM2559" s="145"/>
      <c r="AN2559" s="145"/>
      <c r="AO2559" s="145"/>
      <c r="AP2559" s="145"/>
      <c r="AQ2559" s="145"/>
      <c r="AR2559" s="145"/>
      <c r="AS2559" s="145"/>
      <c r="AT2559" s="145"/>
      <c r="AU2559" s="145"/>
      <c r="AV2559" s="145"/>
      <c r="AW2559" s="145"/>
      <c r="AX2559" s="145"/>
      <c r="AY2559" s="145"/>
      <c r="AZ2559" s="145"/>
      <c r="BA2559" s="145"/>
      <c r="BB2559" s="145"/>
      <c r="BC2559" s="145"/>
      <c r="BD2559" s="145"/>
      <c r="BE2559" s="145"/>
      <c r="BF2559" s="145"/>
      <c r="BG2559" s="145"/>
      <c r="BH2559" s="145"/>
      <c r="BI2559" s="145"/>
      <c r="BJ2559" s="145"/>
      <c r="BK2559" s="145"/>
      <c r="BL2559" s="145"/>
      <c r="BM2559" s="145"/>
      <c r="BN2559" s="145"/>
      <c r="BO2559" s="145"/>
      <c r="BP2559" s="145"/>
      <c r="BQ2559" s="145"/>
      <c r="BR2559" s="145"/>
      <c r="BS2559" s="145"/>
      <c r="BT2559" s="145"/>
      <c r="BU2559" s="145"/>
      <c r="BV2559" s="145"/>
      <c r="BW2559" s="145"/>
      <c r="BX2559" s="145"/>
      <c r="BY2559" s="145"/>
      <c r="BZ2559" s="145"/>
      <c r="CA2559" s="145"/>
      <c r="CB2559" s="145"/>
      <c r="CC2559" s="145"/>
      <c r="CD2559" s="145"/>
      <c r="CE2559" s="145"/>
      <c r="CF2559" s="145"/>
      <c r="CG2559" s="145"/>
      <c r="CH2559" s="145"/>
      <c r="CI2559" s="145"/>
      <c r="CJ2559" s="145"/>
      <c r="CK2559" s="145"/>
      <c r="CL2559" s="145"/>
      <c r="CM2559" s="145"/>
      <c r="CN2559" s="145"/>
      <c r="CO2559" s="145"/>
      <c r="CP2559" s="145"/>
      <c r="CQ2559" s="145"/>
      <c r="CR2559" s="145"/>
      <c r="CS2559" s="145"/>
      <c r="CT2559" s="145"/>
      <c r="CU2559" s="145"/>
      <c r="CV2559" s="145"/>
      <c r="CW2559" s="145"/>
      <c r="CX2559" s="145"/>
      <c r="CY2559" s="145"/>
      <c r="CZ2559" s="145"/>
      <c r="DA2559" s="145"/>
      <c r="DB2559" s="145"/>
      <c r="DC2559" s="145"/>
      <c r="DD2559" s="145"/>
      <c r="DE2559" s="145"/>
      <c r="DF2559" s="145"/>
      <c r="DG2559" s="145"/>
      <c r="DH2559" s="145"/>
      <c r="DI2559" s="145"/>
      <c r="DJ2559" s="145"/>
      <c r="DK2559" s="145"/>
      <c r="DL2559" s="145"/>
      <c r="DM2559" s="145"/>
      <c r="DN2559" s="145"/>
      <c r="DO2559" s="145"/>
      <c r="DP2559" s="145"/>
      <c r="DQ2559" s="145"/>
      <c r="DR2559" s="145"/>
      <c r="DS2559" s="145"/>
      <c r="DT2559" s="145"/>
      <c r="DU2559" s="145"/>
      <c r="DV2559" s="145"/>
      <c r="DW2559" s="145"/>
      <c r="DX2559" s="145"/>
      <c r="DY2559" s="145"/>
      <c r="DZ2559" s="145"/>
      <c r="EA2559" s="145"/>
      <c r="EB2559" s="145"/>
      <c r="EC2559" s="145"/>
      <c r="ED2559" s="145"/>
      <c r="EE2559" s="145"/>
      <c r="EF2559" s="145"/>
      <c r="EG2559" s="145"/>
      <c r="EH2559" s="145"/>
      <c r="EI2559" s="145"/>
      <c r="EJ2559" s="145"/>
      <c r="EK2559" s="145"/>
      <c r="EL2559" s="145"/>
      <c r="EM2559" s="145"/>
      <c r="EN2559" s="145"/>
      <c r="EO2559" s="145"/>
      <c r="EP2559" s="145"/>
      <c r="EQ2559" s="145"/>
      <c r="ER2559" s="145"/>
      <c r="ES2559" s="145"/>
      <c r="ET2559" s="145"/>
      <c r="EU2559" s="145"/>
      <c r="EV2559" s="145"/>
      <c r="EW2559" s="145"/>
      <c r="EX2559" s="145"/>
      <c r="EY2559" s="145"/>
      <c r="EZ2559" s="145"/>
      <c r="FA2559" s="145"/>
      <c r="FB2559" s="145"/>
      <c r="FC2559" s="145"/>
      <c r="FD2559" s="145"/>
      <c r="FE2559" s="145"/>
      <c r="FF2559" s="145"/>
      <c r="FG2559" s="145"/>
      <c r="FH2559" s="145"/>
      <c r="FI2559" s="145"/>
      <c r="FJ2559" s="145"/>
      <c r="FK2559" s="145"/>
      <c r="FL2559" s="145"/>
      <c r="FM2559" s="145"/>
      <c r="FN2559" s="145"/>
      <c r="FO2559" s="145"/>
      <c r="FP2559" s="145"/>
      <c r="FQ2559" s="145"/>
      <c r="FR2559" s="145"/>
      <c r="FS2559" s="145"/>
      <c r="FT2559" s="145"/>
      <c r="FU2559" s="145"/>
      <c r="FV2559" s="145"/>
      <c r="FW2559" s="145"/>
      <c r="FX2559" s="145"/>
      <c r="FY2559" s="145"/>
      <c r="FZ2559" s="145"/>
      <c r="GA2559" s="145"/>
      <c r="GB2559" s="145"/>
      <c r="GC2559" s="145"/>
      <c r="GD2559" s="145"/>
      <c r="GE2559" s="145"/>
      <c r="GF2559" s="145"/>
      <c r="GG2559" s="145"/>
      <c r="GH2559" s="145"/>
      <c r="GI2559" s="145"/>
      <c r="GJ2559" s="145"/>
      <c r="GK2559" s="145"/>
      <c r="GL2559" s="145"/>
      <c r="GM2559" s="145"/>
      <c r="GN2559" s="145"/>
      <c r="GO2559" s="145"/>
      <c r="GP2559" s="145"/>
      <c r="GQ2559" s="145"/>
      <c r="GR2559" s="145"/>
      <c r="GS2559" s="145"/>
      <c r="GT2559" s="145"/>
      <c r="GU2559" s="145"/>
      <c r="GV2559" s="145"/>
      <c r="GW2559" s="145"/>
      <c r="GX2559" s="145"/>
      <c r="GY2559" s="145"/>
      <c r="GZ2559" s="145"/>
      <c r="HA2559" s="145"/>
      <c r="HB2559" s="145"/>
      <c r="HC2559" s="145"/>
      <c r="HD2559" s="145"/>
      <c r="HE2559" s="145"/>
      <c r="HF2559" s="145"/>
      <c r="HG2559" s="145"/>
    </row>
    <row r="2560" spans="1:215" x14ac:dyDescent="0.35">
      <c r="A2560" s="270">
        <f>A2555+1</f>
        <v>11</v>
      </c>
      <c r="B2560" s="270">
        <v>5452</v>
      </c>
      <c r="C2560" s="278" t="s">
        <v>446</v>
      </c>
      <c r="D2560" s="273">
        <v>362</v>
      </c>
      <c r="E2560" s="273" t="s">
        <v>633</v>
      </c>
      <c r="F2560" s="282">
        <v>2</v>
      </c>
      <c r="G2560" s="270" t="s">
        <v>84</v>
      </c>
      <c r="H2560" s="136" t="s">
        <v>72</v>
      </c>
      <c r="I2560" s="181">
        <f>I2561+I2562+I2563+I2564</f>
        <v>2426884.2000000002</v>
      </c>
      <c r="J2560" s="181">
        <f>J2561+J2562+J2563+J2564</f>
        <v>6704.1</v>
      </c>
      <c r="K2560" s="181">
        <f>K2561+K2562+K2563+K2564</f>
        <v>9492</v>
      </c>
      <c r="L2560" s="145"/>
      <c r="M2560" s="145"/>
      <c r="N2560" s="145"/>
      <c r="O2560" s="145"/>
      <c r="P2560" s="145"/>
      <c r="Q2560" s="145"/>
      <c r="R2560" s="145"/>
      <c r="S2560" s="145"/>
      <c r="T2560" s="145"/>
      <c r="U2560" s="145"/>
      <c r="V2560" s="145"/>
      <c r="W2560" s="145"/>
      <c r="X2560" s="145"/>
      <c r="Y2560" s="145"/>
      <c r="Z2560" s="145"/>
      <c r="AA2560" s="145"/>
      <c r="AB2560" s="145"/>
      <c r="AC2560" s="145"/>
      <c r="AD2560" s="145"/>
      <c r="AE2560" s="145"/>
      <c r="AF2560" s="145"/>
      <c r="AG2560" s="145"/>
      <c r="AH2560" s="145"/>
      <c r="AI2560" s="145"/>
      <c r="AJ2560" s="145"/>
      <c r="AK2560" s="145"/>
      <c r="AL2560" s="145"/>
      <c r="AM2560" s="145"/>
      <c r="AN2560" s="145"/>
      <c r="AO2560" s="145"/>
      <c r="AP2560" s="145"/>
      <c r="AQ2560" s="145"/>
      <c r="AR2560" s="145"/>
      <c r="AS2560" s="145"/>
      <c r="AT2560" s="145"/>
      <c r="AU2560" s="145"/>
      <c r="AV2560" s="145"/>
      <c r="AW2560" s="145"/>
      <c r="AX2560" s="145"/>
      <c r="AY2560" s="145"/>
      <c r="AZ2560" s="145"/>
      <c r="BA2560" s="145"/>
      <c r="BB2560" s="145"/>
      <c r="BC2560" s="145"/>
      <c r="BD2560" s="145"/>
      <c r="BE2560" s="145"/>
      <c r="BF2560" s="145"/>
      <c r="BG2560" s="145"/>
      <c r="BH2560" s="145"/>
      <c r="BI2560" s="145"/>
      <c r="BJ2560" s="145"/>
      <c r="BK2560" s="145"/>
      <c r="BL2560" s="145"/>
      <c r="BM2560" s="145"/>
      <c r="BN2560" s="145"/>
      <c r="BO2560" s="145"/>
      <c r="BP2560" s="145"/>
      <c r="BQ2560" s="145"/>
      <c r="BR2560" s="145"/>
      <c r="BS2560" s="145"/>
      <c r="BT2560" s="145"/>
      <c r="BU2560" s="145"/>
      <c r="BV2560" s="145"/>
      <c r="BW2560" s="145"/>
      <c r="BX2560" s="145"/>
      <c r="BY2560" s="145"/>
      <c r="BZ2560" s="145"/>
      <c r="CA2560" s="145"/>
      <c r="CB2560" s="145"/>
      <c r="CC2560" s="145"/>
      <c r="CD2560" s="145"/>
      <c r="CE2560" s="145"/>
      <c r="CF2560" s="145"/>
      <c r="CG2560" s="145"/>
      <c r="CH2560" s="145"/>
      <c r="CI2560" s="145"/>
      <c r="CJ2560" s="145"/>
      <c r="CK2560" s="145"/>
      <c r="CL2560" s="145"/>
      <c r="CM2560" s="145"/>
      <c r="CN2560" s="145"/>
      <c r="CO2560" s="145"/>
      <c r="CP2560" s="145"/>
      <c r="CQ2560" s="145"/>
      <c r="CR2560" s="145"/>
      <c r="CS2560" s="145"/>
      <c r="CT2560" s="145"/>
      <c r="CU2560" s="145"/>
      <c r="CV2560" s="145"/>
      <c r="CW2560" s="145"/>
      <c r="CX2560" s="145"/>
      <c r="CY2560" s="145"/>
      <c r="CZ2560" s="145"/>
      <c r="DA2560" s="145"/>
      <c r="DB2560" s="145"/>
      <c r="DC2560" s="145"/>
      <c r="DD2560" s="145"/>
      <c r="DE2560" s="145"/>
      <c r="DF2560" s="145"/>
      <c r="DG2560" s="145"/>
      <c r="DH2560" s="145"/>
      <c r="DI2560" s="145"/>
      <c r="DJ2560" s="145"/>
      <c r="DK2560" s="145"/>
      <c r="DL2560" s="145"/>
      <c r="DM2560" s="145"/>
      <c r="DN2560" s="145"/>
      <c r="DO2560" s="145"/>
      <c r="DP2560" s="145"/>
      <c r="DQ2560" s="145"/>
      <c r="DR2560" s="145"/>
      <c r="DS2560" s="145"/>
      <c r="DT2560" s="145"/>
      <c r="DU2560" s="145"/>
      <c r="DV2560" s="145"/>
      <c r="DW2560" s="145"/>
      <c r="DX2560" s="145"/>
      <c r="DY2560" s="145"/>
      <c r="DZ2560" s="145"/>
      <c r="EA2560" s="145"/>
      <c r="EB2560" s="145"/>
      <c r="EC2560" s="145"/>
      <c r="ED2560" s="145"/>
      <c r="EE2560" s="145"/>
      <c r="EF2560" s="145"/>
      <c r="EG2560" s="145"/>
      <c r="EH2560" s="145"/>
      <c r="EI2560" s="145"/>
      <c r="EJ2560" s="145"/>
      <c r="EK2560" s="145"/>
      <c r="EL2560" s="145"/>
      <c r="EM2560" s="145"/>
      <c r="EN2560" s="145"/>
      <c r="EO2560" s="145"/>
      <c r="EP2560" s="145"/>
      <c r="EQ2560" s="145"/>
      <c r="ER2560" s="145"/>
      <c r="ES2560" s="145"/>
      <c r="ET2560" s="145"/>
      <c r="EU2560" s="145"/>
      <c r="EV2560" s="145"/>
      <c r="EW2560" s="145"/>
      <c r="EX2560" s="145"/>
      <c r="EY2560" s="145"/>
      <c r="EZ2560" s="145"/>
      <c r="FA2560" s="145"/>
      <c r="FB2560" s="145"/>
      <c r="FC2560" s="145"/>
      <c r="FD2560" s="145"/>
      <c r="FE2560" s="145"/>
      <c r="FF2560" s="145"/>
      <c r="FG2560" s="145"/>
      <c r="FH2560" s="145"/>
      <c r="FI2560" s="145"/>
      <c r="FJ2560" s="145"/>
      <c r="FK2560" s="145"/>
      <c r="FL2560" s="145"/>
      <c r="FM2560" s="145"/>
      <c r="FN2560" s="145"/>
      <c r="FO2560" s="145"/>
      <c r="FP2560" s="145"/>
      <c r="FQ2560" s="145"/>
      <c r="FR2560" s="145"/>
      <c r="FS2560" s="145"/>
      <c r="FT2560" s="145"/>
      <c r="FU2560" s="145"/>
      <c r="FV2560" s="145"/>
      <c r="FW2560" s="145"/>
      <c r="FX2560" s="145"/>
      <c r="FY2560" s="145"/>
      <c r="FZ2560" s="145"/>
      <c r="GA2560" s="145"/>
      <c r="GB2560" s="145"/>
      <c r="GC2560" s="145"/>
      <c r="GD2560" s="145"/>
      <c r="GE2560" s="145"/>
      <c r="GF2560" s="145"/>
      <c r="GG2560" s="145"/>
      <c r="GH2560" s="145"/>
      <c r="GI2560" s="145"/>
      <c r="GJ2560" s="145"/>
      <c r="GK2560" s="145"/>
      <c r="GL2560" s="145"/>
      <c r="GM2560" s="145"/>
      <c r="GN2560" s="145"/>
      <c r="GO2560" s="145"/>
      <c r="GP2560" s="145"/>
      <c r="GQ2560" s="145"/>
      <c r="GR2560" s="145"/>
      <c r="GS2560" s="145"/>
      <c r="GT2560" s="145"/>
      <c r="GU2560" s="145"/>
      <c r="GV2560" s="145"/>
      <c r="GW2560" s="145"/>
      <c r="GX2560" s="145"/>
      <c r="GY2560" s="145"/>
      <c r="GZ2560" s="145"/>
      <c r="HA2560" s="145"/>
      <c r="HB2560" s="145"/>
      <c r="HC2560" s="145"/>
      <c r="HD2560" s="145"/>
      <c r="HE2560" s="145"/>
      <c r="HF2560" s="145"/>
      <c r="HG2560" s="145"/>
    </row>
    <row r="2561" spans="1:215" x14ac:dyDescent="0.35">
      <c r="A2561" s="271"/>
      <c r="B2561" s="271"/>
      <c r="C2561" s="279"/>
      <c r="D2561" s="274"/>
      <c r="E2561" s="274"/>
      <c r="F2561" s="283"/>
      <c r="G2561" s="271"/>
      <c r="H2561" s="136" t="s">
        <v>73</v>
      </c>
      <c r="I2561" s="181">
        <f>D2560*K2561*0.7</f>
        <v>1329843.2</v>
      </c>
      <c r="J2561" s="181">
        <f>I2561/D2560</f>
        <v>3673.6</v>
      </c>
      <c r="K2561" s="181">
        <v>5248</v>
      </c>
      <c r="L2561" s="145"/>
      <c r="M2561" s="145"/>
      <c r="N2561" s="145"/>
      <c r="O2561" s="145"/>
      <c r="P2561" s="145"/>
      <c r="Q2561" s="145"/>
      <c r="R2561" s="145"/>
      <c r="S2561" s="145"/>
      <c r="T2561" s="145"/>
      <c r="U2561" s="145"/>
      <c r="V2561" s="145"/>
      <c r="W2561" s="145"/>
      <c r="X2561" s="145"/>
      <c r="Y2561" s="145"/>
      <c r="Z2561" s="145"/>
      <c r="AA2561" s="145"/>
      <c r="AB2561" s="145"/>
      <c r="AC2561" s="145"/>
      <c r="AD2561" s="145"/>
      <c r="AE2561" s="145"/>
      <c r="AF2561" s="145"/>
      <c r="AG2561" s="145"/>
      <c r="AH2561" s="145"/>
      <c r="AI2561" s="145"/>
      <c r="AJ2561" s="145"/>
      <c r="AK2561" s="145"/>
      <c r="AL2561" s="145"/>
      <c r="AM2561" s="145"/>
      <c r="AN2561" s="145"/>
      <c r="AO2561" s="145"/>
      <c r="AP2561" s="145"/>
      <c r="AQ2561" s="145"/>
      <c r="AR2561" s="145"/>
      <c r="AS2561" s="145"/>
      <c r="AT2561" s="145"/>
      <c r="AU2561" s="145"/>
      <c r="AV2561" s="145"/>
      <c r="AW2561" s="145"/>
      <c r="AX2561" s="145"/>
      <c r="AY2561" s="145"/>
      <c r="AZ2561" s="145"/>
      <c r="BA2561" s="145"/>
      <c r="BB2561" s="145"/>
      <c r="BC2561" s="145"/>
      <c r="BD2561" s="145"/>
      <c r="BE2561" s="145"/>
      <c r="BF2561" s="145"/>
      <c r="BG2561" s="145"/>
      <c r="BH2561" s="145"/>
      <c r="BI2561" s="145"/>
      <c r="BJ2561" s="145"/>
      <c r="BK2561" s="145"/>
      <c r="BL2561" s="145"/>
      <c r="BM2561" s="145"/>
      <c r="BN2561" s="145"/>
      <c r="BO2561" s="145"/>
      <c r="BP2561" s="145"/>
      <c r="BQ2561" s="145"/>
      <c r="BR2561" s="145"/>
      <c r="BS2561" s="145"/>
      <c r="BT2561" s="145"/>
      <c r="BU2561" s="145"/>
      <c r="BV2561" s="145"/>
      <c r="BW2561" s="145"/>
      <c r="BX2561" s="145"/>
      <c r="BY2561" s="145"/>
      <c r="BZ2561" s="145"/>
      <c r="CA2561" s="145"/>
      <c r="CB2561" s="145"/>
      <c r="CC2561" s="145"/>
      <c r="CD2561" s="145"/>
      <c r="CE2561" s="145"/>
      <c r="CF2561" s="145"/>
      <c r="CG2561" s="145"/>
      <c r="CH2561" s="145"/>
      <c r="CI2561" s="145"/>
      <c r="CJ2561" s="145"/>
      <c r="CK2561" s="145"/>
      <c r="CL2561" s="145"/>
      <c r="CM2561" s="145"/>
      <c r="CN2561" s="145"/>
      <c r="CO2561" s="145"/>
      <c r="CP2561" s="145"/>
      <c r="CQ2561" s="145"/>
      <c r="CR2561" s="145"/>
      <c r="CS2561" s="145"/>
      <c r="CT2561" s="145"/>
      <c r="CU2561" s="145"/>
      <c r="CV2561" s="145"/>
      <c r="CW2561" s="145"/>
      <c r="CX2561" s="145"/>
      <c r="CY2561" s="145"/>
      <c r="CZ2561" s="145"/>
      <c r="DA2561" s="145"/>
      <c r="DB2561" s="145"/>
      <c r="DC2561" s="145"/>
      <c r="DD2561" s="145"/>
      <c r="DE2561" s="145"/>
      <c r="DF2561" s="145"/>
      <c r="DG2561" s="145"/>
      <c r="DH2561" s="145"/>
      <c r="DI2561" s="145"/>
      <c r="DJ2561" s="145"/>
      <c r="DK2561" s="145"/>
      <c r="DL2561" s="145"/>
      <c r="DM2561" s="145"/>
      <c r="DN2561" s="145"/>
      <c r="DO2561" s="145"/>
      <c r="DP2561" s="145"/>
      <c r="DQ2561" s="145"/>
      <c r="DR2561" s="145"/>
      <c r="DS2561" s="145"/>
      <c r="DT2561" s="145"/>
      <c r="DU2561" s="145"/>
      <c r="DV2561" s="145"/>
      <c r="DW2561" s="145"/>
      <c r="DX2561" s="145"/>
      <c r="DY2561" s="145"/>
      <c r="DZ2561" s="145"/>
      <c r="EA2561" s="145"/>
      <c r="EB2561" s="145"/>
      <c r="EC2561" s="145"/>
      <c r="ED2561" s="145"/>
      <c r="EE2561" s="145"/>
      <c r="EF2561" s="145"/>
      <c r="EG2561" s="145"/>
      <c r="EH2561" s="145"/>
      <c r="EI2561" s="145"/>
      <c r="EJ2561" s="145"/>
      <c r="EK2561" s="145"/>
      <c r="EL2561" s="145"/>
      <c r="EM2561" s="145"/>
      <c r="EN2561" s="145"/>
      <c r="EO2561" s="145"/>
      <c r="EP2561" s="145"/>
      <c r="EQ2561" s="145"/>
      <c r="ER2561" s="145"/>
      <c r="ES2561" s="145"/>
      <c r="ET2561" s="145"/>
      <c r="EU2561" s="145"/>
      <c r="EV2561" s="145"/>
      <c r="EW2561" s="145"/>
      <c r="EX2561" s="145"/>
      <c r="EY2561" s="145"/>
      <c r="EZ2561" s="145"/>
      <c r="FA2561" s="145"/>
      <c r="FB2561" s="145"/>
      <c r="FC2561" s="145"/>
      <c r="FD2561" s="145"/>
      <c r="FE2561" s="145"/>
      <c r="FF2561" s="145"/>
      <c r="FG2561" s="145"/>
      <c r="FH2561" s="145"/>
      <c r="FI2561" s="145"/>
      <c r="FJ2561" s="145"/>
      <c r="FK2561" s="145"/>
      <c r="FL2561" s="145"/>
      <c r="FM2561" s="145"/>
      <c r="FN2561" s="145"/>
      <c r="FO2561" s="145"/>
      <c r="FP2561" s="145"/>
      <c r="FQ2561" s="145"/>
      <c r="FR2561" s="145"/>
      <c r="FS2561" s="145"/>
      <c r="FT2561" s="145"/>
      <c r="FU2561" s="145"/>
      <c r="FV2561" s="145"/>
      <c r="FW2561" s="145"/>
      <c r="FX2561" s="145"/>
      <c r="FY2561" s="145"/>
      <c r="FZ2561" s="145"/>
      <c r="GA2561" s="145"/>
      <c r="GB2561" s="145"/>
      <c r="GC2561" s="145"/>
      <c r="GD2561" s="145"/>
      <c r="GE2561" s="145"/>
      <c r="GF2561" s="145"/>
      <c r="GG2561" s="145"/>
      <c r="GH2561" s="145"/>
      <c r="GI2561" s="145"/>
      <c r="GJ2561" s="145"/>
      <c r="GK2561" s="145"/>
      <c r="GL2561" s="145"/>
      <c r="GM2561" s="145"/>
      <c r="GN2561" s="145"/>
      <c r="GO2561" s="145"/>
      <c r="GP2561" s="145"/>
      <c r="GQ2561" s="145"/>
      <c r="GR2561" s="145"/>
      <c r="GS2561" s="145"/>
      <c r="GT2561" s="145"/>
      <c r="GU2561" s="145"/>
      <c r="GV2561" s="145"/>
      <c r="GW2561" s="145"/>
      <c r="GX2561" s="145"/>
      <c r="GY2561" s="145"/>
      <c r="GZ2561" s="145"/>
      <c r="HA2561" s="145"/>
      <c r="HB2561" s="145"/>
      <c r="HC2561" s="145"/>
      <c r="HD2561" s="145"/>
      <c r="HE2561" s="145"/>
      <c r="HF2561" s="145"/>
      <c r="HG2561" s="145"/>
    </row>
    <row r="2562" spans="1:215" x14ac:dyDescent="0.35">
      <c r="A2562" s="271"/>
      <c r="B2562" s="271"/>
      <c r="C2562" s="279"/>
      <c r="D2562" s="274"/>
      <c r="E2562" s="274"/>
      <c r="F2562" s="283"/>
      <c r="G2562" s="271"/>
      <c r="H2562" s="136" t="s">
        <v>75</v>
      </c>
      <c r="I2562" s="181">
        <f>D2560*K2562</f>
        <v>40544</v>
      </c>
      <c r="J2562" s="181">
        <f>I2562/D2560</f>
        <v>112</v>
      </c>
      <c r="K2562" s="181">
        <v>112</v>
      </c>
      <c r="L2562" s="145"/>
      <c r="M2562" s="145"/>
      <c r="N2562" s="145"/>
      <c r="O2562" s="145"/>
      <c r="P2562" s="145"/>
      <c r="Q2562" s="145"/>
      <c r="R2562" s="145"/>
      <c r="S2562" s="145"/>
      <c r="T2562" s="145"/>
      <c r="U2562" s="145"/>
      <c r="V2562" s="145"/>
      <c r="W2562" s="145"/>
      <c r="X2562" s="145"/>
      <c r="Y2562" s="145"/>
      <c r="Z2562" s="145"/>
      <c r="AA2562" s="145"/>
      <c r="AB2562" s="145"/>
      <c r="AC2562" s="145"/>
      <c r="AD2562" s="145"/>
      <c r="AE2562" s="145"/>
      <c r="AF2562" s="145"/>
      <c r="AG2562" s="145"/>
      <c r="AH2562" s="145"/>
      <c r="AI2562" s="145"/>
      <c r="AJ2562" s="145"/>
      <c r="AK2562" s="145"/>
      <c r="AL2562" s="145"/>
      <c r="AM2562" s="145"/>
      <c r="AN2562" s="145"/>
      <c r="AO2562" s="145"/>
      <c r="AP2562" s="145"/>
      <c r="AQ2562" s="145"/>
      <c r="AR2562" s="145"/>
      <c r="AS2562" s="145"/>
      <c r="AT2562" s="145"/>
      <c r="AU2562" s="145"/>
      <c r="AV2562" s="145"/>
      <c r="AW2562" s="145"/>
      <c r="AX2562" s="145"/>
      <c r="AY2562" s="145"/>
      <c r="AZ2562" s="145"/>
      <c r="BA2562" s="145"/>
      <c r="BB2562" s="145"/>
      <c r="BC2562" s="145"/>
      <c r="BD2562" s="145"/>
      <c r="BE2562" s="145"/>
      <c r="BF2562" s="145"/>
      <c r="BG2562" s="145"/>
      <c r="BH2562" s="145"/>
      <c r="BI2562" s="145"/>
      <c r="BJ2562" s="145"/>
      <c r="BK2562" s="145"/>
      <c r="BL2562" s="145"/>
      <c r="BM2562" s="145"/>
      <c r="BN2562" s="145"/>
      <c r="BO2562" s="145"/>
      <c r="BP2562" s="145"/>
      <c r="BQ2562" s="145"/>
      <c r="BR2562" s="145"/>
      <c r="BS2562" s="145"/>
      <c r="BT2562" s="145"/>
      <c r="BU2562" s="145"/>
      <c r="BV2562" s="145"/>
      <c r="BW2562" s="145"/>
      <c r="BX2562" s="145"/>
      <c r="BY2562" s="145"/>
      <c r="BZ2562" s="145"/>
      <c r="CA2562" s="145"/>
      <c r="CB2562" s="145"/>
      <c r="CC2562" s="145"/>
      <c r="CD2562" s="145"/>
      <c r="CE2562" s="145"/>
      <c r="CF2562" s="145"/>
      <c r="CG2562" s="145"/>
      <c r="CH2562" s="145"/>
      <c r="CI2562" s="145"/>
      <c r="CJ2562" s="145"/>
      <c r="CK2562" s="145"/>
      <c r="CL2562" s="145"/>
      <c r="CM2562" s="145"/>
      <c r="CN2562" s="145"/>
      <c r="CO2562" s="145"/>
      <c r="CP2562" s="145"/>
      <c r="CQ2562" s="145"/>
      <c r="CR2562" s="145"/>
      <c r="CS2562" s="145"/>
      <c r="CT2562" s="145"/>
      <c r="CU2562" s="145"/>
      <c r="CV2562" s="145"/>
      <c r="CW2562" s="145"/>
      <c r="CX2562" s="145"/>
      <c r="CY2562" s="145"/>
      <c r="CZ2562" s="145"/>
      <c r="DA2562" s="145"/>
      <c r="DB2562" s="145"/>
      <c r="DC2562" s="145"/>
      <c r="DD2562" s="145"/>
      <c r="DE2562" s="145"/>
      <c r="DF2562" s="145"/>
      <c r="DG2562" s="145"/>
      <c r="DH2562" s="145"/>
      <c r="DI2562" s="145"/>
      <c r="DJ2562" s="145"/>
      <c r="DK2562" s="145"/>
      <c r="DL2562" s="145"/>
      <c r="DM2562" s="145"/>
      <c r="DN2562" s="145"/>
      <c r="DO2562" s="145"/>
      <c r="DP2562" s="145"/>
      <c r="DQ2562" s="145"/>
      <c r="DR2562" s="145"/>
      <c r="DS2562" s="145"/>
      <c r="DT2562" s="145"/>
      <c r="DU2562" s="145"/>
      <c r="DV2562" s="145"/>
      <c r="DW2562" s="145"/>
      <c r="DX2562" s="145"/>
      <c r="DY2562" s="145"/>
      <c r="DZ2562" s="145"/>
      <c r="EA2562" s="145"/>
      <c r="EB2562" s="145"/>
      <c r="EC2562" s="145"/>
      <c r="ED2562" s="145"/>
      <c r="EE2562" s="145"/>
      <c r="EF2562" s="145"/>
      <c r="EG2562" s="145"/>
      <c r="EH2562" s="145"/>
      <c r="EI2562" s="145"/>
      <c r="EJ2562" s="145"/>
      <c r="EK2562" s="145"/>
      <c r="EL2562" s="145"/>
      <c r="EM2562" s="145"/>
      <c r="EN2562" s="145"/>
      <c r="EO2562" s="145"/>
      <c r="EP2562" s="145"/>
      <c r="EQ2562" s="145"/>
      <c r="ER2562" s="145"/>
      <c r="ES2562" s="145"/>
      <c r="ET2562" s="145"/>
      <c r="EU2562" s="145"/>
      <c r="EV2562" s="145"/>
      <c r="EW2562" s="145"/>
      <c r="EX2562" s="145"/>
      <c r="EY2562" s="145"/>
      <c r="EZ2562" s="145"/>
      <c r="FA2562" s="145"/>
      <c r="FB2562" s="145"/>
      <c r="FC2562" s="145"/>
      <c r="FD2562" s="145"/>
      <c r="FE2562" s="145"/>
      <c r="FF2562" s="145"/>
      <c r="FG2562" s="145"/>
      <c r="FH2562" s="145"/>
      <c r="FI2562" s="145"/>
      <c r="FJ2562" s="145"/>
      <c r="FK2562" s="145"/>
      <c r="FL2562" s="145"/>
      <c r="FM2562" s="145"/>
      <c r="FN2562" s="145"/>
      <c r="FO2562" s="145"/>
      <c r="FP2562" s="145"/>
      <c r="FQ2562" s="145"/>
      <c r="FR2562" s="145"/>
      <c r="FS2562" s="145"/>
      <c r="FT2562" s="145"/>
      <c r="FU2562" s="145"/>
      <c r="FV2562" s="145"/>
      <c r="FW2562" s="145"/>
      <c r="FX2562" s="145"/>
      <c r="FY2562" s="145"/>
      <c r="FZ2562" s="145"/>
      <c r="GA2562" s="145"/>
      <c r="GB2562" s="145"/>
      <c r="GC2562" s="145"/>
      <c r="GD2562" s="145"/>
      <c r="GE2562" s="145"/>
      <c r="GF2562" s="145"/>
      <c r="GG2562" s="145"/>
      <c r="GH2562" s="145"/>
      <c r="GI2562" s="145"/>
      <c r="GJ2562" s="145"/>
      <c r="GK2562" s="145"/>
      <c r="GL2562" s="145"/>
      <c r="GM2562" s="145"/>
      <c r="GN2562" s="145"/>
      <c r="GO2562" s="145"/>
      <c r="GP2562" s="145"/>
      <c r="GQ2562" s="145"/>
      <c r="GR2562" s="145"/>
      <c r="GS2562" s="145"/>
      <c r="GT2562" s="145"/>
      <c r="GU2562" s="145"/>
      <c r="GV2562" s="145"/>
      <c r="GW2562" s="145"/>
      <c r="GX2562" s="145"/>
      <c r="GY2562" s="145"/>
      <c r="GZ2562" s="145"/>
      <c r="HA2562" s="145"/>
      <c r="HB2562" s="145"/>
      <c r="HC2562" s="145"/>
      <c r="HD2562" s="145"/>
      <c r="HE2562" s="145"/>
      <c r="HF2562" s="145"/>
      <c r="HG2562" s="145"/>
    </row>
    <row r="2563" spans="1:215" x14ac:dyDescent="0.35">
      <c r="A2563" s="271">
        <v>1126</v>
      </c>
      <c r="B2563" s="271"/>
      <c r="C2563" s="279"/>
      <c r="D2563" s="274"/>
      <c r="E2563" s="274"/>
      <c r="F2563" s="283"/>
      <c r="G2563" s="271"/>
      <c r="H2563" s="136" t="s">
        <v>676</v>
      </c>
      <c r="I2563" s="181">
        <f>D2560*K2563*0.7</f>
        <v>1025003</v>
      </c>
      <c r="J2563" s="181">
        <f>I2563/D2560</f>
        <v>2831.5</v>
      </c>
      <c r="K2563" s="181">
        <v>4045</v>
      </c>
      <c r="L2563" s="145"/>
      <c r="M2563" s="145"/>
      <c r="N2563" s="145"/>
      <c r="O2563" s="145"/>
      <c r="P2563" s="145"/>
      <c r="Q2563" s="145"/>
      <c r="R2563" s="145"/>
      <c r="S2563" s="145"/>
      <c r="T2563" s="145"/>
      <c r="U2563" s="145"/>
      <c r="V2563" s="145"/>
      <c r="W2563" s="145"/>
      <c r="X2563" s="145"/>
      <c r="Y2563" s="145"/>
      <c r="Z2563" s="145"/>
      <c r="AA2563" s="145"/>
      <c r="AB2563" s="145"/>
      <c r="AC2563" s="145"/>
      <c r="AD2563" s="145"/>
      <c r="AE2563" s="145"/>
      <c r="AF2563" s="145"/>
      <c r="AG2563" s="145"/>
      <c r="AH2563" s="145"/>
      <c r="AI2563" s="145"/>
      <c r="AJ2563" s="145"/>
      <c r="AK2563" s="145"/>
      <c r="AL2563" s="145"/>
      <c r="AM2563" s="145"/>
      <c r="AN2563" s="145"/>
      <c r="AO2563" s="145"/>
      <c r="AP2563" s="145"/>
      <c r="AQ2563" s="145"/>
      <c r="AR2563" s="145"/>
      <c r="AS2563" s="145"/>
      <c r="AT2563" s="145"/>
      <c r="AU2563" s="145"/>
      <c r="AV2563" s="145"/>
      <c r="AW2563" s="145"/>
      <c r="AX2563" s="145"/>
      <c r="AY2563" s="145"/>
      <c r="AZ2563" s="145"/>
      <c r="BA2563" s="145"/>
      <c r="BB2563" s="145"/>
      <c r="BC2563" s="145"/>
      <c r="BD2563" s="145"/>
      <c r="BE2563" s="145"/>
      <c r="BF2563" s="145"/>
      <c r="BG2563" s="145"/>
      <c r="BH2563" s="145"/>
      <c r="BI2563" s="145"/>
      <c r="BJ2563" s="145"/>
      <c r="BK2563" s="145"/>
      <c r="BL2563" s="145"/>
      <c r="BM2563" s="145"/>
      <c r="BN2563" s="145"/>
      <c r="BO2563" s="145"/>
      <c r="BP2563" s="145"/>
      <c r="BQ2563" s="145"/>
      <c r="BR2563" s="145"/>
      <c r="BS2563" s="145"/>
      <c r="BT2563" s="145"/>
      <c r="BU2563" s="145"/>
      <c r="BV2563" s="145"/>
      <c r="BW2563" s="145"/>
      <c r="BX2563" s="145"/>
      <c r="BY2563" s="145"/>
      <c r="BZ2563" s="145"/>
      <c r="CA2563" s="145"/>
      <c r="CB2563" s="145"/>
      <c r="CC2563" s="145"/>
      <c r="CD2563" s="145"/>
      <c r="CE2563" s="145"/>
      <c r="CF2563" s="145"/>
      <c r="CG2563" s="145"/>
      <c r="CH2563" s="145"/>
      <c r="CI2563" s="145"/>
      <c r="CJ2563" s="145"/>
      <c r="CK2563" s="145"/>
      <c r="CL2563" s="145"/>
      <c r="CM2563" s="145"/>
      <c r="CN2563" s="145"/>
      <c r="CO2563" s="145"/>
      <c r="CP2563" s="145"/>
      <c r="CQ2563" s="145"/>
      <c r="CR2563" s="145"/>
      <c r="CS2563" s="145"/>
      <c r="CT2563" s="145"/>
      <c r="CU2563" s="145"/>
      <c r="CV2563" s="145"/>
      <c r="CW2563" s="145"/>
      <c r="CX2563" s="145"/>
      <c r="CY2563" s="145"/>
      <c r="CZ2563" s="145"/>
      <c r="DA2563" s="145"/>
      <c r="DB2563" s="145"/>
      <c r="DC2563" s="145"/>
      <c r="DD2563" s="145"/>
      <c r="DE2563" s="145"/>
      <c r="DF2563" s="145"/>
      <c r="DG2563" s="145"/>
      <c r="DH2563" s="145"/>
      <c r="DI2563" s="145"/>
      <c r="DJ2563" s="145"/>
      <c r="DK2563" s="145"/>
      <c r="DL2563" s="145"/>
      <c r="DM2563" s="145"/>
      <c r="DN2563" s="145"/>
      <c r="DO2563" s="145"/>
      <c r="DP2563" s="145"/>
      <c r="DQ2563" s="145"/>
      <c r="DR2563" s="145"/>
      <c r="DS2563" s="145"/>
      <c r="DT2563" s="145"/>
      <c r="DU2563" s="145"/>
      <c r="DV2563" s="145"/>
      <c r="DW2563" s="145"/>
      <c r="DX2563" s="145"/>
      <c r="DY2563" s="145"/>
      <c r="DZ2563" s="145"/>
      <c r="EA2563" s="145"/>
      <c r="EB2563" s="145"/>
      <c r="EC2563" s="145"/>
      <c r="ED2563" s="145"/>
      <c r="EE2563" s="145"/>
      <c r="EF2563" s="145"/>
      <c r="EG2563" s="145"/>
      <c r="EH2563" s="145"/>
      <c r="EI2563" s="145"/>
      <c r="EJ2563" s="145"/>
      <c r="EK2563" s="145"/>
      <c r="EL2563" s="145"/>
      <c r="EM2563" s="145"/>
      <c r="EN2563" s="145"/>
      <c r="EO2563" s="145"/>
      <c r="EP2563" s="145"/>
      <c r="EQ2563" s="145"/>
      <c r="ER2563" s="145"/>
      <c r="ES2563" s="145"/>
      <c r="ET2563" s="145"/>
      <c r="EU2563" s="145"/>
      <c r="EV2563" s="145"/>
      <c r="EW2563" s="145"/>
      <c r="EX2563" s="145"/>
      <c r="EY2563" s="145"/>
      <c r="EZ2563" s="145"/>
      <c r="FA2563" s="145"/>
      <c r="FB2563" s="145"/>
      <c r="FC2563" s="145"/>
      <c r="FD2563" s="145"/>
      <c r="FE2563" s="145"/>
      <c r="FF2563" s="145"/>
      <c r="FG2563" s="145"/>
      <c r="FH2563" s="145"/>
      <c r="FI2563" s="145"/>
      <c r="FJ2563" s="145"/>
      <c r="FK2563" s="145"/>
      <c r="FL2563" s="145"/>
      <c r="FM2563" s="145"/>
      <c r="FN2563" s="145"/>
      <c r="FO2563" s="145"/>
      <c r="FP2563" s="145"/>
      <c r="FQ2563" s="145"/>
      <c r="FR2563" s="145"/>
      <c r="FS2563" s="145"/>
      <c r="FT2563" s="145"/>
      <c r="FU2563" s="145"/>
      <c r="FV2563" s="145"/>
      <c r="FW2563" s="145"/>
      <c r="FX2563" s="145"/>
      <c r="FY2563" s="145"/>
      <c r="FZ2563" s="145"/>
      <c r="GA2563" s="145"/>
      <c r="GB2563" s="145"/>
      <c r="GC2563" s="145"/>
      <c r="GD2563" s="145"/>
      <c r="GE2563" s="145"/>
      <c r="GF2563" s="145"/>
      <c r="GG2563" s="145"/>
      <c r="GH2563" s="145"/>
      <c r="GI2563" s="145"/>
      <c r="GJ2563" s="145"/>
      <c r="GK2563" s="145"/>
      <c r="GL2563" s="145"/>
      <c r="GM2563" s="145"/>
      <c r="GN2563" s="145"/>
      <c r="GO2563" s="145"/>
      <c r="GP2563" s="145"/>
      <c r="GQ2563" s="145"/>
      <c r="GR2563" s="145"/>
      <c r="GS2563" s="145"/>
      <c r="GT2563" s="145"/>
      <c r="GU2563" s="145"/>
      <c r="GV2563" s="145"/>
      <c r="GW2563" s="145"/>
      <c r="GX2563" s="145"/>
      <c r="GY2563" s="145"/>
      <c r="GZ2563" s="145"/>
      <c r="HA2563" s="145"/>
      <c r="HB2563" s="145"/>
      <c r="HC2563" s="145"/>
      <c r="HD2563" s="145"/>
      <c r="HE2563" s="145"/>
      <c r="HF2563" s="145"/>
      <c r="HG2563" s="145"/>
    </row>
    <row r="2564" spans="1:215" x14ac:dyDescent="0.35">
      <c r="A2564" s="272">
        <v>1127</v>
      </c>
      <c r="B2564" s="272"/>
      <c r="C2564" s="285"/>
      <c r="D2564" s="275"/>
      <c r="E2564" s="275"/>
      <c r="F2564" s="284"/>
      <c r="G2564" s="272"/>
      <c r="H2564" s="136" t="s">
        <v>75</v>
      </c>
      <c r="I2564" s="181">
        <f>D2560*K2564</f>
        <v>31494</v>
      </c>
      <c r="J2564" s="181">
        <f>I2564/D2560</f>
        <v>87</v>
      </c>
      <c r="K2564" s="181">
        <v>87</v>
      </c>
      <c r="L2564" s="145"/>
      <c r="M2564" s="145"/>
      <c r="N2564" s="145"/>
      <c r="O2564" s="145"/>
      <c r="P2564" s="145"/>
      <c r="Q2564" s="145"/>
      <c r="R2564" s="145"/>
      <c r="S2564" s="145"/>
      <c r="T2564" s="145"/>
      <c r="U2564" s="145"/>
      <c r="V2564" s="145"/>
      <c r="W2564" s="145"/>
      <c r="X2564" s="145"/>
      <c r="Y2564" s="145"/>
      <c r="Z2564" s="145"/>
      <c r="AA2564" s="145"/>
      <c r="AB2564" s="145"/>
      <c r="AC2564" s="145"/>
      <c r="AD2564" s="145"/>
      <c r="AE2564" s="145"/>
      <c r="AF2564" s="145"/>
      <c r="AG2564" s="145"/>
      <c r="AH2564" s="145"/>
      <c r="AI2564" s="145"/>
      <c r="AJ2564" s="145"/>
      <c r="AK2564" s="145"/>
      <c r="AL2564" s="145"/>
      <c r="AM2564" s="145"/>
      <c r="AN2564" s="145"/>
      <c r="AO2564" s="145"/>
      <c r="AP2564" s="145"/>
      <c r="AQ2564" s="145"/>
      <c r="AR2564" s="145"/>
      <c r="AS2564" s="145"/>
      <c r="AT2564" s="145"/>
      <c r="AU2564" s="145"/>
      <c r="AV2564" s="145"/>
      <c r="AW2564" s="145"/>
      <c r="AX2564" s="145"/>
      <c r="AY2564" s="145"/>
      <c r="AZ2564" s="145"/>
      <c r="BA2564" s="145"/>
      <c r="BB2564" s="145"/>
      <c r="BC2564" s="145"/>
      <c r="BD2564" s="145"/>
      <c r="BE2564" s="145"/>
      <c r="BF2564" s="145"/>
      <c r="BG2564" s="145"/>
      <c r="BH2564" s="145"/>
      <c r="BI2564" s="145"/>
      <c r="BJ2564" s="145"/>
      <c r="BK2564" s="145"/>
      <c r="BL2564" s="145"/>
      <c r="BM2564" s="145"/>
      <c r="BN2564" s="145"/>
      <c r="BO2564" s="145"/>
      <c r="BP2564" s="145"/>
      <c r="BQ2564" s="145"/>
      <c r="BR2564" s="145"/>
      <c r="BS2564" s="145"/>
      <c r="BT2564" s="145"/>
      <c r="BU2564" s="145"/>
      <c r="BV2564" s="145"/>
      <c r="BW2564" s="145"/>
      <c r="BX2564" s="145"/>
      <c r="BY2564" s="145"/>
      <c r="BZ2564" s="145"/>
      <c r="CA2564" s="145"/>
      <c r="CB2564" s="145"/>
      <c r="CC2564" s="145"/>
      <c r="CD2564" s="145"/>
      <c r="CE2564" s="145"/>
      <c r="CF2564" s="145"/>
      <c r="CG2564" s="145"/>
      <c r="CH2564" s="145"/>
      <c r="CI2564" s="145"/>
      <c r="CJ2564" s="145"/>
      <c r="CK2564" s="145"/>
      <c r="CL2564" s="145"/>
      <c r="CM2564" s="145"/>
      <c r="CN2564" s="145"/>
      <c r="CO2564" s="145"/>
      <c r="CP2564" s="145"/>
      <c r="CQ2564" s="145"/>
      <c r="CR2564" s="145"/>
      <c r="CS2564" s="145"/>
      <c r="CT2564" s="145"/>
      <c r="CU2564" s="145"/>
      <c r="CV2564" s="145"/>
      <c r="CW2564" s="145"/>
      <c r="CX2564" s="145"/>
      <c r="CY2564" s="145"/>
      <c r="CZ2564" s="145"/>
      <c r="DA2564" s="145"/>
      <c r="DB2564" s="145"/>
      <c r="DC2564" s="145"/>
      <c r="DD2564" s="145"/>
      <c r="DE2564" s="145"/>
      <c r="DF2564" s="145"/>
      <c r="DG2564" s="145"/>
      <c r="DH2564" s="145"/>
      <c r="DI2564" s="145"/>
      <c r="DJ2564" s="145"/>
      <c r="DK2564" s="145"/>
      <c r="DL2564" s="145"/>
      <c r="DM2564" s="145"/>
      <c r="DN2564" s="145"/>
      <c r="DO2564" s="145"/>
      <c r="DP2564" s="145"/>
      <c r="DQ2564" s="145"/>
      <c r="DR2564" s="145"/>
      <c r="DS2564" s="145"/>
      <c r="DT2564" s="145"/>
      <c r="DU2564" s="145"/>
      <c r="DV2564" s="145"/>
      <c r="DW2564" s="145"/>
      <c r="DX2564" s="145"/>
      <c r="DY2564" s="145"/>
      <c r="DZ2564" s="145"/>
      <c r="EA2564" s="145"/>
      <c r="EB2564" s="145"/>
      <c r="EC2564" s="145"/>
      <c r="ED2564" s="145"/>
      <c r="EE2564" s="145"/>
      <c r="EF2564" s="145"/>
      <c r="EG2564" s="145"/>
      <c r="EH2564" s="145"/>
      <c r="EI2564" s="145"/>
      <c r="EJ2564" s="145"/>
      <c r="EK2564" s="145"/>
      <c r="EL2564" s="145"/>
      <c r="EM2564" s="145"/>
      <c r="EN2564" s="145"/>
      <c r="EO2564" s="145"/>
      <c r="EP2564" s="145"/>
      <c r="EQ2564" s="145"/>
      <c r="ER2564" s="145"/>
      <c r="ES2564" s="145"/>
      <c r="ET2564" s="145"/>
      <c r="EU2564" s="145"/>
      <c r="EV2564" s="145"/>
      <c r="EW2564" s="145"/>
      <c r="EX2564" s="145"/>
      <c r="EY2564" s="145"/>
      <c r="EZ2564" s="145"/>
      <c r="FA2564" s="145"/>
      <c r="FB2564" s="145"/>
      <c r="FC2564" s="145"/>
      <c r="FD2564" s="145"/>
      <c r="FE2564" s="145"/>
      <c r="FF2564" s="145"/>
      <c r="FG2564" s="145"/>
      <c r="FH2564" s="145"/>
      <c r="FI2564" s="145"/>
      <c r="FJ2564" s="145"/>
      <c r="FK2564" s="145"/>
      <c r="FL2564" s="145"/>
      <c r="FM2564" s="145"/>
      <c r="FN2564" s="145"/>
      <c r="FO2564" s="145"/>
      <c r="FP2564" s="145"/>
      <c r="FQ2564" s="145"/>
      <c r="FR2564" s="145"/>
      <c r="FS2564" s="145"/>
      <c r="FT2564" s="145"/>
      <c r="FU2564" s="145"/>
      <c r="FV2564" s="145"/>
      <c r="FW2564" s="145"/>
      <c r="FX2564" s="145"/>
      <c r="FY2564" s="145"/>
      <c r="FZ2564" s="145"/>
      <c r="GA2564" s="145"/>
      <c r="GB2564" s="145"/>
      <c r="GC2564" s="145"/>
      <c r="GD2564" s="145"/>
      <c r="GE2564" s="145"/>
      <c r="GF2564" s="145"/>
      <c r="GG2564" s="145"/>
      <c r="GH2564" s="145"/>
      <c r="GI2564" s="145"/>
      <c r="GJ2564" s="145"/>
      <c r="GK2564" s="145"/>
      <c r="GL2564" s="145"/>
      <c r="GM2564" s="145"/>
      <c r="GN2564" s="145"/>
      <c r="GO2564" s="145"/>
      <c r="GP2564" s="145"/>
      <c r="GQ2564" s="145"/>
      <c r="GR2564" s="145"/>
      <c r="GS2564" s="145"/>
      <c r="GT2564" s="145"/>
      <c r="GU2564" s="145"/>
      <c r="GV2564" s="145"/>
      <c r="GW2564" s="145"/>
      <c r="GX2564" s="145"/>
      <c r="GY2564" s="145"/>
      <c r="GZ2564" s="145"/>
      <c r="HA2564" s="145"/>
      <c r="HB2564" s="145"/>
      <c r="HC2564" s="145"/>
      <c r="HD2564" s="145"/>
      <c r="HE2564" s="145"/>
      <c r="HF2564" s="145"/>
      <c r="HG2564" s="145"/>
    </row>
    <row r="2565" spans="1:215" x14ac:dyDescent="0.35">
      <c r="A2565" s="270">
        <f>A2560+1</f>
        <v>12</v>
      </c>
      <c r="B2565" s="270">
        <v>5464</v>
      </c>
      <c r="C2565" s="278" t="s">
        <v>603</v>
      </c>
      <c r="D2565" s="273">
        <v>381.8</v>
      </c>
      <c r="E2565" s="273" t="s">
        <v>633</v>
      </c>
      <c r="F2565" s="282">
        <v>2</v>
      </c>
      <c r="G2565" s="277" t="s">
        <v>71</v>
      </c>
      <c r="H2565" s="136" t="s">
        <v>72</v>
      </c>
      <c r="I2565" s="181">
        <f>I2567+I2566</f>
        <v>124911.2</v>
      </c>
      <c r="J2565" s="181">
        <f>J2566+J2567</f>
        <v>327.16000000000003</v>
      </c>
      <c r="K2565" s="181">
        <f>K2566+K2567</f>
        <v>420</v>
      </c>
      <c r="L2565" s="145"/>
      <c r="M2565" s="145"/>
      <c r="N2565" s="145"/>
      <c r="O2565" s="145"/>
      <c r="P2565" s="145"/>
      <c r="Q2565" s="145"/>
      <c r="R2565" s="145"/>
      <c r="S2565" s="145"/>
      <c r="T2565" s="145"/>
      <c r="U2565" s="145"/>
      <c r="V2565" s="145"/>
      <c r="W2565" s="145"/>
      <c r="X2565" s="145"/>
      <c r="Y2565" s="145"/>
      <c r="Z2565" s="145"/>
      <c r="AA2565" s="145"/>
      <c r="AB2565" s="145"/>
      <c r="AC2565" s="145"/>
      <c r="AD2565" s="145"/>
      <c r="AE2565" s="145"/>
      <c r="AF2565" s="145"/>
      <c r="AG2565" s="145"/>
      <c r="AH2565" s="145"/>
      <c r="AI2565" s="145"/>
      <c r="AJ2565" s="145"/>
      <c r="AK2565" s="145"/>
      <c r="AL2565" s="145"/>
      <c r="AM2565" s="145"/>
      <c r="AN2565" s="145"/>
      <c r="AO2565" s="145"/>
      <c r="AP2565" s="145"/>
      <c r="AQ2565" s="145"/>
      <c r="AR2565" s="145"/>
      <c r="AS2565" s="145"/>
      <c r="AT2565" s="145"/>
      <c r="AU2565" s="145"/>
      <c r="AV2565" s="145"/>
      <c r="AW2565" s="145"/>
      <c r="AX2565" s="145"/>
      <c r="AY2565" s="145"/>
      <c r="AZ2565" s="145"/>
      <c r="BA2565" s="145"/>
      <c r="BB2565" s="145"/>
      <c r="BC2565" s="145"/>
      <c r="BD2565" s="145"/>
      <c r="BE2565" s="145"/>
      <c r="BF2565" s="145"/>
      <c r="BG2565" s="145"/>
      <c r="BH2565" s="145"/>
      <c r="BI2565" s="145"/>
      <c r="BJ2565" s="145"/>
      <c r="BK2565" s="145"/>
      <c r="BL2565" s="145"/>
      <c r="BM2565" s="145"/>
      <c r="BN2565" s="145"/>
      <c r="BO2565" s="145"/>
      <c r="BP2565" s="145"/>
      <c r="BQ2565" s="145"/>
      <c r="BR2565" s="145"/>
      <c r="BS2565" s="145"/>
      <c r="BT2565" s="145"/>
      <c r="BU2565" s="145"/>
      <c r="BV2565" s="145"/>
      <c r="BW2565" s="145"/>
      <c r="BX2565" s="145"/>
      <c r="BY2565" s="145"/>
      <c r="BZ2565" s="145"/>
      <c r="CA2565" s="145"/>
      <c r="CB2565" s="145"/>
      <c r="CC2565" s="145"/>
      <c r="CD2565" s="145"/>
      <c r="CE2565" s="145"/>
      <c r="CF2565" s="145"/>
      <c r="CG2565" s="145"/>
      <c r="CH2565" s="145"/>
      <c r="CI2565" s="145"/>
      <c r="CJ2565" s="145"/>
      <c r="CK2565" s="145"/>
      <c r="CL2565" s="145"/>
      <c r="CM2565" s="145"/>
      <c r="CN2565" s="145"/>
      <c r="CO2565" s="145"/>
      <c r="CP2565" s="145"/>
      <c r="CQ2565" s="145"/>
      <c r="CR2565" s="145"/>
      <c r="CS2565" s="145"/>
      <c r="CT2565" s="145"/>
      <c r="CU2565" s="145"/>
      <c r="CV2565" s="145"/>
      <c r="CW2565" s="145"/>
      <c r="CX2565" s="145"/>
      <c r="CY2565" s="145"/>
      <c r="CZ2565" s="145"/>
      <c r="DA2565" s="145"/>
      <c r="DB2565" s="145"/>
      <c r="DC2565" s="145"/>
      <c r="DD2565" s="145"/>
      <c r="DE2565" s="145"/>
      <c r="DF2565" s="145"/>
      <c r="DG2565" s="145"/>
      <c r="DH2565" s="145"/>
      <c r="DI2565" s="145"/>
      <c r="DJ2565" s="145"/>
      <c r="DK2565" s="145"/>
      <c r="DL2565" s="145"/>
      <c r="DM2565" s="145"/>
      <c r="DN2565" s="145"/>
      <c r="DO2565" s="145"/>
      <c r="DP2565" s="145"/>
      <c r="DQ2565" s="145"/>
      <c r="DR2565" s="145"/>
      <c r="DS2565" s="145"/>
      <c r="DT2565" s="145"/>
      <c r="DU2565" s="145"/>
      <c r="DV2565" s="145"/>
      <c r="DW2565" s="145"/>
      <c r="DX2565" s="145"/>
      <c r="DY2565" s="145"/>
      <c r="DZ2565" s="145"/>
      <c r="EA2565" s="145"/>
      <c r="EB2565" s="145"/>
      <c r="EC2565" s="145"/>
      <c r="ED2565" s="145"/>
      <c r="EE2565" s="145"/>
      <c r="EF2565" s="145"/>
      <c r="EG2565" s="145"/>
      <c r="EH2565" s="145"/>
      <c r="EI2565" s="145"/>
      <c r="EJ2565" s="145"/>
      <c r="EK2565" s="145"/>
      <c r="EL2565" s="145"/>
      <c r="EM2565" s="145"/>
      <c r="EN2565" s="145"/>
      <c r="EO2565" s="145"/>
      <c r="EP2565" s="145"/>
      <c r="EQ2565" s="145"/>
      <c r="ER2565" s="145"/>
      <c r="ES2565" s="145"/>
      <c r="ET2565" s="145"/>
      <c r="EU2565" s="145"/>
      <c r="EV2565" s="145"/>
      <c r="EW2565" s="145"/>
      <c r="EX2565" s="145"/>
      <c r="EY2565" s="145"/>
      <c r="EZ2565" s="145"/>
      <c r="FA2565" s="145"/>
      <c r="FB2565" s="145"/>
      <c r="FC2565" s="145"/>
      <c r="FD2565" s="145"/>
      <c r="FE2565" s="145"/>
      <c r="FF2565" s="145"/>
      <c r="FG2565" s="145"/>
      <c r="FH2565" s="145"/>
      <c r="FI2565" s="145"/>
      <c r="FJ2565" s="145"/>
      <c r="FK2565" s="145"/>
      <c r="FL2565" s="145"/>
      <c r="FM2565" s="145"/>
      <c r="FN2565" s="145"/>
      <c r="FO2565" s="145"/>
      <c r="FP2565" s="145"/>
      <c r="FQ2565" s="145"/>
      <c r="FR2565" s="145"/>
      <c r="FS2565" s="145"/>
      <c r="FT2565" s="145"/>
      <c r="FU2565" s="145"/>
      <c r="FV2565" s="145"/>
      <c r="FW2565" s="145"/>
      <c r="FX2565" s="145"/>
      <c r="FY2565" s="145"/>
      <c r="FZ2565" s="145"/>
      <c r="GA2565" s="145"/>
      <c r="GB2565" s="145"/>
      <c r="GC2565" s="145"/>
      <c r="GD2565" s="145"/>
      <c r="GE2565" s="145"/>
      <c r="GF2565" s="145"/>
      <c r="GG2565" s="145"/>
      <c r="GH2565" s="145"/>
      <c r="GI2565" s="145"/>
      <c r="GJ2565" s="145"/>
      <c r="GK2565" s="145"/>
      <c r="GL2565" s="145"/>
      <c r="GM2565" s="145"/>
      <c r="GN2565" s="145"/>
      <c r="GO2565" s="145"/>
      <c r="GP2565" s="145"/>
      <c r="GQ2565" s="145"/>
      <c r="GR2565" s="145"/>
      <c r="GS2565" s="145"/>
      <c r="GT2565" s="145"/>
      <c r="GU2565" s="145"/>
      <c r="GV2565" s="145"/>
      <c r="GW2565" s="145"/>
      <c r="GX2565" s="145"/>
      <c r="GY2565" s="145"/>
      <c r="GZ2565" s="145"/>
      <c r="HA2565" s="145"/>
      <c r="HB2565" s="145"/>
      <c r="HC2565" s="145"/>
      <c r="HD2565" s="145"/>
      <c r="HE2565" s="145"/>
      <c r="HF2565" s="145"/>
      <c r="HG2565" s="145"/>
    </row>
    <row r="2566" spans="1:215" ht="46.5" x14ac:dyDescent="0.35">
      <c r="A2566" s="271"/>
      <c r="B2566" s="271"/>
      <c r="C2566" s="279"/>
      <c r="D2566" s="274"/>
      <c r="E2566" s="274"/>
      <c r="F2566" s="283"/>
      <c r="G2566" s="277"/>
      <c r="H2566" s="136" t="s">
        <v>673</v>
      </c>
      <c r="I2566" s="181">
        <v>71273.399999999994</v>
      </c>
      <c r="J2566" s="181">
        <f>I2566/D2565-0.01</f>
        <v>186.67</v>
      </c>
      <c r="K2566" s="181">
        <f>163+96</f>
        <v>259</v>
      </c>
      <c r="L2566" s="145"/>
      <c r="M2566" s="145"/>
      <c r="N2566" s="145"/>
      <c r="O2566" s="145"/>
      <c r="P2566" s="145"/>
      <c r="Q2566" s="145"/>
      <c r="R2566" s="145"/>
      <c r="S2566" s="145"/>
      <c r="T2566" s="145"/>
      <c r="U2566" s="145"/>
      <c r="V2566" s="145"/>
      <c r="W2566" s="145"/>
      <c r="X2566" s="145"/>
      <c r="Y2566" s="145"/>
      <c r="Z2566" s="145"/>
      <c r="AA2566" s="145"/>
      <c r="AB2566" s="145"/>
      <c r="AC2566" s="145"/>
      <c r="AD2566" s="145"/>
      <c r="AE2566" s="145"/>
      <c r="AF2566" s="145"/>
      <c r="AG2566" s="145"/>
      <c r="AH2566" s="145"/>
      <c r="AI2566" s="145"/>
      <c r="AJ2566" s="145"/>
      <c r="AK2566" s="145"/>
      <c r="AL2566" s="145"/>
      <c r="AM2566" s="145"/>
      <c r="AN2566" s="145"/>
      <c r="AO2566" s="145"/>
      <c r="AP2566" s="145"/>
      <c r="AQ2566" s="145"/>
      <c r="AR2566" s="145"/>
      <c r="AS2566" s="145"/>
      <c r="AT2566" s="145"/>
      <c r="AU2566" s="145"/>
      <c r="AV2566" s="145"/>
      <c r="AW2566" s="145"/>
      <c r="AX2566" s="145"/>
      <c r="AY2566" s="145"/>
      <c r="AZ2566" s="145"/>
      <c r="BA2566" s="145"/>
      <c r="BB2566" s="145"/>
      <c r="BC2566" s="145"/>
      <c r="BD2566" s="145"/>
      <c r="BE2566" s="145"/>
      <c r="BF2566" s="145"/>
      <c r="BG2566" s="145"/>
      <c r="BH2566" s="145"/>
      <c r="BI2566" s="145"/>
      <c r="BJ2566" s="145"/>
      <c r="BK2566" s="145"/>
      <c r="BL2566" s="145"/>
      <c r="BM2566" s="145"/>
      <c r="BN2566" s="145"/>
      <c r="BO2566" s="145"/>
      <c r="BP2566" s="145"/>
      <c r="BQ2566" s="145"/>
      <c r="BR2566" s="145"/>
      <c r="BS2566" s="145"/>
      <c r="BT2566" s="145"/>
      <c r="BU2566" s="145"/>
      <c r="BV2566" s="145"/>
      <c r="BW2566" s="145"/>
      <c r="BX2566" s="145"/>
      <c r="BY2566" s="145"/>
      <c r="BZ2566" s="145"/>
      <c r="CA2566" s="145"/>
      <c r="CB2566" s="145"/>
      <c r="CC2566" s="145"/>
      <c r="CD2566" s="145"/>
      <c r="CE2566" s="145"/>
      <c r="CF2566" s="145"/>
      <c r="CG2566" s="145"/>
      <c r="CH2566" s="145"/>
      <c r="CI2566" s="145"/>
      <c r="CJ2566" s="145"/>
      <c r="CK2566" s="145"/>
      <c r="CL2566" s="145"/>
      <c r="CM2566" s="145"/>
      <c r="CN2566" s="145"/>
      <c r="CO2566" s="145"/>
      <c r="CP2566" s="145"/>
      <c r="CQ2566" s="145"/>
      <c r="CR2566" s="145"/>
      <c r="CS2566" s="145"/>
      <c r="CT2566" s="145"/>
      <c r="CU2566" s="145"/>
      <c r="CV2566" s="145"/>
      <c r="CW2566" s="145"/>
      <c r="CX2566" s="145"/>
      <c r="CY2566" s="145"/>
      <c r="CZ2566" s="145"/>
      <c r="DA2566" s="145"/>
      <c r="DB2566" s="145"/>
      <c r="DC2566" s="145"/>
      <c r="DD2566" s="145"/>
      <c r="DE2566" s="145"/>
      <c r="DF2566" s="145"/>
      <c r="DG2566" s="145"/>
      <c r="DH2566" s="145"/>
      <c r="DI2566" s="145"/>
      <c r="DJ2566" s="145"/>
      <c r="DK2566" s="145"/>
      <c r="DL2566" s="145"/>
      <c r="DM2566" s="145"/>
      <c r="DN2566" s="145"/>
      <c r="DO2566" s="145"/>
      <c r="DP2566" s="145"/>
      <c r="DQ2566" s="145"/>
      <c r="DR2566" s="145"/>
      <c r="DS2566" s="145"/>
      <c r="DT2566" s="145"/>
      <c r="DU2566" s="145"/>
      <c r="DV2566" s="145"/>
      <c r="DW2566" s="145"/>
      <c r="DX2566" s="145"/>
      <c r="DY2566" s="145"/>
      <c r="DZ2566" s="145"/>
      <c r="EA2566" s="145"/>
      <c r="EB2566" s="145"/>
      <c r="EC2566" s="145"/>
      <c r="ED2566" s="145"/>
      <c r="EE2566" s="145"/>
      <c r="EF2566" s="145"/>
      <c r="EG2566" s="145"/>
      <c r="EH2566" s="145"/>
      <c r="EI2566" s="145"/>
      <c r="EJ2566" s="145"/>
      <c r="EK2566" s="145"/>
      <c r="EL2566" s="145"/>
      <c r="EM2566" s="145"/>
      <c r="EN2566" s="145"/>
      <c r="EO2566" s="145"/>
      <c r="EP2566" s="145"/>
      <c r="EQ2566" s="145"/>
      <c r="ER2566" s="145"/>
      <c r="ES2566" s="145"/>
      <c r="ET2566" s="145"/>
      <c r="EU2566" s="145"/>
      <c r="EV2566" s="145"/>
      <c r="EW2566" s="145"/>
      <c r="EX2566" s="145"/>
      <c r="EY2566" s="145"/>
      <c r="EZ2566" s="145"/>
      <c r="FA2566" s="145"/>
      <c r="FB2566" s="145"/>
      <c r="FC2566" s="145"/>
      <c r="FD2566" s="145"/>
      <c r="FE2566" s="145"/>
      <c r="FF2566" s="145"/>
      <c r="FG2566" s="145"/>
      <c r="FH2566" s="145"/>
      <c r="FI2566" s="145"/>
      <c r="FJ2566" s="145"/>
      <c r="FK2566" s="145"/>
      <c r="FL2566" s="145"/>
      <c r="FM2566" s="145"/>
      <c r="FN2566" s="145"/>
      <c r="FO2566" s="145"/>
      <c r="FP2566" s="145"/>
      <c r="FQ2566" s="145"/>
      <c r="FR2566" s="145"/>
      <c r="FS2566" s="145"/>
      <c r="FT2566" s="145"/>
      <c r="FU2566" s="145"/>
      <c r="FV2566" s="145"/>
      <c r="FW2566" s="145"/>
      <c r="FX2566" s="145"/>
      <c r="FY2566" s="145"/>
      <c r="FZ2566" s="145"/>
      <c r="GA2566" s="145"/>
      <c r="GB2566" s="145"/>
      <c r="GC2566" s="145"/>
      <c r="GD2566" s="145"/>
      <c r="GE2566" s="145"/>
      <c r="GF2566" s="145"/>
      <c r="GG2566" s="145"/>
      <c r="GH2566" s="145"/>
      <c r="GI2566" s="145"/>
      <c r="GJ2566" s="145"/>
      <c r="GK2566" s="145"/>
      <c r="GL2566" s="145"/>
      <c r="GM2566" s="145"/>
      <c r="GN2566" s="145"/>
      <c r="GO2566" s="145"/>
      <c r="GP2566" s="145"/>
      <c r="GQ2566" s="145"/>
      <c r="GR2566" s="145"/>
      <c r="GS2566" s="145"/>
      <c r="GT2566" s="145"/>
      <c r="GU2566" s="145"/>
      <c r="GV2566" s="145"/>
      <c r="GW2566" s="145"/>
      <c r="GX2566" s="145"/>
      <c r="GY2566" s="145"/>
      <c r="GZ2566" s="145"/>
      <c r="HA2566" s="145"/>
      <c r="HB2566" s="145"/>
      <c r="HC2566" s="145"/>
      <c r="HD2566" s="145"/>
      <c r="HE2566" s="145"/>
      <c r="HF2566" s="145"/>
      <c r="HG2566" s="145"/>
    </row>
    <row r="2567" spans="1:215" ht="108.5" x14ac:dyDescent="0.35">
      <c r="A2567" s="271">
        <v>1130</v>
      </c>
      <c r="B2567" s="272"/>
      <c r="C2567" s="279"/>
      <c r="D2567" s="274"/>
      <c r="E2567" s="274"/>
      <c r="F2567" s="283"/>
      <c r="G2567" s="146" t="s">
        <v>108</v>
      </c>
      <c r="H2567" s="136" t="s">
        <v>634</v>
      </c>
      <c r="I2567" s="181">
        <v>53637.8</v>
      </c>
      <c r="J2567" s="181">
        <f>I2567/D2565</f>
        <v>140.49</v>
      </c>
      <c r="K2567" s="181">
        <f>121+40</f>
        <v>161</v>
      </c>
      <c r="L2567" s="145"/>
      <c r="M2567" s="145"/>
      <c r="N2567" s="145"/>
      <c r="O2567" s="145"/>
      <c r="P2567" s="145"/>
      <c r="Q2567" s="145"/>
      <c r="R2567" s="145"/>
      <c r="S2567" s="145"/>
      <c r="T2567" s="145"/>
      <c r="U2567" s="145"/>
      <c r="V2567" s="145"/>
      <c r="W2567" s="145"/>
      <c r="X2567" s="145"/>
      <c r="Y2567" s="145"/>
      <c r="Z2567" s="145"/>
      <c r="AA2567" s="145"/>
      <c r="AB2567" s="145"/>
      <c r="AC2567" s="145"/>
      <c r="AD2567" s="145"/>
      <c r="AE2567" s="145"/>
      <c r="AF2567" s="145"/>
      <c r="AG2567" s="145"/>
      <c r="AH2567" s="145"/>
      <c r="AI2567" s="145"/>
      <c r="AJ2567" s="145"/>
      <c r="AK2567" s="145"/>
      <c r="AL2567" s="145"/>
      <c r="AM2567" s="145"/>
      <c r="AN2567" s="145"/>
      <c r="AO2567" s="145"/>
      <c r="AP2567" s="145"/>
      <c r="AQ2567" s="145"/>
      <c r="AR2567" s="145"/>
      <c r="AS2567" s="145"/>
      <c r="AT2567" s="145"/>
      <c r="AU2567" s="145"/>
      <c r="AV2567" s="145"/>
      <c r="AW2567" s="145"/>
      <c r="AX2567" s="145"/>
      <c r="AY2567" s="145"/>
      <c r="AZ2567" s="145"/>
      <c r="BA2567" s="145"/>
      <c r="BB2567" s="145"/>
      <c r="BC2567" s="145"/>
      <c r="BD2567" s="145"/>
      <c r="BE2567" s="145"/>
      <c r="BF2567" s="145"/>
      <c r="BG2567" s="145"/>
      <c r="BH2567" s="145"/>
      <c r="BI2567" s="145"/>
      <c r="BJ2567" s="145"/>
      <c r="BK2567" s="145"/>
      <c r="BL2567" s="145"/>
      <c r="BM2567" s="145"/>
      <c r="BN2567" s="145"/>
      <c r="BO2567" s="145"/>
      <c r="BP2567" s="145"/>
      <c r="BQ2567" s="145"/>
      <c r="BR2567" s="145"/>
      <c r="BS2567" s="145"/>
      <c r="BT2567" s="145"/>
      <c r="BU2567" s="145"/>
      <c r="BV2567" s="145"/>
      <c r="BW2567" s="145"/>
      <c r="BX2567" s="145"/>
      <c r="BY2567" s="145"/>
      <c r="BZ2567" s="145"/>
      <c r="CA2567" s="145"/>
      <c r="CB2567" s="145"/>
      <c r="CC2567" s="145"/>
      <c r="CD2567" s="145"/>
      <c r="CE2567" s="145"/>
      <c r="CF2567" s="145"/>
      <c r="CG2567" s="145"/>
      <c r="CH2567" s="145"/>
      <c r="CI2567" s="145"/>
      <c r="CJ2567" s="145"/>
      <c r="CK2567" s="145"/>
      <c r="CL2567" s="145"/>
      <c r="CM2567" s="145"/>
      <c r="CN2567" s="145"/>
      <c r="CO2567" s="145"/>
      <c r="CP2567" s="145"/>
      <c r="CQ2567" s="145"/>
      <c r="CR2567" s="145"/>
      <c r="CS2567" s="145"/>
      <c r="CT2567" s="145"/>
      <c r="CU2567" s="145"/>
      <c r="CV2567" s="145"/>
      <c r="CW2567" s="145"/>
      <c r="CX2567" s="145"/>
      <c r="CY2567" s="145"/>
      <c r="CZ2567" s="145"/>
      <c r="DA2567" s="145"/>
      <c r="DB2567" s="145"/>
      <c r="DC2567" s="145"/>
      <c r="DD2567" s="145"/>
      <c r="DE2567" s="145"/>
      <c r="DF2567" s="145"/>
      <c r="DG2567" s="145"/>
      <c r="DH2567" s="145"/>
      <c r="DI2567" s="145"/>
      <c r="DJ2567" s="145"/>
      <c r="DK2567" s="145"/>
      <c r="DL2567" s="145"/>
      <c r="DM2567" s="145"/>
      <c r="DN2567" s="145"/>
      <c r="DO2567" s="145"/>
      <c r="DP2567" s="145"/>
      <c r="DQ2567" s="145"/>
      <c r="DR2567" s="145"/>
      <c r="DS2567" s="145"/>
      <c r="DT2567" s="145"/>
      <c r="DU2567" s="145"/>
      <c r="DV2567" s="145"/>
      <c r="DW2567" s="145"/>
      <c r="DX2567" s="145"/>
      <c r="DY2567" s="145"/>
      <c r="DZ2567" s="145"/>
      <c r="EA2567" s="145"/>
      <c r="EB2567" s="145"/>
      <c r="EC2567" s="145"/>
      <c r="ED2567" s="145"/>
      <c r="EE2567" s="145"/>
      <c r="EF2567" s="145"/>
      <c r="EG2567" s="145"/>
      <c r="EH2567" s="145"/>
      <c r="EI2567" s="145"/>
      <c r="EJ2567" s="145"/>
      <c r="EK2567" s="145"/>
      <c r="EL2567" s="145"/>
      <c r="EM2567" s="145"/>
      <c r="EN2567" s="145"/>
      <c r="EO2567" s="145"/>
      <c r="EP2567" s="145"/>
      <c r="EQ2567" s="145"/>
      <c r="ER2567" s="145"/>
      <c r="ES2567" s="145"/>
      <c r="ET2567" s="145"/>
      <c r="EU2567" s="145"/>
      <c r="EV2567" s="145"/>
      <c r="EW2567" s="145"/>
      <c r="EX2567" s="145"/>
      <c r="EY2567" s="145"/>
      <c r="EZ2567" s="145"/>
      <c r="FA2567" s="145"/>
      <c r="FB2567" s="145"/>
      <c r="FC2567" s="145"/>
      <c r="FD2567" s="145"/>
      <c r="FE2567" s="145"/>
      <c r="FF2567" s="145"/>
      <c r="FG2567" s="145"/>
      <c r="FH2567" s="145"/>
      <c r="FI2567" s="145"/>
      <c r="FJ2567" s="145"/>
      <c r="FK2567" s="145"/>
      <c r="FL2567" s="145"/>
      <c r="FM2567" s="145"/>
      <c r="FN2567" s="145"/>
      <c r="FO2567" s="145"/>
      <c r="FP2567" s="145"/>
      <c r="FQ2567" s="145"/>
      <c r="FR2567" s="145"/>
      <c r="FS2567" s="145"/>
      <c r="FT2567" s="145"/>
      <c r="FU2567" s="145"/>
      <c r="FV2567" s="145"/>
      <c r="FW2567" s="145"/>
      <c r="FX2567" s="145"/>
      <c r="FY2567" s="145"/>
      <c r="FZ2567" s="145"/>
      <c r="GA2567" s="145"/>
      <c r="GB2567" s="145"/>
      <c r="GC2567" s="145"/>
      <c r="GD2567" s="145"/>
      <c r="GE2567" s="145"/>
      <c r="GF2567" s="145"/>
      <c r="GG2567" s="145"/>
      <c r="GH2567" s="145"/>
      <c r="GI2567" s="145"/>
      <c r="GJ2567" s="145"/>
      <c r="GK2567" s="145"/>
      <c r="GL2567" s="145"/>
      <c r="GM2567" s="145"/>
      <c r="GN2567" s="145"/>
      <c r="GO2567" s="145"/>
      <c r="GP2567" s="145"/>
      <c r="GQ2567" s="145"/>
      <c r="GR2567" s="145"/>
      <c r="GS2567" s="145"/>
      <c r="GT2567" s="145"/>
      <c r="GU2567" s="145"/>
      <c r="GV2567" s="145"/>
      <c r="GW2567" s="145"/>
      <c r="GX2567" s="145"/>
      <c r="GY2567" s="145"/>
      <c r="GZ2567" s="145"/>
      <c r="HA2567" s="145"/>
      <c r="HB2567" s="145"/>
      <c r="HC2567" s="145"/>
      <c r="HD2567" s="145"/>
      <c r="HE2567" s="145"/>
      <c r="HF2567" s="145"/>
      <c r="HG2567" s="145"/>
    </row>
    <row r="2568" spans="1:215" x14ac:dyDescent="0.35">
      <c r="A2568" s="270">
        <f>A2565+1</f>
        <v>13</v>
      </c>
      <c r="B2568" s="270">
        <v>5475</v>
      </c>
      <c r="C2568" s="278" t="s">
        <v>447</v>
      </c>
      <c r="D2568" s="273">
        <v>1750.1</v>
      </c>
      <c r="E2568" s="273" t="s">
        <v>74</v>
      </c>
      <c r="F2568" s="282">
        <v>5</v>
      </c>
      <c r="G2568" s="270" t="s">
        <v>71</v>
      </c>
      <c r="H2568" s="136" t="s">
        <v>72</v>
      </c>
      <c r="I2568" s="181">
        <f>I2569+I2570</f>
        <v>4133386.18</v>
      </c>
      <c r="J2568" s="181">
        <f>J2569+J2570</f>
        <v>2361.8000000000002</v>
      </c>
      <c r="K2568" s="181">
        <f>K2569+K2570</f>
        <v>3344</v>
      </c>
      <c r="L2568" s="145"/>
      <c r="M2568" s="145"/>
      <c r="N2568" s="145"/>
      <c r="O2568" s="145"/>
      <c r="P2568" s="145"/>
      <c r="Q2568" s="145"/>
      <c r="R2568" s="145"/>
      <c r="S2568" s="145"/>
      <c r="T2568" s="145"/>
      <c r="U2568" s="145"/>
      <c r="V2568" s="145"/>
      <c r="W2568" s="145"/>
      <c r="X2568" s="145"/>
      <c r="Y2568" s="145"/>
      <c r="Z2568" s="145"/>
      <c r="AA2568" s="145"/>
      <c r="AB2568" s="145"/>
      <c r="AC2568" s="145"/>
      <c r="AD2568" s="145"/>
      <c r="AE2568" s="145"/>
      <c r="AF2568" s="145"/>
      <c r="AG2568" s="145"/>
      <c r="AH2568" s="145"/>
      <c r="AI2568" s="145"/>
      <c r="AJ2568" s="145"/>
      <c r="AK2568" s="145"/>
      <c r="AL2568" s="145"/>
      <c r="AM2568" s="145"/>
      <c r="AN2568" s="145"/>
      <c r="AO2568" s="145"/>
      <c r="AP2568" s="145"/>
      <c r="AQ2568" s="145"/>
      <c r="AR2568" s="145"/>
      <c r="AS2568" s="145"/>
      <c r="AT2568" s="145"/>
      <c r="AU2568" s="145"/>
      <c r="AV2568" s="145"/>
      <c r="AW2568" s="145"/>
      <c r="AX2568" s="145"/>
      <c r="AY2568" s="145"/>
      <c r="AZ2568" s="145"/>
      <c r="BA2568" s="145"/>
      <c r="BB2568" s="145"/>
      <c r="BC2568" s="145"/>
      <c r="BD2568" s="145"/>
      <c r="BE2568" s="145"/>
      <c r="BF2568" s="145"/>
      <c r="BG2568" s="145"/>
      <c r="BH2568" s="145"/>
      <c r="BI2568" s="145"/>
      <c r="BJ2568" s="145"/>
      <c r="BK2568" s="145"/>
      <c r="BL2568" s="145"/>
      <c r="BM2568" s="145"/>
      <c r="BN2568" s="145"/>
      <c r="BO2568" s="145"/>
      <c r="BP2568" s="145"/>
      <c r="BQ2568" s="145"/>
      <c r="BR2568" s="145"/>
      <c r="BS2568" s="145"/>
      <c r="BT2568" s="145"/>
      <c r="BU2568" s="145"/>
      <c r="BV2568" s="145"/>
      <c r="BW2568" s="145"/>
      <c r="BX2568" s="145"/>
      <c r="BY2568" s="145"/>
      <c r="BZ2568" s="145"/>
      <c r="CA2568" s="145"/>
      <c r="CB2568" s="145"/>
      <c r="CC2568" s="145"/>
      <c r="CD2568" s="145"/>
      <c r="CE2568" s="145"/>
      <c r="CF2568" s="145"/>
      <c r="CG2568" s="145"/>
      <c r="CH2568" s="145"/>
      <c r="CI2568" s="145"/>
      <c r="CJ2568" s="145"/>
      <c r="CK2568" s="145"/>
      <c r="CL2568" s="145"/>
      <c r="CM2568" s="145"/>
      <c r="CN2568" s="145"/>
      <c r="CO2568" s="145"/>
      <c r="CP2568" s="145"/>
      <c r="CQ2568" s="145"/>
      <c r="CR2568" s="145"/>
      <c r="CS2568" s="145"/>
      <c r="CT2568" s="145"/>
      <c r="CU2568" s="145"/>
      <c r="CV2568" s="145"/>
      <c r="CW2568" s="145"/>
      <c r="CX2568" s="145"/>
      <c r="CY2568" s="145"/>
      <c r="CZ2568" s="145"/>
      <c r="DA2568" s="145"/>
      <c r="DB2568" s="145"/>
      <c r="DC2568" s="145"/>
      <c r="DD2568" s="145"/>
      <c r="DE2568" s="145"/>
      <c r="DF2568" s="145"/>
      <c r="DG2568" s="145"/>
      <c r="DH2568" s="145"/>
      <c r="DI2568" s="145"/>
      <c r="DJ2568" s="145"/>
      <c r="DK2568" s="145"/>
      <c r="DL2568" s="145"/>
      <c r="DM2568" s="145"/>
      <c r="DN2568" s="145"/>
      <c r="DO2568" s="145"/>
      <c r="DP2568" s="145"/>
      <c r="DQ2568" s="145"/>
      <c r="DR2568" s="145"/>
      <c r="DS2568" s="145"/>
      <c r="DT2568" s="145"/>
      <c r="DU2568" s="145"/>
      <c r="DV2568" s="145"/>
      <c r="DW2568" s="145"/>
      <c r="DX2568" s="145"/>
      <c r="DY2568" s="145"/>
      <c r="DZ2568" s="145"/>
      <c r="EA2568" s="145"/>
      <c r="EB2568" s="145"/>
      <c r="EC2568" s="145"/>
      <c r="ED2568" s="145"/>
      <c r="EE2568" s="145"/>
      <c r="EF2568" s="145"/>
      <c r="EG2568" s="145"/>
      <c r="EH2568" s="145"/>
      <c r="EI2568" s="145"/>
      <c r="EJ2568" s="145"/>
      <c r="EK2568" s="145"/>
      <c r="EL2568" s="145"/>
      <c r="EM2568" s="145"/>
      <c r="EN2568" s="145"/>
      <c r="EO2568" s="145"/>
      <c r="EP2568" s="145"/>
      <c r="EQ2568" s="145"/>
      <c r="ER2568" s="145"/>
      <c r="ES2568" s="145"/>
      <c r="ET2568" s="145"/>
      <c r="EU2568" s="145"/>
      <c r="EV2568" s="145"/>
      <c r="EW2568" s="145"/>
      <c r="EX2568" s="145"/>
      <c r="EY2568" s="145"/>
      <c r="EZ2568" s="145"/>
      <c r="FA2568" s="145"/>
      <c r="FB2568" s="145"/>
      <c r="FC2568" s="145"/>
      <c r="FD2568" s="145"/>
      <c r="FE2568" s="145"/>
      <c r="FF2568" s="145"/>
      <c r="FG2568" s="145"/>
      <c r="FH2568" s="145"/>
      <c r="FI2568" s="145"/>
      <c r="FJ2568" s="145"/>
      <c r="FK2568" s="145"/>
      <c r="FL2568" s="145"/>
      <c r="FM2568" s="145"/>
      <c r="FN2568" s="145"/>
      <c r="FO2568" s="145"/>
      <c r="FP2568" s="145"/>
      <c r="FQ2568" s="145"/>
      <c r="FR2568" s="145"/>
      <c r="FS2568" s="145"/>
      <c r="FT2568" s="145"/>
      <c r="FU2568" s="145"/>
      <c r="FV2568" s="145"/>
      <c r="FW2568" s="145"/>
      <c r="FX2568" s="145"/>
      <c r="FY2568" s="145"/>
      <c r="FZ2568" s="145"/>
      <c r="GA2568" s="145"/>
      <c r="GB2568" s="145"/>
      <c r="GC2568" s="145"/>
      <c r="GD2568" s="145"/>
      <c r="GE2568" s="145"/>
      <c r="GF2568" s="145"/>
      <c r="GG2568" s="145"/>
      <c r="GH2568" s="145"/>
      <c r="GI2568" s="145"/>
      <c r="GJ2568" s="145"/>
      <c r="GK2568" s="145"/>
      <c r="GL2568" s="145"/>
      <c r="GM2568" s="145"/>
      <c r="GN2568" s="145"/>
      <c r="GO2568" s="145"/>
      <c r="GP2568" s="145"/>
      <c r="GQ2568" s="145"/>
      <c r="GR2568" s="145"/>
      <c r="GS2568" s="145"/>
      <c r="GT2568" s="145"/>
      <c r="GU2568" s="145"/>
      <c r="GV2568" s="145"/>
      <c r="GW2568" s="145"/>
      <c r="GX2568" s="145"/>
      <c r="GY2568" s="145"/>
      <c r="GZ2568" s="145"/>
      <c r="HA2568" s="145"/>
      <c r="HB2568" s="145"/>
      <c r="HC2568" s="145"/>
      <c r="HD2568" s="145"/>
      <c r="HE2568" s="145"/>
      <c r="HF2568" s="145"/>
      <c r="HG2568" s="145"/>
    </row>
    <row r="2569" spans="1:215" ht="31" x14ac:dyDescent="0.35">
      <c r="A2569" s="271"/>
      <c r="B2569" s="271"/>
      <c r="C2569" s="279"/>
      <c r="D2569" s="274"/>
      <c r="E2569" s="274"/>
      <c r="F2569" s="283"/>
      <c r="G2569" s="271"/>
      <c r="H2569" s="136" t="s">
        <v>85</v>
      </c>
      <c r="I2569" s="181">
        <f>D2568*K2569*0.7</f>
        <v>4010879.18</v>
      </c>
      <c r="J2569" s="181">
        <f>I2569/D2568</f>
        <v>2291.8000000000002</v>
      </c>
      <c r="K2569" s="181">
        <v>3274</v>
      </c>
      <c r="L2569" s="145"/>
      <c r="M2569" s="145"/>
      <c r="N2569" s="145"/>
      <c r="O2569" s="145"/>
      <c r="P2569" s="145"/>
      <c r="Q2569" s="145"/>
      <c r="R2569" s="145"/>
      <c r="S2569" s="145"/>
      <c r="T2569" s="145"/>
      <c r="U2569" s="145"/>
      <c r="V2569" s="145"/>
      <c r="W2569" s="145"/>
      <c r="X2569" s="145"/>
      <c r="Y2569" s="145"/>
      <c r="Z2569" s="145"/>
      <c r="AA2569" s="145"/>
      <c r="AB2569" s="145"/>
      <c r="AC2569" s="145"/>
      <c r="AD2569" s="145"/>
      <c r="AE2569" s="145"/>
      <c r="AF2569" s="145"/>
      <c r="AG2569" s="145"/>
      <c r="AH2569" s="145"/>
      <c r="AI2569" s="145"/>
      <c r="AJ2569" s="145"/>
      <c r="AK2569" s="145"/>
      <c r="AL2569" s="145"/>
      <c r="AM2569" s="145"/>
      <c r="AN2569" s="145"/>
      <c r="AO2569" s="145"/>
      <c r="AP2569" s="145"/>
      <c r="AQ2569" s="145"/>
      <c r="AR2569" s="145"/>
      <c r="AS2569" s="145"/>
      <c r="AT2569" s="145"/>
      <c r="AU2569" s="145"/>
      <c r="AV2569" s="145"/>
      <c r="AW2569" s="145"/>
      <c r="AX2569" s="145"/>
      <c r="AY2569" s="145"/>
      <c r="AZ2569" s="145"/>
      <c r="BA2569" s="145"/>
      <c r="BB2569" s="145"/>
      <c r="BC2569" s="145"/>
      <c r="BD2569" s="145"/>
      <c r="BE2569" s="145"/>
      <c r="BF2569" s="145"/>
      <c r="BG2569" s="145"/>
      <c r="BH2569" s="145"/>
      <c r="BI2569" s="145"/>
      <c r="BJ2569" s="145"/>
      <c r="BK2569" s="145"/>
      <c r="BL2569" s="145"/>
      <c r="BM2569" s="145"/>
      <c r="BN2569" s="145"/>
      <c r="BO2569" s="145"/>
      <c r="BP2569" s="145"/>
      <c r="BQ2569" s="145"/>
      <c r="BR2569" s="145"/>
      <c r="BS2569" s="145"/>
      <c r="BT2569" s="145"/>
      <c r="BU2569" s="145"/>
      <c r="BV2569" s="145"/>
      <c r="BW2569" s="145"/>
      <c r="BX2569" s="145"/>
      <c r="BY2569" s="145"/>
      <c r="BZ2569" s="145"/>
      <c r="CA2569" s="145"/>
      <c r="CB2569" s="145"/>
      <c r="CC2569" s="145"/>
      <c r="CD2569" s="145"/>
      <c r="CE2569" s="145"/>
      <c r="CF2569" s="145"/>
      <c r="CG2569" s="145"/>
      <c r="CH2569" s="145"/>
      <c r="CI2569" s="145"/>
      <c r="CJ2569" s="145"/>
      <c r="CK2569" s="145"/>
      <c r="CL2569" s="145"/>
      <c r="CM2569" s="145"/>
      <c r="CN2569" s="145"/>
      <c r="CO2569" s="145"/>
      <c r="CP2569" s="145"/>
      <c r="CQ2569" s="145"/>
      <c r="CR2569" s="145"/>
      <c r="CS2569" s="145"/>
      <c r="CT2569" s="145"/>
      <c r="CU2569" s="145"/>
      <c r="CV2569" s="145"/>
      <c r="CW2569" s="145"/>
      <c r="CX2569" s="145"/>
      <c r="CY2569" s="145"/>
      <c r="CZ2569" s="145"/>
      <c r="DA2569" s="145"/>
      <c r="DB2569" s="145"/>
      <c r="DC2569" s="145"/>
      <c r="DD2569" s="145"/>
      <c r="DE2569" s="145"/>
      <c r="DF2569" s="145"/>
      <c r="DG2569" s="145"/>
      <c r="DH2569" s="145"/>
      <c r="DI2569" s="145"/>
      <c r="DJ2569" s="145"/>
      <c r="DK2569" s="145"/>
      <c r="DL2569" s="145"/>
      <c r="DM2569" s="145"/>
      <c r="DN2569" s="145"/>
      <c r="DO2569" s="145"/>
      <c r="DP2569" s="145"/>
      <c r="DQ2569" s="145"/>
      <c r="DR2569" s="145"/>
      <c r="DS2569" s="145"/>
      <c r="DT2569" s="145"/>
      <c r="DU2569" s="145"/>
      <c r="DV2569" s="145"/>
      <c r="DW2569" s="145"/>
      <c r="DX2569" s="145"/>
      <c r="DY2569" s="145"/>
      <c r="DZ2569" s="145"/>
      <c r="EA2569" s="145"/>
      <c r="EB2569" s="145"/>
      <c r="EC2569" s="145"/>
      <c r="ED2569" s="145"/>
      <c r="EE2569" s="145"/>
      <c r="EF2569" s="145"/>
      <c r="EG2569" s="145"/>
      <c r="EH2569" s="145"/>
      <c r="EI2569" s="145"/>
      <c r="EJ2569" s="145"/>
      <c r="EK2569" s="145"/>
      <c r="EL2569" s="145"/>
      <c r="EM2569" s="145"/>
      <c r="EN2569" s="145"/>
      <c r="EO2569" s="145"/>
      <c r="EP2569" s="145"/>
      <c r="EQ2569" s="145"/>
      <c r="ER2569" s="145"/>
      <c r="ES2569" s="145"/>
      <c r="ET2569" s="145"/>
      <c r="EU2569" s="145"/>
      <c r="EV2569" s="145"/>
      <c r="EW2569" s="145"/>
      <c r="EX2569" s="145"/>
      <c r="EY2569" s="145"/>
      <c r="EZ2569" s="145"/>
      <c r="FA2569" s="145"/>
      <c r="FB2569" s="145"/>
      <c r="FC2569" s="145"/>
      <c r="FD2569" s="145"/>
      <c r="FE2569" s="145"/>
      <c r="FF2569" s="145"/>
      <c r="FG2569" s="145"/>
      <c r="FH2569" s="145"/>
      <c r="FI2569" s="145"/>
      <c r="FJ2569" s="145"/>
      <c r="FK2569" s="145"/>
      <c r="FL2569" s="145"/>
      <c r="FM2569" s="145"/>
      <c r="FN2569" s="145"/>
      <c r="FO2569" s="145"/>
      <c r="FP2569" s="145"/>
      <c r="FQ2569" s="145"/>
      <c r="FR2569" s="145"/>
      <c r="FS2569" s="145"/>
      <c r="FT2569" s="145"/>
      <c r="FU2569" s="145"/>
      <c r="FV2569" s="145"/>
      <c r="FW2569" s="145"/>
      <c r="FX2569" s="145"/>
      <c r="FY2569" s="145"/>
      <c r="FZ2569" s="145"/>
      <c r="GA2569" s="145"/>
      <c r="GB2569" s="145"/>
      <c r="GC2569" s="145"/>
      <c r="GD2569" s="145"/>
      <c r="GE2569" s="145"/>
      <c r="GF2569" s="145"/>
      <c r="GG2569" s="145"/>
      <c r="GH2569" s="145"/>
      <c r="GI2569" s="145"/>
      <c r="GJ2569" s="145"/>
      <c r="GK2569" s="145"/>
      <c r="GL2569" s="145"/>
      <c r="GM2569" s="145"/>
      <c r="GN2569" s="145"/>
      <c r="GO2569" s="145"/>
      <c r="GP2569" s="145"/>
      <c r="GQ2569" s="145"/>
      <c r="GR2569" s="145"/>
      <c r="GS2569" s="145"/>
      <c r="GT2569" s="145"/>
      <c r="GU2569" s="145"/>
      <c r="GV2569" s="145"/>
      <c r="GW2569" s="145"/>
      <c r="GX2569" s="145"/>
      <c r="GY2569" s="145"/>
      <c r="GZ2569" s="145"/>
      <c r="HA2569" s="145"/>
      <c r="HB2569" s="145"/>
      <c r="HC2569" s="145"/>
      <c r="HD2569" s="145"/>
      <c r="HE2569" s="145"/>
      <c r="HF2569" s="145"/>
      <c r="HG2569" s="145"/>
    </row>
    <row r="2570" spans="1:215" x14ac:dyDescent="0.35">
      <c r="A2570" s="272"/>
      <c r="B2570" s="272"/>
      <c r="C2570" s="285"/>
      <c r="D2570" s="275"/>
      <c r="E2570" s="275"/>
      <c r="F2570" s="284"/>
      <c r="G2570" s="272"/>
      <c r="H2570" s="136" t="s">
        <v>75</v>
      </c>
      <c r="I2570" s="181">
        <f>D2568*K2570</f>
        <v>122507</v>
      </c>
      <c r="J2570" s="181">
        <f>I2570/D2568</f>
        <v>70</v>
      </c>
      <c r="K2570" s="181">
        <v>70</v>
      </c>
      <c r="L2570" s="145"/>
      <c r="M2570" s="145"/>
      <c r="N2570" s="145"/>
      <c r="O2570" s="145"/>
      <c r="P2570" s="145"/>
      <c r="Q2570" s="145"/>
      <c r="R2570" s="145"/>
      <c r="S2570" s="145"/>
      <c r="T2570" s="145"/>
      <c r="U2570" s="145"/>
      <c r="V2570" s="145"/>
      <c r="W2570" s="145"/>
      <c r="X2570" s="145"/>
      <c r="Y2570" s="145"/>
      <c r="Z2570" s="145"/>
      <c r="AA2570" s="145"/>
      <c r="AB2570" s="145"/>
      <c r="AC2570" s="145"/>
      <c r="AD2570" s="145"/>
      <c r="AE2570" s="145"/>
      <c r="AF2570" s="145"/>
      <c r="AG2570" s="145"/>
      <c r="AH2570" s="145"/>
      <c r="AI2570" s="145"/>
      <c r="AJ2570" s="145"/>
      <c r="AK2570" s="145"/>
      <c r="AL2570" s="145"/>
      <c r="AM2570" s="145"/>
      <c r="AN2570" s="145"/>
      <c r="AO2570" s="145"/>
      <c r="AP2570" s="145"/>
      <c r="AQ2570" s="145"/>
      <c r="AR2570" s="145"/>
      <c r="AS2570" s="145"/>
      <c r="AT2570" s="145"/>
      <c r="AU2570" s="145"/>
      <c r="AV2570" s="145"/>
      <c r="AW2570" s="145"/>
      <c r="AX2570" s="145"/>
      <c r="AY2570" s="145"/>
      <c r="AZ2570" s="145"/>
      <c r="BA2570" s="145"/>
      <c r="BB2570" s="145"/>
      <c r="BC2570" s="145"/>
      <c r="BD2570" s="145"/>
      <c r="BE2570" s="145"/>
      <c r="BF2570" s="145"/>
      <c r="BG2570" s="145"/>
      <c r="BH2570" s="145"/>
      <c r="BI2570" s="145"/>
      <c r="BJ2570" s="145"/>
      <c r="BK2570" s="145"/>
      <c r="BL2570" s="145"/>
      <c r="BM2570" s="145"/>
      <c r="BN2570" s="145"/>
      <c r="BO2570" s="145"/>
      <c r="BP2570" s="145"/>
      <c r="BQ2570" s="145"/>
      <c r="BR2570" s="145"/>
      <c r="BS2570" s="145"/>
      <c r="BT2570" s="145"/>
      <c r="BU2570" s="145"/>
      <c r="BV2570" s="145"/>
      <c r="BW2570" s="145"/>
      <c r="BX2570" s="145"/>
      <c r="BY2570" s="145"/>
      <c r="BZ2570" s="145"/>
      <c r="CA2570" s="145"/>
      <c r="CB2570" s="145"/>
      <c r="CC2570" s="145"/>
      <c r="CD2570" s="145"/>
      <c r="CE2570" s="145"/>
      <c r="CF2570" s="145"/>
      <c r="CG2570" s="145"/>
      <c r="CH2570" s="145"/>
      <c r="CI2570" s="145"/>
      <c r="CJ2570" s="145"/>
      <c r="CK2570" s="145"/>
      <c r="CL2570" s="145"/>
      <c r="CM2570" s="145"/>
      <c r="CN2570" s="145"/>
      <c r="CO2570" s="145"/>
      <c r="CP2570" s="145"/>
      <c r="CQ2570" s="145"/>
      <c r="CR2570" s="145"/>
      <c r="CS2570" s="145"/>
      <c r="CT2570" s="145"/>
      <c r="CU2570" s="145"/>
      <c r="CV2570" s="145"/>
      <c r="CW2570" s="145"/>
      <c r="CX2570" s="145"/>
      <c r="CY2570" s="145"/>
      <c r="CZ2570" s="145"/>
      <c r="DA2570" s="145"/>
      <c r="DB2570" s="145"/>
      <c r="DC2570" s="145"/>
      <c r="DD2570" s="145"/>
      <c r="DE2570" s="145"/>
      <c r="DF2570" s="145"/>
      <c r="DG2570" s="145"/>
      <c r="DH2570" s="145"/>
      <c r="DI2570" s="145"/>
      <c r="DJ2570" s="145"/>
      <c r="DK2570" s="145"/>
      <c r="DL2570" s="145"/>
      <c r="DM2570" s="145"/>
      <c r="DN2570" s="145"/>
      <c r="DO2570" s="145"/>
      <c r="DP2570" s="145"/>
      <c r="DQ2570" s="145"/>
      <c r="DR2570" s="145"/>
      <c r="DS2570" s="145"/>
      <c r="DT2570" s="145"/>
      <c r="DU2570" s="145"/>
      <c r="DV2570" s="145"/>
      <c r="DW2570" s="145"/>
      <c r="DX2570" s="145"/>
      <c r="DY2570" s="145"/>
      <c r="DZ2570" s="145"/>
      <c r="EA2570" s="145"/>
      <c r="EB2570" s="145"/>
      <c r="EC2570" s="145"/>
      <c r="ED2570" s="145"/>
      <c r="EE2570" s="145"/>
      <c r="EF2570" s="145"/>
      <c r="EG2570" s="145"/>
      <c r="EH2570" s="145"/>
      <c r="EI2570" s="145"/>
      <c r="EJ2570" s="145"/>
      <c r="EK2570" s="145"/>
      <c r="EL2570" s="145"/>
      <c r="EM2570" s="145"/>
      <c r="EN2570" s="145"/>
      <c r="EO2570" s="145"/>
      <c r="EP2570" s="145"/>
      <c r="EQ2570" s="145"/>
      <c r="ER2570" s="145"/>
      <c r="ES2570" s="145"/>
      <c r="ET2570" s="145"/>
      <c r="EU2570" s="145"/>
      <c r="EV2570" s="145"/>
      <c r="EW2570" s="145"/>
      <c r="EX2570" s="145"/>
      <c r="EY2570" s="145"/>
      <c r="EZ2570" s="145"/>
      <c r="FA2570" s="145"/>
      <c r="FB2570" s="145"/>
      <c r="FC2570" s="145"/>
      <c r="FD2570" s="145"/>
      <c r="FE2570" s="145"/>
      <c r="FF2570" s="145"/>
      <c r="FG2570" s="145"/>
      <c r="FH2570" s="145"/>
      <c r="FI2570" s="145"/>
      <c r="FJ2570" s="145"/>
      <c r="FK2570" s="145"/>
      <c r="FL2570" s="145"/>
      <c r="FM2570" s="145"/>
      <c r="FN2570" s="145"/>
      <c r="FO2570" s="145"/>
      <c r="FP2570" s="145"/>
      <c r="FQ2570" s="145"/>
      <c r="FR2570" s="145"/>
      <c r="FS2570" s="145"/>
      <c r="FT2570" s="145"/>
      <c r="FU2570" s="145"/>
      <c r="FV2570" s="145"/>
      <c r="FW2570" s="145"/>
      <c r="FX2570" s="145"/>
      <c r="FY2570" s="145"/>
      <c r="FZ2570" s="145"/>
      <c r="GA2570" s="145"/>
      <c r="GB2570" s="145"/>
      <c r="GC2570" s="145"/>
      <c r="GD2570" s="145"/>
      <c r="GE2570" s="145"/>
      <c r="GF2570" s="145"/>
      <c r="GG2570" s="145"/>
      <c r="GH2570" s="145"/>
      <c r="GI2570" s="145"/>
      <c r="GJ2570" s="145"/>
      <c r="GK2570" s="145"/>
      <c r="GL2570" s="145"/>
      <c r="GM2570" s="145"/>
      <c r="GN2570" s="145"/>
      <c r="GO2570" s="145"/>
      <c r="GP2570" s="145"/>
      <c r="GQ2570" s="145"/>
      <c r="GR2570" s="145"/>
      <c r="GS2570" s="145"/>
      <c r="GT2570" s="145"/>
      <c r="GU2570" s="145"/>
      <c r="GV2570" s="145"/>
      <c r="GW2570" s="145"/>
      <c r="GX2570" s="145"/>
      <c r="GY2570" s="145"/>
      <c r="GZ2570" s="145"/>
      <c r="HA2570" s="145"/>
      <c r="HB2570" s="145"/>
      <c r="HC2570" s="145"/>
      <c r="HD2570" s="145"/>
      <c r="HE2570" s="145"/>
      <c r="HF2570" s="145"/>
      <c r="HG2570" s="145"/>
    </row>
    <row r="2571" spans="1:215" x14ac:dyDescent="0.35">
      <c r="A2571" s="270">
        <f>A2568+1</f>
        <v>14</v>
      </c>
      <c r="B2571" s="270">
        <v>5488</v>
      </c>
      <c r="C2571" s="278" t="s">
        <v>605</v>
      </c>
      <c r="D2571" s="273">
        <v>1543.3</v>
      </c>
      <c r="E2571" s="273" t="s">
        <v>74</v>
      </c>
      <c r="F2571" s="282">
        <v>3</v>
      </c>
      <c r="G2571" s="270" t="s">
        <v>81</v>
      </c>
      <c r="H2571" s="136" t="s">
        <v>72</v>
      </c>
      <c r="I2571" s="181">
        <f>I2572</f>
        <v>807145.9</v>
      </c>
      <c r="J2571" s="181">
        <f>J2572</f>
        <v>523</v>
      </c>
      <c r="K2571" s="181">
        <f>K2572</f>
        <v>523</v>
      </c>
      <c r="L2571" s="145"/>
      <c r="M2571" s="145"/>
      <c r="N2571" s="145"/>
      <c r="O2571" s="145"/>
      <c r="P2571" s="145"/>
      <c r="Q2571" s="145"/>
      <c r="R2571" s="145"/>
      <c r="S2571" s="145"/>
      <c r="T2571" s="145"/>
      <c r="U2571" s="145"/>
      <c r="V2571" s="145"/>
      <c r="W2571" s="145"/>
      <c r="X2571" s="145"/>
      <c r="Y2571" s="145"/>
      <c r="Z2571" s="145"/>
      <c r="AA2571" s="145"/>
      <c r="AB2571" s="145"/>
      <c r="AC2571" s="145"/>
      <c r="AD2571" s="145"/>
      <c r="AE2571" s="145"/>
      <c r="AF2571" s="145"/>
      <c r="AG2571" s="145"/>
      <c r="AH2571" s="145"/>
      <c r="AI2571" s="145"/>
      <c r="AJ2571" s="145"/>
      <c r="AK2571" s="145"/>
      <c r="AL2571" s="145"/>
      <c r="AM2571" s="145"/>
      <c r="AN2571" s="145"/>
      <c r="AO2571" s="145"/>
      <c r="AP2571" s="145"/>
      <c r="AQ2571" s="145"/>
      <c r="AR2571" s="145"/>
      <c r="AS2571" s="145"/>
      <c r="AT2571" s="145"/>
      <c r="AU2571" s="145"/>
      <c r="AV2571" s="145"/>
      <c r="AW2571" s="145"/>
      <c r="AX2571" s="145"/>
      <c r="AY2571" s="145"/>
      <c r="AZ2571" s="145"/>
      <c r="BA2571" s="145"/>
      <c r="BB2571" s="145"/>
      <c r="BC2571" s="145"/>
      <c r="BD2571" s="145"/>
      <c r="BE2571" s="145"/>
      <c r="BF2571" s="145"/>
      <c r="BG2571" s="145"/>
      <c r="BH2571" s="145"/>
      <c r="BI2571" s="145"/>
      <c r="BJ2571" s="145"/>
      <c r="BK2571" s="145"/>
      <c r="BL2571" s="145"/>
      <c r="BM2571" s="145"/>
      <c r="BN2571" s="145"/>
      <c r="BO2571" s="145"/>
      <c r="BP2571" s="145"/>
      <c r="BQ2571" s="145"/>
      <c r="BR2571" s="145"/>
      <c r="BS2571" s="145"/>
      <c r="BT2571" s="145"/>
      <c r="BU2571" s="145"/>
      <c r="BV2571" s="145"/>
      <c r="BW2571" s="145"/>
      <c r="BX2571" s="145"/>
      <c r="BY2571" s="145"/>
      <c r="BZ2571" s="145"/>
      <c r="CA2571" s="145"/>
      <c r="CB2571" s="145"/>
      <c r="CC2571" s="145"/>
      <c r="CD2571" s="145"/>
      <c r="CE2571" s="145"/>
      <c r="CF2571" s="145"/>
      <c r="CG2571" s="145"/>
      <c r="CH2571" s="145"/>
      <c r="CI2571" s="145"/>
      <c r="CJ2571" s="145"/>
      <c r="CK2571" s="145"/>
      <c r="CL2571" s="145"/>
      <c r="CM2571" s="145"/>
      <c r="CN2571" s="145"/>
      <c r="CO2571" s="145"/>
      <c r="CP2571" s="145"/>
      <c r="CQ2571" s="145"/>
      <c r="CR2571" s="145"/>
      <c r="CS2571" s="145"/>
      <c r="CT2571" s="145"/>
      <c r="CU2571" s="145"/>
      <c r="CV2571" s="145"/>
      <c r="CW2571" s="145"/>
      <c r="CX2571" s="145"/>
      <c r="CY2571" s="145"/>
      <c r="CZ2571" s="145"/>
      <c r="DA2571" s="145"/>
      <c r="DB2571" s="145"/>
      <c r="DC2571" s="145"/>
      <c r="DD2571" s="145"/>
      <c r="DE2571" s="145"/>
      <c r="DF2571" s="145"/>
      <c r="DG2571" s="145"/>
      <c r="DH2571" s="145"/>
      <c r="DI2571" s="145"/>
      <c r="DJ2571" s="145"/>
      <c r="DK2571" s="145"/>
      <c r="DL2571" s="145"/>
      <c r="DM2571" s="145"/>
      <c r="DN2571" s="145"/>
      <c r="DO2571" s="145"/>
      <c r="DP2571" s="145"/>
      <c r="DQ2571" s="145"/>
      <c r="DR2571" s="145"/>
      <c r="DS2571" s="145"/>
      <c r="DT2571" s="145"/>
      <c r="DU2571" s="145"/>
      <c r="DV2571" s="145"/>
      <c r="DW2571" s="145"/>
      <c r="DX2571" s="145"/>
      <c r="DY2571" s="145"/>
      <c r="DZ2571" s="145"/>
      <c r="EA2571" s="145"/>
      <c r="EB2571" s="145"/>
      <c r="EC2571" s="145"/>
      <c r="ED2571" s="145"/>
      <c r="EE2571" s="145"/>
      <c r="EF2571" s="145"/>
      <c r="EG2571" s="145"/>
      <c r="EH2571" s="145"/>
      <c r="EI2571" s="145"/>
      <c r="EJ2571" s="145"/>
      <c r="EK2571" s="145"/>
      <c r="EL2571" s="145"/>
      <c r="EM2571" s="145"/>
      <c r="EN2571" s="145"/>
      <c r="EO2571" s="145"/>
      <c r="EP2571" s="145"/>
      <c r="EQ2571" s="145"/>
      <c r="ER2571" s="145"/>
      <c r="ES2571" s="145"/>
      <c r="ET2571" s="145"/>
      <c r="EU2571" s="145"/>
      <c r="EV2571" s="145"/>
      <c r="EW2571" s="145"/>
      <c r="EX2571" s="145"/>
      <c r="EY2571" s="145"/>
      <c r="EZ2571" s="145"/>
      <c r="FA2571" s="145"/>
      <c r="FB2571" s="145"/>
      <c r="FC2571" s="145"/>
      <c r="FD2571" s="145"/>
      <c r="FE2571" s="145"/>
      <c r="FF2571" s="145"/>
      <c r="FG2571" s="145"/>
      <c r="FH2571" s="145"/>
      <c r="FI2571" s="145"/>
      <c r="FJ2571" s="145"/>
      <c r="FK2571" s="145"/>
      <c r="FL2571" s="145"/>
      <c r="FM2571" s="145"/>
      <c r="FN2571" s="145"/>
      <c r="FO2571" s="145"/>
      <c r="FP2571" s="145"/>
      <c r="FQ2571" s="145"/>
      <c r="FR2571" s="145"/>
      <c r="FS2571" s="145"/>
      <c r="FT2571" s="145"/>
      <c r="FU2571" s="145"/>
      <c r="FV2571" s="145"/>
      <c r="FW2571" s="145"/>
      <c r="FX2571" s="145"/>
      <c r="FY2571" s="145"/>
      <c r="FZ2571" s="145"/>
      <c r="GA2571" s="145"/>
      <c r="GB2571" s="145"/>
      <c r="GC2571" s="145"/>
      <c r="GD2571" s="145"/>
      <c r="GE2571" s="145"/>
      <c r="GF2571" s="145"/>
      <c r="GG2571" s="145"/>
      <c r="GH2571" s="145"/>
      <c r="GI2571" s="145"/>
      <c r="GJ2571" s="145"/>
      <c r="GK2571" s="145"/>
      <c r="GL2571" s="145"/>
      <c r="GM2571" s="145"/>
      <c r="GN2571" s="145"/>
      <c r="GO2571" s="145"/>
      <c r="GP2571" s="145"/>
      <c r="GQ2571" s="145"/>
      <c r="GR2571" s="145"/>
      <c r="GS2571" s="145"/>
      <c r="GT2571" s="145"/>
      <c r="GU2571" s="145"/>
      <c r="GV2571" s="145"/>
      <c r="GW2571" s="145"/>
      <c r="GX2571" s="145"/>
      <c r="GY2571" s="145"/>
      <c r="GZ2571" s="145"/>
      <c r="HA2571" s="145"/>
      <c r="HB2571" s="145"/>
      <c r="HC2571" s="145"/>
      <c r="HD2571" s="145"/>
      <c r="HE2571" s="145"/>
      <c r="HF2571" s="145"/>
      <c r="HG2571" s="145"/>
    </row>
    <row r="2572" spans="1:215" ht="46.5" x14ac:dyDescent="0.35">
      <c r="A2572" s="271">
        <v>1131</v>
      </c>
      <c r="B2572" s="272"/>
      <c r="C2572" s="279"/>
      <c r="D2572" s="274"/>
      <c r="E2572" s="274"/>
      <c r="F2572" s="283"/>
      <c r="G2572" s="271"/>
      <c r="H2572" s="136" t="s">
        <v>634</v>
      </c>
      <c r="I2572" s="181">
        <f>D2571*K2572</f>
        <v>807145.9</v>
      </c>
      <c r="J2572" s="181">
        <f>I2572/D2571</f>
        <v>523</v>
      </c>
      <c r="K2572" s="181">
        <f>509+14</f>
        <v>523</v>
      </c>
      <c r="L2572" s="145"/>
      <c r="M2572" s="145"/>
      <c r="N2572" s="145"/>
      <c r="O2572" s="145"/>
      <c r="P2572" s="145"/>
      <c r="Q2572" s="145"/>
      <c r="R2572" s="145"/>
      <c r="S2572" s="145"/>
      <c r="T2572" s="145"/>
      <c r="U2572" s="145"/>
      <c r="V2572" s="145"/>
      <c r="W2572" s="145"/>
      <c r="X2572" s="145"/>
      <c r="Y2572" s="145"/>
      <c r="Z2572" s="145"/>
      <c r="AA2572" s="145"/>
      <c r="AB2572" s="145"/>
      <c r="AC2572" s="145"/>
      <c r="AD2572" s="145"/>
      <c r="AE2572" s="145"/>
      <c r="AF2572" s="145"/>
      <c r="AG2572" s="145"/>
      <c r="AH2572" s="145"/>
      <c r="AI2572" s="145"/>
      <c r="AJ2572" s="145"/>
      <c r="AK2572" s="145"/>
      <c r="AL2572" s="145"/>
      <c r="AM2572" s="145"/>
      <c r="AN2572" s="145"/>
      <c r="AO2572" s="145"/>
      <c r="AP2572" s="145"/>
      <c r="AQ2572" s="145"/>
      <c r="AR2572" s="145"/>
      <c r="AS2572" s="145"/>
      <c r="AT2572" s="145"/>
      <c r="AU2572" s="145"/>
      <c r="AV2572" s="145"/>
      <c r="AW2572" s="145"/>
      <c r="AX2572" s="145"/>
      <c r="AY2572" s="145"/>
      <c r="AZ2572" s="145"/>
      <c r="BA2572" s="145"/>
      <c r="BB2572" s="145"/>
      <c r="BC2572" s="145"/>
      <c r="BD2572" s="145"/>
      <c r="BE2572" s="145"/>
      <c r="BF2572" s="145"/>
      <c r="BG2572" s="145"/>
      <c r="BH2572" s="145"/>
      <c r="BI2572" s="145"/>
      <c r="BJ2572" s="145"/>
      <c r="BK2572" s="145"/>
      <c r="BL2572" s="145"/>
      <c r="BM2572" s="145"/>
      <c r="BN2572" s="145"/>
      <c r="BO2572" s="145"/>
      <c r="BP2572" s="145"/>
      <c r="BQ2572" s="145"/>
      <c r="BR2572" s="145"/>
      <c r="BS2572" s="145"/>
      <c r="BT2572" s="145"/>
      <c r="BU2572" s="145"/>
      <c r="BV2572" s="145"/>
      <c r="BW2572" s="145"/>
      <c r="BX2572" s="145"/>
      <c r="BY2572" s="145"/>
      <c r="BZ2572" s="145"/>
      <c r="CA2572" s="145"/>
      <c r="CB2572" s="145"/>
      <c r="CC2572" s="145"/>
      <c r="CD2572" s="145"/>
      <c r="CE2572" s="145"/>
      <c r="CF2572" s="145"/>
      <c r="CG2572" s="145"/>
      <c r="CH2572" s="145"/>
      <c r="CI2572" s="145"/>
      <c r="CJ2572" s="145"/>
      <c r="CK2572" s="145"/>
      <c r="CL2572" s="145"/>
      <c r="CM2572" s="145"/>
      <c r="CN2572" s="145"/>
      <c r="CO2572" s="145"/>
      <c r="CP2572" s="145"/>
      <c r="CQ2572" s="145"/>
      <c r="CR2572" s="145"/>
      <c r="CS2572" s="145"/>
      <c r="CT2572" s="145"/>
      <c r="CU2572" s="145"/>
      <c r="CV2572" s="145"/>
      <c r="CW2572" s="145"/>
      <c r="CX2572" s="145"/>
      <c r="CY2572" s="145"/>
      <c r="CZ2572" s="145"/>
      <c r="DA2572" s="145"/>
      <c r="DB2572" s="145"/>
      <c r="DC2572" s="145"/>
      <c r="DD2572" s="145"/>
      <c r="DE2572" s="145"/>
      <c r="DF2572" s="145"/>
      <c r="DG2572" s="145"/>
      <c r="DH2572" s="145"/>
      <c r="DI2572" s="145"/>
      <c r="DJ2572" s="145"/>
      <c r="DK2572" s="145"/>
      <c r="DL2572" s="145"/>
      <c r="DM2572" s="145"/>
      <c r="DN2572" s="145"/>
      <c r="DO2572" s="145"/>
      <c r="DP2572" s="145"/>
      <c r="DQ2572" s="145"/>
      <c r="DR2572" s="145"/>
      <c r="DS2572" s="145"/>
      <c r="DT2572" s="145"/>
      <c r="DU2572" s="145"/>
      <c r="DV2572" s="145"/>
      <c r="DW2572" s="145"/>
      <c r="DX2572" s="145"/>
      <c r="DY2572" s="145"/>
      <c r="DZ2572" s="145"/>
      <c r="EA2572" s="145"/>
      <c r="EB2572" s="145"/>
      <c r="EC2572" s="145"/>
      <c r="ED2572" s="145"/>
      <c r="EE2572" s="145"/>
      <c r="EF2572" s="145"/>
      <c r="EG2572" s="145"/>
      <c r="EH2572" s="145"/>
      <c r="EI2572" s="145"/>
      <c r="EJ2572" s="145"/>
      <c r="EK2572" s="145"/>
      <c r="EL2572" s="145"/>
      <c r="EM2572" s="145"/>
      <c r="EN2572" s="145"/>
      <c r="EO2572" s="145"/>
      <c r="EP2572" s="145"/>
      <c r="EQ2572" s="145"/>
      <c r="ER2572" s="145"/>
      <c r="ES2572" s="145"/>
      <c r="ET2572" s="145"/>
      <c r="EU2572" s="145"/>
      <c r="EV2572" s="145"/>
      <c r="EW2572" s="145"/>
      <c r="EX2572" s="145"/>
      <c r="EY2572" s="145"/>
      <c r="EZ2572" s="145"/>
      <c r="FA2572" s="145"/>
      <c r="FB2572" s="145"/>
      <c r="FC2572" s="145"/>
      <c r="FD2572" s="145"/>
      <c r="FE2572" s="145"/>
      <c r="FF2572" s="145"/>
      <c r="FG2572" s="145"/>
      <c r="FH2572" s="145"/>
      <c r="FI2572" s="145"/>
      <c r="FJ2572" s="145"/>
      <c r="FK2572" s="145"/>
      <c r="FL2572" s="145"/>
      <c r="FM2572" s="145"/>
      <c r="FN2572" s="145"/>
      <c r="FO2572" s="145"/>
      <c r="FP2572" s="145"/>
      <c r="FQ2572" s="145"/>
      <c r="FR2572" s="145"/>
      <c r="FS2572" s="145"/>
      <c r="FT2572" s="145"/>
      <c r="FU2572" s="145"/>
      <c r="FV2572" s="145"/>
      <c r="FW2572" s="145"/>
      <c r="FX2572" s="145"/>
      <c r="FY2572" s="145"/>
      <c r="FZ2572" s="145"/>
      <c r="GA2572" s="145"/>
      <c r="GB2572" s="145"/>
      <c r="GC2572" s="145"/>
      <c r="GD2572" s="145"/>
      <c r="GE2572" s="145"/>
      <c r="GF2572" s="145"/>
      <c r="GG2572" s="145"/>
      <c r="GH2572" s="145"/>
      <c r="GI2572" s="145"/>
      <c r="GJ2572" s="145"/>
      <c r="GK2572" s="145"/>
      <c r="GL2572" s="145"/>
      <c r="GM2572" s="145"/>
      <c r="GN2572" s="145"/>
      <c r="GO2572" s="145"/>
      <c r="GP2572" s="145"/>
      <c r="GQ2572" s="145"/>
      <c r="GR2572" s="145"/>
      <c r="GS2572" s="145"/>
      <c r="GT2572" s="145"/>
      <c r="GU2572" s="145"/>
      <c r="GV2572" s="145"/>
      <c r="GW2572" s="145"/>
      <c r="GX2572" s="145"/>
      <c r="GY2572" s="145"/>
      <c r="GZ2572" s="145"/>
      <c r="HA2572" s="145"/>
      <c r="HB2572" s="145"/>
      <c r="HC2572" s="145"/>
      <c r="HD2572" s="145"/>
      <c r="HE2572" s="145"/>
      <c r="HF2572" s="145"/>
      <c r="HG2572" s="145"/>
    </row>
    <row r="2573" spans="1:215" x14ac:dyDescent="0.35">
      <c r="A2573" s="270">
        <f>A2571+1</f>
        <v>15</v>
      </c>
      <c r="B2573" s="270">
        <v>5547</v>
      </c>
      <c r="C2573" s="278" t="s">
        <v>449</v>
      </c>
      <c r="D2573" s="273">
        <v>394.4</v>
      </c>
      <c r="E2573" s="273" t="s">
        <v>633</v>
      </c>
      <c r="F2573" s="282">
        <v>2</v>
      </c>
      <c r="G2573" s="270" t="s">
        <v>71</v>
      </c>
      <c r="H2573" s="136" t="s">
        <v>72</v>
      </c>
      <c r="I2573" s="181">
        <f>I2574+I2575</f>
        <v>1708246.53</v>
      </c>
      <c r="J2573" s="181">
        <f>J2574+J2575</f>
        <v>4331.25</v>
      </c>
      <c r="K2573" s="181">
        <f>K2574+K2575</f>
        <v>7539</v>
      </c>
      <c r="L2573" s="145"/>
      <c r="M2573" s="145"/>
      <c r="N2573" s="145"/>
      <c r="O2573" s="145"/>
      <c r="P2573" s="145"/>
      <c r="Q2573" s="145"/>
      <c r="R2573" s="145"/>
      <c r="S2573" s="145"/>
      <c r="T2573" s="145"/>
      <c r="U2573" s="145"/>
      <c r="V2573" s="145"/>
      <c r="W2573" s="145"/>
      <c r="X2573" s="145"/>
      <c r="Y2573" s="145"/>
      <c r="Z2573" s="145"/>
      <c r="AA2573" s="145"/>
      <c r="AB2573" s="145"/>
      <c r="AC2573" s="145"/>
      <c r="AD2573" s="145"/>
      <c r="AE2573" s="145"/>
      <c r="AF2573" s="145"/>
      <c r="AG2573" s="145"/>
      <c r="AH2573" s="145"/>
      <c r="AI2573" s="145"/>
      <c r="AJ2573" s="145"/>
      <c r="AK2573" s="145"/>
      <c r="AL2573" s="145"/>
      <c r="AM2573" s="145"/>
      <c r="AN2573" s="145"/>
      <c r="AO2573" s="145"/>
      <c r="AP2573" s="145"/>
      <c r="AQ2573" s="145"/>
      <c r="AR2573" s="145"/>
      <c r="AS2573" s="145"/>
      <c r="AT2573" s="145"/>
      <c r="AU2573" s="145"/>
      <c r="AV2573" s="145"/>
      <c r="AW2573" s="145"/>
      <c r="AX2573" s="145"/>
      <c r="AY2573" s="145"/>
      <c r="AZ2573" s="145"/>
      <c r="BA2573" s="145"/>
      <c r="BB2573" s="145"/>
      <c r="BC2573" s="145"/>
      <c r="BD2573" s="145"/>
      <c r="BE2573" s="145"/>
      <c r="BF2573" s="145"/>
      <c r="BG2573" s="145"/>
      <c r="BH2573" s="145"/>
      <c r="BI2573" s="145"/>
      <c r="BJ2573" s="145"/>
      <c r="BK2573" s="145"/>
      <c r="BL2573" s="145"/>
      <c r="BM2573" s="145"/>
      <c r="BN2573" s="145"/>
      <c r="BO2573" s="145"/>
      <c r="BP2573" s="145"/>
      <c r="BQ2573" s="145"/>
      <c r="BR2573" s="145"/>
      <c r="BS2573" s="145"/>
      <c r="BT2573" s="145"/>
      <c r="BU2573" s="145"/>
      <c r="BV2573" s="145"/>
      <c r="BW2573" s="145"/>
      <c r="BX2573" s="145"/>
      <c r="BY2573" s="145"/>
      <c r="BZ2573" s="145"/>
      <c r="CA2573" s="145"/>
      <c r="CB2573" s="145"/>
      <c r="CC2573" s="145"/>
      <c r="CD2573" s="145"/>
      <c r="CE2573" s="145"/>
      <c r="CF2573" s="145"/>
      <c r="CG2573" s="145"/>
      <c r="CH2573" s="145"/>
      <c r="CI2573" s="145"/>
      <c r="CJ2573" s="145"/>
      <c r="CK2573" s="145"/>
      <c r="CL2573" s="145"/>
      <c r="CM2573" s="145"/>
      <c r="CN2573" s="145"/>
      <c r="CO2573" s="145"/>
      <c r="CP2573" s="145"/>
      <c r="CQ2573" s="145"/>
      <c r="CR2573" s="145"/>
      <c r="CS2573" s="145"/>
      <c r="CT2573" s="145"/>
      <c r="CU2573" s="145"/>
      <c r="CV2573" s="145"/>
      <c r="CW2573" s="145"/>
      <c r="CX2573" s="145"/>
      <c r="CY2573" s="145"/>
      <c r="CZ2573" s="145"/>
      <c r="DA2573" s="145"/>
      <c r="DB2573" s="145"/>
      <c r="DC2573" s="145"/>
      <c r="DD2573" s="145"/>
      <c r="DE2573" s="145"/>
      <c r="DF2573" s="145"/>
      <c r="DG2573" s="145"/>
      <c r="DH2573" s="145"/>
      <c r="DI2573" s="145"/>
      <c r="DJ2573" s="145"/>
      <c r="DK2573" s="145"/>
      <c r="DL2573" s="145"/>
      <c r="DM2573" s="145"/>
      <c r="DN2573" s="145"/>
      <c r="DO2573" s="145"/>
      <c r="DP2573" s="145"/>
      <c r="DQ2573" s="145"/>
      <c r="DR2573" s="145"/>
      <c r="DS2573" s="145"/>
      <c r="DT2573" s="145"/>
      <c r="DU2573" s="145"/>
      <c r="DV2573" s="145"/>
      <c r="DW2573" s="145"/>
      <c r="DX2573" s="145"/>
      <c r="DY2573" s="145"/>
      <c r="DZ2573" s="145"/>
      <c r="EA2573" s="145"/>
      <c r="EB2573" s="145"/>
      <c r="EC2573" s="145"/>
      <c r="ED2573" s="145"/>
      <c r="EE2573" s="145"/>
      <c r="EF2573" s="145"/>
      <c r="EG2573" s="145"/>
      <c r="EH2573" s="145"/>
      <c r="EI2573" s="145"/>
      <c r="EJ2573" s="145"/>
      <c r="EK2573" s="145"/>
      <c r="EL2573" s="145"/>
      <c r="EM2573" s="145"/>
      <c r="EN2573" s="145"/>
      <c r="EO2573" s="145"/>
      <c r="EP2573" s="145"/>
      <c r="EQ2573" s="145"/>
      <c r="ER2573" s="145"/>
      <c r="ES2573" s="145"/>
      <c r="ET2573" s="145"/>
      <c r="EU2573" s="145"/>
      <c r="EV2573" s="145"/>
      <c r="EW2573" s="145"/>
      <c r="EX2573" s="145"/>
      <c r="EY2573" s="145"/>
      <c r="EZ2573" s="145"/>
      <c r="FA2573" s="145"/>
      <c r="FB2573" s="145"/>
      <c r="FC2573" s="145"/>
      <c r="FD2573" s="145"/>
      <c r="FE2573" s="145"/>
      <c r="FF2573" s="145"/>
      <c r="FG2573" s="145"/>
      <c r="FH2573" s="145"/>
      <c r="FI2573" s="145"/>
      <c r="FJ2573" s="145"/>
      <c r="FK2573" s="145"/>
      <c r="FL2573" s="145"/>
      <c r="FM2573" s="145"/>
      <c r="FN2573" s="145"/>
      <c r="FO2573" s="145"/>
      <c r="FP2573" s="145"/>
      <c r="FQ2573" s="145"/>
      <c r="FR2573" s="145"/>
      <c r="FS2573" s="145"/>
      <c r="FT2573" s="145"/>
      <c r="FU2573" s="145"/>
      <c r="FV2573" s="145"/>
      <c r="FW2573" s="145"/>
      <c r="FX2573" s="145"/>
      <c r="FY2573" s="145"/>
      <c r="FZ2573" s="145"/>
      <c r="GA2573" s="145"/>
      <c r="GB2573" s="145"/>
      <c r="GC2573" s="145"/>
      <c r="GD2573" s="145"/>
      <c r="GE2573" s="145"/>
      <c r="GF2573" s="145"/>
      <c r="GG2573" s="145"/>
      <c r="GH2573" s="145"/>
      <c r="GI2573" s="145"/>
      <c r="GJ2573" s="145"/>
      <c r="GK2573" s="145"/>
      <c r="GL2573" s="145"/>
      <c r="GM2573" s="145"/>
      <c r="GN2573" s="145"/>
      <c r="GO2573" s="145"/>
      <c r="GP2573" s="145"/>
      <c r="GQ2573" s="145"/>
      <c r="GR2573" s="145"/>
      <c r="GS2573" s="145"/>
      <c r="GT2573" s="145"/>
      <c r="GU2573" s="145"/>
      <c r="GV2573" s="145"/>
      <c r="GW2573" s="145"/>
      <c r="GX2573" s="145"/>
      <c r="GY2573" s="145"/>
      <c r="GZ2573" s="145"/>
      <c r="HA2573" s="145"/>
      <c r="HB2573" s="145"/>
      <c r="HC2573" s="145"/>
      <c r="HD2573" s="145"/>
      <c r="HE2573" s="145"/>
      <c r="HF2573" s="145"/>
      <c r="HG2573" s="145"/>
    </row>
    <row r="2574" spans="1:215" x14ac:dyDescent="0.35">
      <c r="A2574" s="271"/>
      <c r="B2574" s="271"/>
      <c r="C2574" s="279"/>
      <c r="D2574" s="274"/>
      <c r="E2574" s="274"/>
      <c r="F2574" s="283"/>
      <c r="G2574" s="271"/>
      <c r="H2574" s="136" t="s">
        <v>73</v>
      </c>
      <c r="I2574" s="181">
        <v>1655239.52</v>
      </c>
      <c r="J2574" s="181">
        <f>I2574/D2573</f>
        <v>4196.8500000000004</v>
      </c>
      <c r="K2574" s="181">
        <v>7381</v>
      </c>
      <c r="L2574" s="145"/>
      <c r="M2574" s="145"/>
      <c r="N2574" s="145"/>
      <c r="O2574" s="145"/>
      <c r="P2574" s="145"/>
      <c r="Q2574" s="145"/>
      <c r="R2574" s="145"/>
      <c r="S2574" s="145"/>
      <c r="T2574" s="145"/>
      <c r="U2574" s="145"/>
      <c r="V2574" s="145"/>
      <c r="W2574" s="145"/>
      <c r="X2574" s="145"/>
      <c r="Y2574" s="145"/>
      <c r="Z2574" s="145"/>
      <c r="AA2574" s="145"/>
      <c r="AB2574" s="145"/>
      <c r="AC2574" s="145"/>
      <c r="AD2574" s="145"/>
      <c r="AE2574" s="145"/>
      <c r="AF2574" s="145"/>
      <c r="AG2574" s="145"/>
      <c r="AH2574" s="145"/>
      <c r="AI2574" s="145"/>
      <c r="AJ2574" s="145"/>
      <c r="AK2574" s="145"/>
      <c r="AL2574" s="145"/>
      <c r="AM2574" s="145"/>
      <c r="AN2574" s="145"/>
      <c r="AO2574" s="145"/>
      <c r="AP2574" s="145"/>
      <c r="AQ2574" s="145"/>
      <c r="AR2574" s="145"/>
      <c r="AS2574" s="145"/>
      <c r="AT2574" s="145"/>
      <c r="AU2574" s="145"/>
      <c r="AV2574" s="145"/>
      <c r="AW2574" s="145"/>
      <c r="AX2574" s="145"/>
      <c r="AY2574" s="145"/>
      <c r="AZ2574" s="145"/>
      <c r="BA2574" s="145"/>
      <c r="BB2574" s="145"/>
      <c r="BC2574" s="145"/>
      <c r="BD2574" s="145"/>
      <c r="BE2574" s="145"/>
      <c r="BF2574" s="145"/>
      <c r="BG2574" s="145"/>
      <c r="BH2574" s="145"/>
      <c r="BI2574" s="145"/>
      <c r="BJ2574" s="145"/>
      <c r="BK2574" s="145"/>
      <c r="BL2574" s="145"/>
      <c r="BM2574" s="145"/>
      <c r="BN2574" s="145"/>
      <c r="BO2574" s="145"/>
      <c r="BP2574" s="145"/>
      <c r="BQ2574" s="145"/>
      <c r="BR2574" s="145"/>
      <c r="BS2574" s="145"/>
      <c r="BT2574" s="145"/>
      <c r="BU2574" s="145"/>
      <c r="BV2574" s="145"/>
      <c r="BW2574" s="145"/>
      <c r="BX2574" s="145"/>
      <c r="BY2574" s="145"/>
      <c r="BZ2574" s="145"/>
      <c r="CA2574" s="145"/>
      <c r="CB2574" s="145"/>
      <c r="CC2574" s="145"/>
      <c r="CD2574" s="145"/>
      <c r="CE2574" s="145"/>
      <c r="CF2574" s="145"/>
      <c r="CG2574" s="145"/>
      <c r="CH2574" s="145"/>
      <c r="CI2574" s="145"/>
      <c r="CJ2574" s="145"/>
      <c r="CK2574" s="145"/>
      <c r="CL2574" s="145"/>
      <c r="CM2574" s="145"/>
      <c r="CN2574" s="145"/>
      <c r="CO2574" s="145"/>
      <c r="CP2574" s="145"/>
      <c r="CQ2574" s="145"/>
      <c r="CR2574" s="145"/>
      <c r="CS2574" s="145"/>
      <c r="CT2574" s="145"/>
      <c r="CU2574" s="145"/>
      <c r="CV2574" s="145"/>
      <c r="CW2574" s="145"/>
      <c r="CX2574" s="145"/>
      <c r="CY2574" s="145"/>
      <c r="CZ2574" s="145"/>
      <c r="DA2574" s="145"/>
      <c r="DB2574" s="145"/>
      <c r="DC2574" s="145"/>
      <c r="DD2574" s="145"/>
      <c r="DE2574" s="145"/>
      <c r="DF2574" s="145"/>
      <c r="DG2574" s="145"/>
      <c r="DH2574" s="145"/>
      <c r="DI2574" s="145"/>
      <c r="DJ2574" s="145"/>
      <c r="DK2574" s="145"/>
      <c r="DL2574" s="145"/>
      <c r="DM2574" s="145"/>
      <c r="DN2574" s="145"/>
      <c r="DO2574" s="145"/>
      <c r="DP2574" s="145"/>
      <c r="DQ2574" s="145"/>
      <c r="DR2574" s="145"/>
      <c r="DS2574" s="145"/>
      <c r="DT2574" s="145"/>
      <c r="DU2574" s="145"/>
      <c r="DV2574" s="145"/>
      <c r="DW2574" s="145"/>
      <c r="DX2574" s="145"/>
      <c r="DY2574" s="145"/>
      <c r="DZ2574" s="145"/>
      <c r="EA2574" s="145"/>
      <c r="EB2574" s="145"/>
      <c r="EC2574" s="145"/>
      <c r="ED2574" s="145"/>
      <c r="EE2574" s="145"/>
      <c r="EF2574" s="145"/>
      <c r="EG2574" s="145"/>
      <c r="EH2574" s="145"/>
      <c r="EI2574" s="145"/>
      <c r="EJ2574" s="145"/>
      <c r="EK2574" s="145"/>
      <c r="EL2574" s="145"/>
      <c r="EM2574" s="145"/>
      <c r="EN2574" s="145"/>
      <c r="EO2574" s="145"/>
      <c r="EP2574" s="145"/>
      <c r="EQ2574" s="145"/>
      <c r="ER2574" s="145"/>
      <c r="ES2574" s="145"/>
      <c r="ET2574" s="145"/>
      <c r="EU2574" s="145"/>
      <c r="EV2574" s="145"/>
      <c r="EW2574" s="145"/>
      <c r="EX2574" s="145"/>
      <c r="EY2574" s="145"/>
      <c r="EZ2574" s="145"/>
      <c r="FA2574" s="145"/>
      <c r="FB2574" s="145"/>
      <c r="FC2574" s="145"/>
      <c r="FD2574" s="145"/>
      <c r="FE2574" s="145"/>
      <c r="FF2574" s="145"/>
      <c r="FG2574" s="145"/>
      <c r="FH2574" s="145"/>
      <c r="FI2574" s="145"/>
      <c r="FJ2574" s="145"/>
      <c r="FK2574" s="145"/>
      <c r="FL2574" s="145"/>
      <c r="FM2574" s="145"/>
      <c r="FN2574" s="145"/>
      <c r="FO2574" s="145"/>
      <c r="FP2574" s="145"/>
      <c r="FQ2574" s="145"/>
      <c r="FR2574" s="145"/>
      <c r="FS2574" s="145"/>
      <c r="FT2574" s="145"/>
      <c r="FU2574" s="145"/>
      <c r="FV2574" s="145"/>
      <c r="FW2574" s="145"/>
      <c r="FX2574" s="145"/>
      <c r="FY2574" s="145"/>
      <c r="FZ2574" s="145"/>
      <c r="GA2574" s="145"/>
      <c r="GB2574" s="145"/>
      <c r="GC2574" s="145"/>
      <c r="GD2574" s="145"/>
      <c r="GE2574" s="145"/>
      <c r="GF2574" s="145"/>
      <c r="GG2574" s="145"/>
      <c r="GH2574" s="145"/>
      <c r="GI2574" s="145"/>
      <c r="GJ2574" s="145"/>
      <c r="GK2574" s="145"/>
      <c r="GL2574" s="145"/>
      <c r="GM2574" s="145"/>
      <c r="GN2574" s="145"/>
      <c r="GO2574" s="145"/>
      <c r="GP2574" s="145"/>
      <c r="GQ2574" s="145"/>
      <c r="GR2574" s="145"/>
      <c r="GS2574" s="145"/>
      <c r="GT2574" s="145"/>
      <c r="GU2574" s="145"/>
      <c r="GV2574" s="145"/>
      <c r="GW2574" s="145"/>
      <c r="GX2574" s="145"/>
      <c r="GY2574" s="145"/>
      <c r="GZ2574" s="145"/>
      <c r="HA2574" s="145"/>
      <c r="HB2574" s="145"/>
      <c r="HC2574" s="145"/>
      <c r="HD2574" s="145"/>
      <c r="HE2574" s="145"/>
      <c r="HF2574" s="145"/>
      <c r="HG2574" s="145"/>
    </row>
    <row r="2575" spans="1:215" x14ac:dyDescent="0.35">
      <c r="A2575" s="272"/>
      <c r="B2575" s="272"/>
      <c r="C2575" s="285"/>
      <c r="D2575" s="275"/>
      <c r="E2575" s="275"/>
      <c r="F2575" s="284"/>
      <c r="G2575" s="272"/>
      <c r="H2575" s="136" t="s">
        <v>75</v>
      </c>
      <c r="I2575" s="181">
        <v>53007.01</v>
      </c>
      <c r="J2575" s="181">
        <f>I2575/D2573</f>
        <v>134.4</v>
      </c>
      <c r="K2575" s="181">
        <v>158</v>
      </c>
      <c r="L2575" s="145"/>
      <c r="M2575" s="145"/>
      <c r="N2575" s="145"/>
      <c r="O2575" s="145"/>
      <c r="P2575" s="145"/>
      <c r="Q2575" s="145"/>
      <c r="R2575" s="145"/>
      <c r="S2575" s="145"/>
      <c r="T2575" s="145"/>
      <c r="U2575" s="145"/>
      <c r="V2575" s="145"/>
      <c r="W2575" s="145"/>
      <c r="X2575" s="145"/>
      <c r="Y2575" s="145"/>
      <c r="Z2575" s="145"/>
      <c r="AA2575" s="145"/>
      <c r="AB2575" s="145"/>
      <c r="AC2575" s="145"/>
      <c r="AD2575" s="145"/>
      <c r="AE2575" s="145"/>
      <c r="AF2575" s="145"/>
      <c r="AG2575" s="145"/>
      <c r="AH2575" s="145"/>
      <c r="AI2575" s="145"/>
      <c r="AJ2575" s="145"/>
      <c r="AK2575" s="145"/>
      <c r="AL2575" s="145"/>
      <c r="AM2575" s="145"/>
      <c r="AN2575" s="145"/>
      <c r="AO2575" s="145"/>
      <c r="AP2575" s="145"/>
      <c r="AQ2575" s="145"/>
      <c r="AR2575" s="145"/>
      <c r="AS2575" s="145"/>
      <c r="AT2575" s="145"/>
      <c r="AU2575" s="145"/>
      <c r="AV2575" s="145"/>
      <c r="AW2575" s="145"/>
      <c r="AX2575" s="145"/>
      <c r="AY2575" s="145"/>
      <c r="AZ2575" s="145"/>
      <c r="BA2575" s="145"/>
      <c r="BB2575" s="145"/>
      <c r="BC2575" s="145"/>
      <c r="BD2575" s="145"/>
      <c r="BE2575" s="145"/>
      <c r="BF2575" s="145"/>
      <c r="BG2575" s="145"/>
      <c r="BH2575" s="145"/>
      <c r="BI2575" s="145"/>
      <c r="BJ2575" s="145"/>
      <c r="BK2575" s="145"/>
      <c r="BL2575" s="145"/>
      <c r="BM2575" s="145"/>
      <c r="BN2575" s="145"/>
      <c r="BO2575" s="145"/>
      <c r="BP2575" s="145"/>
      <c r="BQ2575" s="145"/>
      <c r="BR2575" s="145"/>
      <c r="BS2575" s="145"/>
      <c r="BT2575" s="145"/>
      <c r="BU2575" s="145"/>
      <c r="BV2575" s="145"/>
      <c r="BW2575" s="145"/>
      <c r="BX2575" s="145"/>
      <c r="BY2575" s="145"/>
      <c r="BZ2575" s="145"/>
      <c r="CA2575" s="145"/>
      <c r="CB2575" s="145"/>
      <c r="CC2575" s="145"/>
      <c r="CD2575" s="145"/>
      <c r="CE2575" s="145"/>
      <c r="CF2575" s="145"/>
      <c r="CG2575" s="145"/>
      <c r="CH2575" s="145"/>
      <c r="CI2575" s="145"/>
      <c r="CJ2575" s="145"/>
      <c r="CK2575" s="145"/>
      <c r="CL2575" s="145"/>
      <c r="CM2575" s="145"/>
      <c r="CN2575" s="145"/>
      <c r="CO2575" s="145"/>
      <c r="CP2575" s="145"/>
      <c r="CQ2575" s="145"/>
      <c r="CR2575" s="145"/>
      <c r="CS2575" s="145"/>
      <c r="CT2575" s="145"/>
      <c r="CU2575" s="145"/>
      <c r="CV2575" s="145"/>
      <c r="CW2575" s="145"/>
      <c r="CX2575" s="145"/>
      <c r="CY2575" s="145"/>
      <c r="CZ2575" s="145"/>
      <c r="DA2575" s="145"/>
      <c r="DB2575" s="145"/>
      <c r="DC2575" s="145"/>
      <c r="DD2575" s="145"/>
      <c r="DE2575" s="145"/>
      <c r="DF2575" s="145"/>
      <c r="DG2575" s="145"/>
      <c r="DH2575" s="145"/>
      <c r="DI2575" s="145"/>
      <c r="DJ2575" s="145"/>
      <c r="DK2575" s="145"/>
      <c r="DL2575" s="145"/>
      <c r="DM2575" s="145"/>
      <c r="DN2575" s="145"/>
      <c r="DO2575" s="145"/>
      <c r="DP2575" s="145"/>
      <c r="DQ2575" s="145"/>
      <c r="DR2575" s="145"/>
      <c r="DS2575" s="145"/>
      <c r="DT2575" s="145"/>
      <c r="DU2575" s="145"/>
      <c r="DV2575" s="145"/>
      <c r="DW2575" s="145"/>
      <c r="DX2575" s="145"/>
      <c r="DY2575" s="145"/>
      <c r="DZ2575" s="145"/>
      <c r="EA2575" s="145"/>
      <c r="EB2575" s="145"/>
      <c r="EC2575" s="145"/>
      <c r="ED2575" s="145"/>
      <c r="EE2575" s="145"/>
      <c r="EF2575" s="145"/>
      <c r="EG2575" s="145"/>
      <c r="EH2575" s="145"/>
      <c r="EI2575" s="145"/>
      <c r="EJ2575" s="145"/>
      <c r="EK2575" s="145"/>
      <c r="EL2575" s="145"/>
      <c r="EM2575" s="145"/>
      <c r="EN2575" s="145"/>
      <c r="EO2575" s="145"/>
      <c r="EP2575" s="145"/>
      <c r="EQ2575" s="145"/>
      <c r="ER2575" s="145"/>
      <c r="ES2575" s="145"/>
      <c r="ET2575" s="145"/>
      <c r="EU2575" s="145"/>
      <c r="EV2575" s="145"/>
      <c r="EW2575" s="145"/>
      <c r="EX2575" s="145"/>
      <c r="EY2575" s="145"/>
      <c r="EZ2575" s="145"/>
      <c r="FA2575" s="145"/>
      <c r="FB2575" s="145"/>
      <c r="FC2575" s="145"/>
      <c r="FD2575" s="145"/>
      <c r="FE2575" s="145"/>
      <c r="FF2575" s="145"/>
      <c r="FG2575" s="145"/>
      <c r="FH2575" s="145"/>
      <c r="FI2575" s="145"/>
      <c r="FJ2575" s="145"/>
      <c r="FK2575" s="145"/>
      <c r="FL2575" s="145"/>
      <c r="FM2575" s="145"/>
      <c r="FN2575" s="145"/>
      <c r="FO2575" s="145"/>
      <c r="FP2575" s="145"/>
      <c r="FQ2575" s="145"/>
      <c r="FR2575" s="145"/>
      <c r="FS2575" s="145"/>
      <c r="FT2575" s="145"/>
      <c r="FU2575" s="145"/>
      <c r="FV2575" s="145"/>
      <c r="FW2575" s="145"/>
      <c r="FX2575" s="145"/>
      <c r="FY2575" s="145"/>
      <c r="FZ2575" s="145"/>
      <c r="GA2575" s="145"/>
      <c r="GB2575" s="145"/>
      <c r="GC2575" s="145"/>
      <c r="GD2575" s="145"/>
      <c r="GE2575" s="145"/>
      <c r="GF2575" s="145"/>
      <c r="GG2575" s="145"/>
      <c r="GH2575" s="145"/>
      <c r="GI2575" s="145"/>
      <c r="GJ2575" s="145"/>
      <c r="GK2575" s="145"/>
      <c r="GL2575" s="145"/>
      <c r="GM2575" s="145"/>
      <c r="GN2575" s="145"/>
      <c r="GO2575" s="145"/>
      <c r="GP2575" s="145"/>
      <c r="GQ2575" s="145"/>
      <c r="GR2575" s="145"/>
      <c r="GS2575" s="145"/>
      <c r="GT2575" s="145"/>
      <c r="GU2575" s="145"/>
      <c r="GV2575" s="145"/>
      <c r="GW2575" s="145"/>
      <c r="GX2575" s="145"/>
      <c r="GY2575" s="145"/>
      <c r="GZ2575" s="145"/>
      <c r="HA2575" s="145"/>
      <c r="HB2575" s="145"/>
      <c r="HC2575" s="145"/>
      <c r="HD2575" s="145"/>
      <c r="HE2575" s="145"/>
      <c r="HF2575" s="145"/>
      <c r="HG2575" s="145"/>
    </row>
    <row r="2576" spans="1:215" x14ac:dyDescent="0.35">
      <c r="A2576" s="270">
        <f>A2573+1</f>
        <v>16</v>
      </c>
      <c r="B2576" s="270">
        <v>5696</v>
      </c>
      <c r="C2576" s="278" t="s">
        <v>450</v>
      </c>
      <c r="D2576" s="273">
        <v>339.5</v>
      </c>
      <c r="E2576" s="273" t="s">
        <v>633</v>
      </c>
      <c r="F2576" s="282">
        <v>2</v>
      </c>
      <c r="G2576" s="270" t="s">
        <v>71</v>
      </c>
      <c r="H2576" s="136" t="s">
        <v>72</v>
      </c>
      <c r="I2576" s="181">
        <f>I2577+I2578</f>
        <v>1807735.65</v>
      </c>
      <c r="J2576" s="181">
        <f>J2577+J2578</f>
        <v>5324.7</v>
      </c>
      <c r="K2576" s="181">
        <f>K2577+K2578</f>
        <v>7539</v>
      </c>
      <c r="L2576" s="145"/>
      <c r="M2576" s="145"/>
      <c r="N2576" s="145"/>
      <c r="O2576" s="145"/>
      <c r="P2576" s="145"/>
      <c r="Q2576" s="145"/>
      <c r="R2576" s="145"/>
      <c r="S2576" s="145"/>
      <c r="T2576" s="145"/>
      <c r="U2576" s="145"/>
      <c r="V2576" s="145"/>
      <c r="W2576" s="145"/>
      <c r="X2576" s="145"/>
      <c r="Y2576" s="145"/>
      <c r="Z2576" s="145"/>
      <c r="AA2576" s="145"/>
      <c r="AB2576" s="145"/>
      <c r="AC2576" s="145"/>
      <c r="AD2576" s="145"/>
      <c r="AE2576" s="145"/>
      <c r="AF2576" s="145"/>
      <c r="AG2576" s="145"/>
      <c r="AH2576" s="145"/>
      <c r="AI2576" s="145"/>
      <c r="AJ2576" s="145"/>
      <c r="AK2576" s="145"/>
      <c r="AL2576" s="145"/>
      <c r="AM2576" s="145"/>
      <c r="AN2576" s="145"/>
      <c r="AO2576" s="145"/>
      <c r="AP2576" s="145"/>
      <c r="AQ2576" s="145"/>
      <c r="AR2576" s="145"/>
      <c r="AS2576" s="145"/>
      <c r="AT2576" s="145"/>
      <c r="AU2576" s="145"/>
      <c r="AV2576" s="145"/>
      <c r="AW2576" s="145"/>
      <c r="AX2576" s="145"/>
      <c r="AY2576" s="145"/>
      <c r="AZ2576" s="145"/>
      <c r="BA2576" s="145"/>
      <c r="BB2576" s="145"/>
      <c r="BC2576" s="145"/>
      <c r="BD2576" s="145"/>
      <c r="BE2576" s="145"/>
      <c r="BF2576" s="145"/>
      <c r="BG2576" s="145"/>
      <c r="BH2576" s="145"/>
      <c r="BI2576" s="145"/>
      <c r="BJ2576" s="145"/>
      <c r="BK2576" s="145"/>
      <c r="BL2576" s="145"/>
      <c r="BM2576" s="145"/>
      <c r="BN2576" s="145"/>
      <c r="BO2576" s="145"/>
      <c r="BP2576" s="145"/>
      <c r="BQ2576" s="145"/>
      <c r="BR2576" s="145"/>
      <c r="BS2576" s="145"/>
      <c r="BT2576" s="145"/>
      <c r="BU2576" s="145"/>
      <c r="BV2576" s="145"/>
      <c r="BW2576" s="145"/>
      <c r="BX2576" s="145"/>
      <c r="BY2576" s="145"/>
      <c r="BZ2576" s="145"/>
      <c r="CA2576" s="145"/>
      <c r="CB2576" s="145"/>
      <c r="CC2576" s="145"/>
      <c r="CD2576" s="145"/>
      <c r="CE2576" s="145"/>
      <c r="CF2576" s="145"/>
      <c r="CG2576" s="145"/>
      <c r="CH2576" s="145"/>
      <c r="CI2576" s="145"/>
      <c r="CJ2576" s="145"/>
      <c r="CK2576" s="145"/>
      <c r="CL2576" s="145"/>
      <c r="CM2576" s="145"/>
      <c r="CN2576" s="145"/>
      <c r="CO2576" s="145"/>
      <c r="CP2576" s="145"/>
      <c r="CQ2576" s="145"/>
      <c r="CR2576" s="145"/>
      <c r="CS2576" s="145"/>
      <c r="CT2576" s="145"/>
      <c r="CU2576" s="145"/>
      <c r="CV2576" s="145"/>
      <c r="CW2576" s="145"/>
      <c r="CX2576" s="145"/>
      <c r="CY2576" s="145"/>
      <c r="CZ2576" s="145"/>
      <c r="DA2576" s="145"/>
      <c r="DB2576" s="145"/>
      <c r="DC2576" s="145"/>
      <c r="DD2576" s="145"/>
      <c r="DE2576" s="145"/>
      <c r="DF2576" s="145"/>
      <c r="DG2576" s="145"/>
      <c r="DH2576" s="145"/>
      <c r="DI2576" s="145"/>
      <c r="DJ2576" s="145"/>
      <c r="DK2576" s="145"/>
      <c r="DL2576" s="145"/>
      <c r="DM2576" s="145"/>
      <c r="DN2576" s="145"/>
      <c r="DO2576" s="145"/>
      <c r="DP2576" s="145"/>
      <c r="DQ2576" s="145"/>
      <c r="DR2576" s="145"/>
      <c r="DS2576" s="145"/>
      <c r="DT2576" s="145"/>
      <c r="DU2576" s="145"/>
      <c r="DV2576" s="145"/>
      <c r="DW2576" s="145"/>
      <c r="DX2576" s="145"/>
      <c r="DY2576" s="145"/>
      <c r="DZ2576" s="145"/>
      <c r="EA2576" s="145"/>
      <c r="EB2576" s="145"/>
      <c r="EC2576" s="145"/>
      <c r="ED2576" s="145"/>
      <c r="EE2576" s="145"/>
      <c r="EF2576" s="145"/>
      <c r="EG2576" s="145"/>
      <c r="EH2576" s="145"/>
      <c r="EI2576" s="145"/>
      <c r="EJ2576" s="145"/>
      <c r="EK2576" s="145"/>
      <c r="EL2576" s="145"/>
      <c r="EM2576" s="145"/>
      <c r="EN2576" s="145"/>
      <c r="EO2576" s="145"/>
      <c r="EP2576" s="145"/>
      <c r="EQ2576" s="145"/>
      <c r="ER2576" s="145"/>
      <c r="ES2576" s="145"/>
      <c r="ET2576" s="145"/>
      <c r="EU2576" s="145"/>
      <c r="EV2576" s="145"/>
      <c r="EW2576" s="145"/>
      <c r="EX2576" s="145"/>
      <c r="EY2576" s="145"/>
      <c r="EZ2576" s="145"/>
      <c r="FA2576" s="145"/>
      <c r="FB2576" s="145"/>
      <c r="FC2576" s="145"/>
      <c r="FD2576" s="145"/>
      <c r="FE2576" s="145"/>
      <c r="FF2576" s="145"/>
      <c r="FG2576" s="145"/>
      <c r="FH2576" s="145"/>
      <c r="FI2576" s="145"/>
      <c r="FJ2576" s="145"/>
      <c r="FK2576" s="145"/>
      <c r="FL2576" s="145"/>
      <c r="FM2576" s="145"/>
      <c r="FN2576" s="145"/>
      <c r="FO2576" s="145"/>
      <c r="FP2576" s="145"/>
      <c r="FQ2576" s="145"/>
      <c r="FR2576" s="145"/>
      <c r="FS2576" s="145"/>
      <c r="FT2576" s="145"/>
      <c r="FU2576" s="145"/>
      <c r="FV2576" s="145"/>
      <c r="FW2576" s="145"/>
      <c r="FX2576" s="145"/>
      <c r="FY2576" s="145"/>
      <c r="FZ2576" s="145"/>
      <c r="GA2576" s="145"/>
      <c r="GB2576" s="145"/>
      <c r="GC2576" s="145"/>
      <c r="GD2576" s="145"/>
      <c r="GE2576" s="145"/>
      <c r="GF2576" s="145"/>
      <c r="GG2576" s="145"/>
      <c r="GH2576" s="145"/>
      <c r="GI2576" s="145"/>
      <c r="GJ2576" s="145"/>
      <c r="GK2576" s="145"/>
      <c r="GL2576" s="145"/>
      <c r="GM2576" s="145"/>
      <c r="GN2576" s="145"/>
      <c r="GO2576" s="145"/>
      <c r="GP2576" s="145"/>
      <c r="GQ2576" s="145"/>
      <c r="GR2576" s="145"/>
      <c r="GS2576" s="145"/>
      <c r="GT2576" s="145"/>
      <c r="GU2576" s="145"/>
      <c r="GV2576" s="145"/>
      <c r="GW2576" s="145"/>
      <c r="GX2576" s="145"/>
      <c r="GY2576" s="145"/>
      <c r="GZ2576" s="145"/>
      <c r="HA2576" s="145"/>
      <c r="HB2576" s="145"/>
      <c r="HC2576" s="145"/>
      <c r="HD2576" s="145"/>
      <c r="HE2576" s="145"/>
      <c r="HF2576" s="145"/>
      <c r="HG2576" s="145"/>
    </row>
    <row r="2577" spans="1:215" x14ac:dyDescent="0.35">
      <c r="A2577" s="271"/>
      <c r="B2577" s="271"/>
      <c r="C2577" s="279"/>
      <c r="D2577" s="274"/>
      <c r="E2577" s="274"/>
      <c r="F2577" s="283"/>
      <c r="G2577" s="271"/>
      <c r="H2577" s="136" t="s">
        <v>73</v>
      </c>
      <c r="I2577" s="181">
        <f>D2576*K2577*0.7</f>
        <v>1754094.65</v>
      </c>
      <c r="J2577" s="181">
        <f>I2577/D2576</f>
        <v>5166.7</v>
      </c>
      <c r="K2577" s="181">
        <v>7381</v>
      </c>
      <c r="L2577" s="145"/>
      <c r="M2577" s="145"/>
      <c r="N2577" s="145"/>
      <c r="O2577" s="145"/>
      <c r="P2577" s="145"/>
      <c r="Q2577" s="145"/>
      <c r="R2577" s="145"/>
      <c r="S2577" s="145"/>
      <c r="T2577" s="145"/>
      <c r="U2577" s="145"/>
      <c r="V2577" s="145"/>
      <c r="W2577" s="145"/>
      <c r="X2577" s="145"/>
      <c r="Y2577" s="145"/>
      <c r="Z2577" s="145"/>
      <c r="AA2577" s="145"/>
      <c r="AB2577" s="145"/>
      <c r="AC2577" s="145"/>
      <c r="AD2577" s="145"/>
      <c r="AE2577" s="145"/>
      <c r="AF2577" s="145"/>
      <c r="AG2577" s="145"/>
      <c r="AH2577" s="145"/>
      <c r="AI2577" s="145"/>
      <c r="AJ2577" s="145"/>
      <c r="AK2577" s="145"/>
      <c r="AL2577" s="145"/>
      <c r="AM2577" s="145"/>
      <c r="AN2577" s="145"/>
      <c r="AO2577" s="145"/>
      <c r="AP2577" s="145"/>
      <c r="AQ2577" s="145"/>
      <c r="AR2577" s="145"/>
      <c r="AS2577" s="145"/>
      <c r="AT2577" s="145"/>
      <c r="AU2577" s="145"/>
      <c r="AV2577" s="145"/>
      <c r="AW2577" s="145"/>
      <c r="AX2577" s="145"/>
      <c r="AY2577" s="145"/>
      <c r="AZ2577" s="145"/>
      <c r="BA2577" s="145"/>
      <c r="BB2577" s="145"/>
      <c r="BC2577" s="145"/>
      <c r="BD2577" s="145"/>
      <c r="BE2577" s="145"/>
      <c r="BF2577" s="145"/>
      <c r="BG2577" s="145"/>
      <c r="BH2577" s="145"/>
      <c r="BI2577" s="145"/>
      <c r="BJ2577" s="145"/>
      <c r="BK2577" s="145"/>
      <c r="BL2577" s="145"/>
      <c r="BM2577" s="145"/>
      <c r="BN2577" s="145"/>
      <c r="BO2577" s="145"/>
      <c r="BP2577" s="145"/>
      <c r="BQ2577" s="145"/>
      <c r="BR2577" s="145"/>
      <c r="BS2577" s="145"/>
      <c r="BT2577" s="145"/>
      <c r="BU2577" s="145"/>
      <c r="BV2577" s="145"/>
      <c r="BW2577" s="145"/>
      <c r="BX2577" s="145"/>
      <c r="BY2577" s="145"/>
      <c r="BZ2577" s="145"/>
      <c r="CA2577" s="145"/>
      <c r="CB2577" s="145"/>
      <c r="CC2577" s="145"/>
      <c r="CD2577" s="145"/>
      <c r="CE2577" s="145"/>
      <c r="CF2577" s="145"/>
      <c r="CG2577" s="145"/>
      <c r="CH2577" s="145"/>
      <c r="CI2577" s="145"/>
      <c r="CJ2577" s="145"/>
      <c r="CK2577" s="145"/>
      <c r="CL2577" s="145"/>
      <c r="CM2577" s="145"/>
      <c r="CN2577" s="145"/>
      <c r="CO2577" s="145"/>
      <c r="CP2577" s="145"/>
      <c r="CQ2577" s="145"/>
      <c r="CR2577" s="145"/>
      <c r="CS2577" s="145"/>
      <c r="CT2577" s="145"/>
      <c r="CU2577" s="145"/>
      <c r="CV2577" s="145"/>
      <c r="CW2577" s="145"/>
      <c r="CX2577" s="145"/>
      <c r="CY2577" s="145"/>
      <c r="CZ2577" s="145"/>
      <c r="DA2577" s="145"/>
      <c r="DB2577" s="145"/>
      <c r="DC2577" s="145"/>
      <c r="DD2577" s="145"/>
      <c r="DE2577" s="145"/>
      <c r="DF2577" s="145"/>
      <c r="DG2577" s="145"/>
      <c r="DH2577" s="145"/>
      <c r="DI2577" s="145"/>
      <c r="DJ2577" s="145"/>
      <c r="DK2577" s="145"/>
      <c r="DL2577" s="145"/>
      <c r="DM2577" s="145"/>
      <c r="DN2577" s="145"/>
      <c r="DO2577" s="145"/>
      <c r="DP2577" s="145"/>
      <c r="DQ2577" s="145"/>
      <c r="DR2577" s="145"/>
      <c r="DS2577" s="145"/>
      <c r="DT2577" s="145"/>
      <c r="DU2577" s="145"/>
      <c r="DV2577" s="145"/>
      <c r="DW2577" s="145"/>
      <c r="DX2577" s="145"/>
      <c r="DY2577" s="145"/>
      <c r="DZ2577" s="145"/>
      <c r="EA2577" s="145"/>
      <c r="EB2577" s="145"/>
      <c r="EC2577" s="145"/>
      <c r="ED2577" s="145"/>
      <c r="EE2577" s="145"/>
      <c r="EF2577" s="145"/>
      <c r="EG2577" s="145"/>
      <c r="EH2577" s="145"/>
      <c r="EI2577" s="145"/>
      <c r="EJ2577" s="145"/>
      <c r="EK2577" s="145"/>
      <c r="EL2577" s="145"/>
      <c r="EM2577" s="145"/>
      <c r="EN2577" s="145"/>
      <c r="EO2577" s="145"/>
      <c r="EP2577" s="145"/>
      <c r="EQ2577" s="145"/>
      <c r="ER2577" s="145"/>
      <c r="ES2577" s="145"/>
      <c r="ET2577" s="145"/>
      <c r="EU2577" s="145"/>
      <c r="EV2577" s="145"/>
      <c r="EW2577" s="145"/>
      <c r="EX2577" s="145"/>
      <c r="EY2577" s="145"/>
      <c r="EZ2577" s="145"/>
      <c r="FA2577" s="145"/>
      <c r="FB2577" s="145"/>
      <c r="FC2577" s="145"/>
      <c r="FD2577" s="145"/>
      <c r="FE2577" s="145"/>
      <c r="FF2577" s="145"/>
      <c r="FG2577" s="145"/>
      <c r="FH2577" s="145"/>
      <c r="FI2577" s="145"/>
      <c r="FJ2577" s="145"/>
      <c r="FK2577" s="145"/>
      <c r="FL2577" s="145"/>
      <c r="FM2577" s="145"/>
      <c r="FN2577" s="145"/>
      <c r="FO2577" s="145"/>
      <c r="FP2577" s="145"/>
      <c r="FQ2577" s="145"/>
      <c r="FR2577" s="145"/>
      <c r="FS2577" s="145"/>
      <c r="FT2577" s="145"/>
      <c r="FU2577" s="145"/>
      <c r="FV2577" s="145"/>
      <c r="FW2577" s="145"/>
      <c r="FX2577" s="145"/>
      <c r="FY2577" s="145"/>
      <c r="FZ2577" s="145"/>
      <c r="GA2577" s="145"/>
      <c r="GB2577" s="145"/>
      <c r="GC2577" s="145"/>
      <c r="GD2577" s="145"/>
      <c r="GE2577" s="145"/>
      <c r="GF2577" s="145"/>
      <c r="GG2577" s="145"/>
      <c r="GH2577" s="145"/>
      <c r="GI2577" s="145"/>
      <c r="GJ2577" s="145"/>
      <c r="GK2577" s="145"/>
      <c r="GL2577" s="145"/>
      <c r="GM2577" s="145"/>
      <c r="GN2577" s="145"/>
      <c r="GO2577" s="145"/>
      <c r="GP2577" s="145"/>
      <c r="GQ2577" s="145"/>
      <c r="GR2577" s="145"/>
      <c r="GS2577" s="145"/>
      <c r="GT2577" s="145"/>
      <c r="GU2577" s="145"/>
      <c r="GV2577" s="145"/>
      <c r="GW2577" s="145"/>
      <c r="GX2577" s="145"/>
      <c r="GY2577" s="145"/>
      <c r="GZ2577" s="145"/>
      <c r="HA2577" s="145"/>
      <c r="HB2577" s="145"/>
      <c r="HC2577" s="145"/>
      <c r="HD2577" s="145"/>
      <c r="HE2577" s="145"/>
      <c r="HF2577" s="145"/>
      <c r="HG2577" s="145"/>
    </row>
    <row r="2578" spans="1:215" x14ac:dyDescent="0.35">
      <c r="A2578" s="272"/>
      <c r="B2578" s="272"/>
      <c r="C2578" s="285"/>
      <c r="D2578" s="275"/>
      <c r="E2578" s="275"/>
      <c r="F2578" s="284"/>
      <c r="G2578" s="272"/>
      <c r="H2578" s="136" t="s">
        <v>75</v>
      </c>
      <c r="I2578" s="181">
        <f>D2576*K2578</f>
        <v>53641</v>
      </c>
      <c r="J2578" s="181">
        <f>I2578/D2576</f>
        <v>158</v>
      </c>
      <c r="K2578" s="181">
        <v>158</v>
      </c>
      <c r="L2578" s="145"/>
      <c r="M2578" s="145"/>
      <c r="N2578" s="145"/>
      <c r="O2578" s="145"/>
      <c r="P2578" s="145"/>
      <c r="Q2578" s="145"/>
      <c r="R2578" s="145"/>
      <c r="S2578" s="145"/>
      <c r="T2578" s="145"/>
      <c r="U2578" s="145"/>
      <c r="V2578" s="145"/>
      <c r="W2578" s="145"/>
      <c r="X2578" s="145"/>
      <c r="Y2578" s="145"/>
      <c r="Z2578" s="145"/>
      <c r="AA2578" s="145"/>
      <c r="AB2578" s="145"/>
      <c r="AC2578" s="145"/>
      <c r="AD2578" s="145"/>
      <c r="AE2578" s="145"/>
      <c r="AF2578" s="145"/>
      <c r="AG2578" s="145"/>
      <c r="AH2578" s="145"/>
      <c r="AI2578" s="145"/>
      <c r="AJ2578" s="145"/>
      <c r="AK2578" s="145"/>
      <c r="AL2578" s="145"/>
      <c r="AM2578" s="145"/>
      <c r="AN2578" s="145"/>
      <c r="AO2578" s="145"/>
      <c r="AP2578" s="145"/>
      <c r="AQ2578" s="145"/>
      <c r="AR2578" s="145"/>
      <c r="AS2578" s="145"/>
      <c r="AT2578" s="145"/>
      <c r="AU2578" s="145"/>
      <c r="AV2578" s="145"/>
      <c r="AW2578" s="145"/>
      <c r="AX2578" s="145"/>
      <c r="AY2578" s="145"/>
      <c r="AZ2578" s="145"/>
      <c r="BA2578" s="145"/>
      <c r="BB2578" s="145"/>
      <c r="BC2578" s="145"/>
      <c r="BD2578" s="145"/>
      <c r="BE2578" s="145"/>
      <c r="BF2578" s="145"/>
      <c r="BG2578" s="145"/>
      <c r="BH2578" s="145"/>
      <c r="BI2578" s="145"/>
      <c r="BJ2578" s="145"/>
      <c r="BK2578" s="145"/>
      <c r="BL2578" s="145"/>
      <c r="BM2578" s="145"/>
      <c r="BN2578" s="145"/>
      <c r="BO2578" s="145"/>
      <c r="BP2578" s="145"/>
      <c r="BQ2578" s="145"/>
      <c r="BR2578" s="145"/>
      <c r="BS2578" s="145"/>
      <c r="BT2578" s="145"/>
      <c r="BU2578" s="145"/>
      <c r="BV2578" s="145"/>
      <c r="BW2578" s="145"/>
      <c r="BX2578" s="145"/>
      <c r="BY2578" s="145"/>
      <c r="BZ2578" s="145"/>
      <c r="CA2578" s="145"/>
      <c r="CB2578" s="145"/>
      <c r="CC2578" s="145"/>
      <c r="CD2578" s="145"/>
      <c r="CE2578" s="145"/>
      <c r="CF2578" s="145"/>
      <c r="CG2578" s="145"/>
      <c r="CH2578" s="145"/>
      <c r="CI2578" s="145"/>
      <c r="CJ2578" s="145"/>
      <c r="CK2578" s="145"/>
      <c r="CL2578" s="145"/>
      <c r="CM2578" s="145"/>
      <c r="CN2578" s="145"/>
      <c r="CO2578" s="145"/>
      <c r="CP2578" s="145"/>
      <c r="CQ2578" s="145"/>
      <c r="CR2578" s="145"/>
      <c r="CS2578" s="145"/>
      <c r="CT2578" s="145"/>
      <c r="CU2578" s="145"/>
      <c r="CV2578" s="145"/>
      <c r="CW2578" s="145"/>
      <c r="CX2578" s="145"/>
      <c r="CY2578" s="145"/>
      <c r="CZ2578" s="145"/>
      <c r="DA2578" s="145"/>
      <c r="DB2578" s="145"/>
      <c r="DC2578" s="145"/>
      <c r="DD2578" s="145"/>
      <c r="DE2578" s="145"/>
      <c r="DF2578" s="145"/>
      <c r="DG2578" s="145"/>
      <c r="DH2578" s="145"/>
      <c r="DI2578" s="145"/>
      <c r="DJ2578" s="145"/>
      <c r="DK2578" s="145"/>
      <c r="DL2578" s="145"/>
      <c r="DM2578" s="145"/>
      <c r="DN2578" s="145"/>
      <c r="DO2578" s="145"/>
      <c r="DP2578" s="145"/>
      <c r="DQ2578" s="145"/>
      <c r="DR2578" s="145"/>
      <c r="DS2578" s="145"/>
      <c r="DT2578" s="145"/>
      <c r="DU2578" s="145"/>
      <c r="DV2578" s="145"/>
      <c r="DW2578" s="145"/>
      <c r="DX2578" s="145"/>
      <c r="DY2578" s="145"/>
      <c r="DZ2578" s="145"/>
      <c r="EA2578" s="145"/>
      <c r="EB2578" s="145"/>
      <c r="EC2578" s="145"/>
      <c r="ED2578" s="145"/>
      <c r="EE2578" s="145"/>
      <c r="EF2578" s="145"/>
      <c r="EG2578" s="145"/>
      <c r="EH2578" s="145"/>
      <c r="EI2578" s="145"/>
      <c r="EJ2578" s="145"/>
      <c r="EK2578" s="145"/>
      <c r="EL2578" s="145"/>
      <c r="EM2578" s="145"/>
      <c r="EN2578" s="145"/>
      <c r="EO2578" s="145"/>
      <c r="EP2578" s="145"/>
      <c r="EQ2578" s="145"/>
      <c r="ER2578" s="145"/>
      <c r="ES2578" s="145"/>
      <c r="ET2578" s="145"/>
      <c r="EU2578" s="145"/>
      <c r="EV2578" s="145"/>
      <c r="EW2578" s="145"/>
      <c r="EX2578" s="145"/>
      <c r="EY2578" s="145"/>
      <c r="EZ2578" s="145"/>
      <c r="FA2578" s="145"/>
      <c r="FB2578" s="145"/>
      <c r="FC2578" s="145"/>
      <c r="FD2578" s="145"/>
      <c r="FE2578" s="145"/>
      <c r="FF2578" s="145"/>
      <c r="FG2578" s="145"/>
      <c r="FH2578" s="145"/>
      <c r="FI2578" s="145"/>
      <c r="FJ2578" s="145"/>
      <c r="FK2578" s="145"/>
      <c r="FL2578" s="145"/>
      <c r="FM2578" s="145"/>
      <c r="FN2578" s="145"/>
      <c r="FO2578" s="145"/>
      <c r="FP2578" s="145"/>
      <c r="FQ2578" s="145"/>
      <c r="FR2578" s="145"/>
      <c r="FS2578" s="145"/>
      <c r="FT2578" s="145"/>
      <c r="FU2578" s="145"/>
      <c r="FV2578" s="145"/>
      <c r="FW2578" s="145"/>
      <c r="FX2578" s="145"/>
      <c r="FY2578" s="145"/>
      <c r="FZ2578" s="145"/>
      <c r="GA2578" s="145"/>
      <c r="GB2578" s="145"/>
      <c r="GC2578" s="145"/>
      <c r="GD2578" s="145"/>
      <c r="GE2578" s="145"/>
      <c r="GF2578" s="145"/>
      <c r="GG2578" s="145"/>
      <c r="GH2578" s="145"/>
      <c r="GI2578" s="145"/>
      <c r="GJ2578" s="145"/>
      <c r="GK2578" s="145"/>
      <c r="GL2578" s="145"/>
      <c r="GM2578" s="145"/>
      <c r="GN2578" s="145"/>
      <c r="GO2578" s="145"/>
      <c r="GP2578" s="145"/>
      <c r="GQ2578" s="145"/>
      <c r="GR2578" s="145"/>
      <c r="GS2578" s="145"/>
      <c r="GT2578" s="145"/>
      <c r="GU2578" s="145"/>
      <c r="GV2578" s="145"/>
      <c r="GW2578" s="145"/>
      <c r="GX2578" s="145"/>
      <c r="GY2578" s="145"/>
      <c r="GZ2578" s="145"/>
      <c r="HA2578" s="145"/>
      <c r="HB2578" s="145"/>
      <c r="HC2578" s="145"/>
      <c r="HD2578" s="145"/>
      <c r="HE2578" s="145"/>
      <c r="HF2578" s="145"/>
      <c r="HG2578" s="145"/>
    </row>
    <row r="2579" spans="1:215" x14ac:dyDescent="0.35">
      <c r="A2579" s="270">
        <f>A2576+1</f>
        <v>17</v>
      </c>
      <c r="B2579" s="270">
        <v>5819</v>
      </c>
      <c r="C2579" s="262" t="s">
        <v>606</v>
      </c>
      <c r="D2579" s="273">
        <v>398.3</v>
      </c>
      <c r="E2579" s="273" t="s">
        <v>633</v>
      </c>
      <c r="F2579" s="282">
        <v>2</v>
      </c>
      <c r="G2579" s="270" t="s">
        <v>71</v>
      </c>
      <c r="H2579" s="136" t="s">
        <v>72</v>
      </c>
      <c r="I2579" s="181">
        <f>I2580</f>
        <v>103159.7</v>
      </c>
      <c r="J2579" s="181">
        <f>J2580</f>
        <v>259</v>
      </c>
      <c r="K2579" s="181">
        <f>K2580</f>
        <v>259</v>
      </c>
      <c r="L2579" s="145"/>
      <c r="M2579" s="145"/>
      <c r="N2579" s="145"/>
      <c r="O2579" s="145"/>
      <c r="P2579" s="145"/>
      <c r="Q2579" s="145"/>
      <c r="R2579" s="145"/>
      <c r="S2579" s="145"/>
      <c r="T2579" s="145"/>
      <c r="U2579" s="145"/>
      <c r="V2579" s="145"/>
      <c r="W2579" s="145"/>
      <c r="X2579" s="145"/>
      <c r="Y2579" s="145"/>
      <c r="Z2579" s="145"/>
      <c r="AA2579" s="145"/>
      <c r="AB2579" s="145"/>
      <c r="AC2579" s="145"/>
      <c r="AD2579" s="145"/>
      <c r="AE2579" s="145"/>
      <c r="AF2579" s="145"/>
      <c r="AG2579" s="145"/>
      <c r="AH2579" s="145"/>
      <c r="AI2579" s="145"/>
      <c r="AJ2579" s="145"/>
      <c r="AK2579" s="145"/>
      <c r="AL2579" s="145"/>
      <c r="AM2579" s="145"/>
      <c r="AN2579" s="145"/>
      <c r="AO2579" s="145"/>
      <c r="AP2579" s="145"/>
      <c r="AQ2579" s="145"/>
      <c r="AR2579" s="145"/>
      <c r="AS2579" s="145"/>
      <c r="AT2579" s="145"/>
      <c r="AU2579" s="145"/>
      <c r="AV2579" s="145"/>
      <c r="AW2579" s="145"/>
      <c r="AX2579" s="145"/>
      <c r="AY2579" s="145"/>
      <c r="AZ2579" s="145"/>
      <c r="BA2579" s="145"/>
      <c r="BB2579" s="145"/>
      <c r="BC2579" s="145"/>
      <c r="BD2579" s="145"/>
      <c r="BE2579" s="145"/>
      <c r="BF2579" s="145"/>
      <c r="BG2579" s="145"/>
      <c r="BH2579" s="145"/>
      <c r="BI2579" s="145"/>
      <c r="BJ2579" s="145"/>
      <c r="BK2579" s="145"/>
      <c r="BL2579" s="145"/>
      <c r="BM2579" s="145"/>
      <c r="BN2579" s="145"/>
      <c r="BO2579" s="145"/>
      <c r="BP2579" s="145"/>
      <c r="BQ2579" s="145"/>
      <c r="BR2579" s="145"/>
      <c r="BS2579" s="145"/>
      <c r="BT2579" s="145"/>
      <c r="BU2579" s="145"/>
      <c r="BV2579" s="145"/>
      <c r="BW2579" s="145"/>
      <c r="BX2579" s="145"/>
      <c r="BY2579" s="145"/>
      <c r="BZ2579" s="145"/>
      <c r="CA2579" s="145"/>
      <c r="CB2579" s="145"/>
      <c r="CC2579" s="145"/>
      <c r="CD2579" s="145"/>
      <c r="CE2579" s="145"/>
      <c r="CF2579" s="145"/>
      <c r="CG2579" s="145"/>
      <c r="CH2579" s="145"/>
      <c r="CI2579" s="145"/>
      <c r="CJ2579" s="145"/>
      <c r="CK2579" s="145"/>
      <c r="CL2579" s="145"/>
      <c r="CM2579" s="145"/>
      <c r="CN2579" s="145"/>
      <c r="CO2579" s="145"/>
      <c r="CP2579" s="145"/>
      <c r="CQ2579" s="145"/>
      <c r="CR2579" s="145"/>
      <c r="CS2579" s="145"/>
      <c r="CT2579" s="145"/>
      <c r="CU2579" s="145"/>
      <c r="CV2579" s="145"/>
      <c r="CW2579" s="145"/>
      <c r="CX2579" s="145"/>
      <c r="CY2579" s="145"/>
      <c r="CZ2579" s="145"/>
      <c r="DA2579" s="145"/>
      <c r="DB2579" s="145"/>
      <c r="DC2579" s="145"/>
      <c r="DD2579" s="145"/>
      <c r="DE2579" s="145"/>
      <c r="DF2579" s="145"/>
      <c r="DG2579" s="145"/>
      <c r="DH2579" s="145"/>
      <c r="DI2579" s="145"/>
      <c r="DJ2579" s="145"/>
      <c r="DK2579" s="145"/>
      <c r="DL2579" s="145"/>
      <c r="DM2579" s="145"/>
      <c r="DN2579" s="145"/>
      <c r="DO2579" s="145"/>
      <c r="DP2579" s="145"/>
      <c r="DQ2579" s="145"/>
      <c r="DR2579" s="145"/>
      <c r="DS2579" s="145"/>
      <c r="DT2579" s="145"/>
      <c r="DU2579" s="145"/>
      <c r="DV2579" s="145"/>
      <c r="DW2579" s="145"/>
      <c r="DX2579" s="145"/>
      <c r="DY2579" s="145"/>
      <c r="DZ2579" s="145"/>
      <c r="EA2579" s="145"/>
      <c r="EB2579" s="145"/>
      <c r="EC2579" s="145"/>
      <c r="ED2579" s="145"/>
      <c r="EE2579" s="145"/>
      <c r="EF2579" s="145"/>
      <c r="EG2579" s="145"/>
      <c r="EH2579" s="145"/>
      <c r="EI2579" s="145"/>
      <c r="EJ2579" s="145"/>
      <c r="EK2579" s="145"/>
      <c r="EL2579" s="145"/>
      <c r="EM2579" s="145"/>
      <c r="EN2579" s="145"/>
      <c r="EO2579" s="145"/>
      <c r="EP2579" s="145"/>
      <c r="EQ2579" s="145"/>
      <c r="ER2579" s="145"/>
      <c r="ES2579" s="145"/>
      <c r="ET2579" s="145"/>
      <c r="EU2579" s="145"/>
      <c r="EV2579" s="145"/>
      <c r="EW2579" s="145"/>
      <c r="EX2579" s="145"/>
      <c r="EY2579" s="145"/>
      <c r="EZ2579" s="145"/>
      <c r="FA2579" s="145"/>
      <c r="FB2579" s="145"/>
      <c r="FC2579" s="145"/>
      <c r="FD2579" s="145"/>
      <c r="FE2579" s="145"/>
      <c r="FF2579" s="145"/>
      <c r="FG2579" s="145"/>
      <c r="FH2579" s="145"/>
      <c r="FI2579" s="145"/>
      <c r="FJ2579" s="145"/>
      <c r="FK2579" s="145"/>
      <c r="FL2579" s="145"/>
      <c r="FM2579" s="145"/>
      <c r="FN2579" s="145"/>
      <c r="FO2579" s="145"/>
      <c r="FP2579" s="145"/>
      <c r="FQ2579" s="145"/>
      <c r="FR2579" s="145"/>
      <c r="FS2579" s="145"/>
      <c r="FT2579" s="145"/>
      <c r="FU2579" s="145"/>
      <c r="FV2579" s="145"/>
      <c r="FW2579" s="145"/>
      <c r="FX2579" s="145"/>
      <c r="FY2579" s="145"/>
      <c r="FZ2579" s="145"/>
      <c r="GA2579" s="145"/>
      <c r="GB2579" s="145"/>
      <c r="GC2579" s="145"/>
      <c r="GD2579" s="145"/>
      <c r="GE2579" s="145"/>
      <c r="GF2579" s="145"/>
      <c r="GG2579" s="145"/>
      <c r="GH2579" s="145"/>
      <c r="GI2579" s="145"/>
      <c r="GJ2579" s="145"/>
      <c r="GK2579" s="145"/>
      <c r="GL2579" s="145"/>
      <c r="GM2579" s="145"/>
      <c r="GN2579" s="145"/>
      <c r="GO2579" s="145"/>
      <c r="GP2579" s="145"/>
      <c r="GQ2579" s="145"/>
      <c r="GR2579" s="145"/>
      <c r="GS2579" s="145"/>
      <c r="GT2579" s="145"/>
      <c r="GU2579" s="145"/>
      <c r="GV2579" s="145"/>
      <c r="GW2579" s="145"/>
      <c r="GX2579" s="145"/>
      <c r="GY2579" s="145"/>
      <c r="GZ2579" s="145"/>
      <c r="HA2579" s="145"/>
      <c r="HB2579" s="145"/>
      <c r="HC2579" s="145"/>
      <c r="HD2579" s="145"/>
      <c r="HE2579" s="145"/>
      <c r="HF2579" s="145"/>
      <c r="HG2579" s="145"/>
    </row>
    <row r="2580" spans="1:215" ht="46.5" x14ac:dyDescent="0.35">
      <c r="A2580" s="271">
        <v>1130</v>
      </c>
      <c r="B2580" s="272"/>
      <c r="C2580" s="263"/>
      <c r="D2580" s="274"/>
      <c r="E2580" s="274"/>
      <c r="F2580" s="283"/>
      <c r="G2580" s="271"/>
      <c r="H2580" s="136" t="s">
        <v>673</v>
      </c>
      <c r="I2580" s="181">
        <f>D2579*K2580</f>
        <v>103159.7</v>
      </c>
      <c r="J2580" s="181">
        <f>I2580/D2579</f>
        <v>259</v>
      </c>
      <c r="K2580" s="181">
        <f>163+96</f>
        <v>259</v>
      </c>
      <c r="L2580" s="145"/>
      <c r="M2580" s="145"/>
      <c r="N2580" s="145"/>
      <c r="O2580" s="145"/>
      <c r="P2580" s="145"/>
      <c r="Q2580" s="145"/>
      <c r="R2580" s="145"/>
      <c r="S2580" s="145"/>
      <c r="T2580" s="145"/>
      <c r="U2580" s="145"/>
      <c r="V2580" s="145"/>
      <c r="W2580" s="145"/>
      <c r="X2580" s="145"/>
      <c r="Y2580" s="145"/>
      <c r="Z2580" s="145"/>
      <c r="AA2580" s="145"/>
      <c r="AB2580" s="145"/>
      <c r="AC2580" s="145"/>
      <c r="AD2580" s="145"/>
      <c r="AE2580" s="145"/>
      <c r="AF2580" s="145"/>
      <c r="AG2580" s="145"/>
      <c r="AH2580" s="145"/>
      <c r="AI2580" s="145"/>
      <c r="AJ2580" s="145"/>
      <c r="AK2580" s="145"/>
      <c r="AL2580" s="145"/>
      <c r="AM2580" s="145"/>
      <c r="AN2580" s="145"/>
      <c r="AO2580" s="145"/>
      <c r="AP2580" s="145"/>
      <c r="AQ2580" s="145"/>
      <c r="AR2580" s="145"/>
      <c r="AS2580" s="145"/>
      <c r="AT2580" s="145"/>
      <c r="AU2580" s="145"/>
      <c r="AV2580" s="145"/>
      <c r="AW2580" s="145"/>
      <c r="AX2580" s="145"/>
      <c r="AY2580" s="145"/>
      <c r="AZ2580" s="145"/>
      <c r="BA2580" s="145"/>
      <c r="BB2580" s="145"/>
      <c r="BC2580" s="145"/>
      <c r="BD2580" s="145"/>
      <c r="BE2580" s="145"/>
      <c r="BF2580" s="145"/>
      <c r="BG2580" s="145"/>
      <c r="BH2580" s="145"/>
      <c r="BI2580" s="145"/>
      <c r="BJ2580" s="145"/>
      <c r="BK2580" s="145"/>
      <c r="BL2580" s="145"/>
      <c r="BM2580" s="145"/>
      <c r="BN2580" s="145"/>
      <c r="BO2580" s="145"/>
      <c r="BP2580" s="145"/>
      <c r="BQ2580" s="145"/>
      <c r="BR2580" s="145"/>
      <c r="BS2580" s="145"/>
      <c r="BT2580" s="145"/>
      <c r="BU2580" s="145"/>
      <c r="BV2580" s="145"/>
      <c r="BW2580" s="145"/>
      <c r="BX2580" s="145"/>
      <c r="BY2580" s="145"/>
      <c r="BZ2580" s="145"/>
      <c r="CA2580" s="145"/>
      <c r="CB2580" s="145"/>
      <c r="CC2580" s="145"/>
      <c r="CD2580" s="145"/>
      <c r="CE2580" s="145"/>
      <c r="CF2580" s="145"/>
      <c r="CG2580" s="145"/>
      <c r="CH2580" s="145"/>
      <c r="CI2580" s="145"/>
      <c r="CJ2580" s="145"/>
      <c r="CK2580" s="145"/>
      <c r="CL2580" s="145"/>
      <c r="CM2580" s="145"/>
      <c r="CN2580" s="145"/>
      <c r="CO2580" s="145"/>
      <c r="CP2580" s="145"/>
      <c r="CQ2580" s="145"/>
      <c r="CR2580" s="145"/>
      <c r="CS2580" s="145"/>
      <c r="CT2580" s="145"/>
      <c r="CU2580" s="145"/>
      <c r="CV2580" s="145"/>
      <c r="CW2580" s="145"/>
      <c r="CX2580" s="145"/>
      <c r="CY2580" s="145"/>
      <c r="CZ2580" s="145"/>
      <c r="DA2580" s="145"/>
      <c r="DB2580" s="145"/>
      <c r="DC2580" s="145"/>
      <c r="DD2580" s="145"/>
      <c r="DE2580" s="145"/>
      <c r="DF2580" s="145"/>
      <c r="DG2580" s="145"/>
      <c r="DH2580" s="145"/>
      <c r="DI2580" s="145"/>
      <c r="DJ2580" s="145"/>
      <c r="DK2580" s="145"/>
      <c r="DL2580" s="145"/>
      <c r="DM2580" s="145"/>
      <c r="DN2580" s="145"/>
      <c r="DO2580" s="145"/>
      <c r="DP2580" s="145"/>
      <c r="DQ2580" s="145"/>
      <c r="DR2580" s="145"/>
      <c r="DS2580" s="145"/>
      <c r="DT2580" s="145"/>
      <c r="DU2580" s="145"/>
      <c r="DV2580" s="145"/>
      <c r="DW2580" s="145"/>
      <c r="DX2580" s="145"/>
      <c r="DY2580" s="145"/>
      <c r="DZ2580" s="145"/>
      <c r="EA2580" s="145"/>
      <c r="EB2580" s="145"/>
      <c r="EC2580" s="145"/>
      <c r="ED2580" s="145"/>
      <c r="EE2580" s="145"/>
      <c r="EF2580" s="145"/>
      <c r="EG2580" s="145"/>
      <c r="EH2580" s="145"/>
      <c r="EI2580" s="145"/>
      <c r="EJ2580" s="145"/>
      <c r="EK2580" s="145"/>
      <c r="EL2580" s="145"/>
      <c r="EM2580" s="145"/>
      <c r="EN2580" s="145"/>
      <c r="EO2580" s="145"/>
      <c r="EP2580" s="145"/>
      <c r="EQ2580" s="145"/>
      <c r="ER2580" s="145"/>
      <c r="ES2580" s="145"/>
      <c r="ET2580" s="145"/>
      <c r="EU2580" s="145"/>
      <c r="EV2580" s="145"/>
      <c r="EW2580" s="145"/>
      <c r="EX2580" s="145"/>
      <c r="EY2580" s="145"/>
      <c r="EZ2580" s="145"/>
      <c r="FA2580" s="145"/>
      <c r="FB2580" s="145"/>
      <c r="FC2580" s="145"/>
      <c r="FD2580" s="145"/>
      <c r="FE2580" s="145"/>
      <c r="FF2580" s="145"/>
      <c r="FG2580" s="145"/>
      <c r="FH2580" s="145"/>
      <c r="FI2580" s="145"/>
      <c r="FJ2580" s="145"/>
      <c r="FK2580" s="145"/>
      <c r="FL2580" s="145"/>
      <c r="FM2580" s="145"/>
      <c r="FN2580" s="145"/>
      <c r="FO2580" s="145"/>
      <c r="FP2580" s="145"/>
      <c r="FQ2580" s="145"/>
      <c r="FR2580" s="145"/>
      <c r="FS2580" s="145"/>
      <c r="FT2580" s="145"/>
      <c r="FU2580" s="145"/>
      <c r="FV2580" s="145"/>
      <c r="FW2580" s="145"/>
      <c r="FX2580" s="145"/>
      <c r="FY2580" s="145"/>
      <c r="FZ2580" s="145"/>
      <c r="GA2580" s="145"/>
      <c r="GB2580" s="145"/>
      <c r="GC2580" s="145"/>
      <c r="GD2580" s="145"/>
      <c r="GE2580" s="145"/>
      <c r="GF2580" s="145"/>
      <c r="GG2580" s="145"/>
      <c r="GH2580" s="145"/>
      <c r="GI2580" s="145"/>
      <c r="GJ2580" s="145"/>
      <c r="GK2580" s="145"/>
      <c r="GL2580" s="145"/>
      <c r="GM2580" s="145"/>
      <c r="GN2580" s="145"/>
      <c r="GO2580" s="145"/>
      <c r="GP2580" s="145"/>
      <c r="GQ2580" s="145"/>
      <c r="GR2580" s="145"/>
      <c r="GS2580" s="145"/>
      <c r="GT2580" s="145"/>
      <c r="GU2580" s="145"/>
      <c r="GV2580" s="145"/>
      <c r="GW2580" s="145"/>
      <c r="GX2580" s="145"/>
      <c r="GY2580" s="145"/>
      <c r="GZ2580" s="145"/>
      <c r="HA2580" s="145"/>
      <c r="HB2580" s="145"/>
      <c r="HC2580" s="145"/>
      <c r="HD2580" s="145"/>
      <c r="HE2580" s="145"/>
      <c r="HF2580" s="145"/>
      <c r="HG2580" s="145"/>
    </row>
    <row r="2581" spans="1:215" x14ac:dyDescent="0.35">
      <c r="A2581" s="270">
        <f>A2579+1</f>
        <v>18</v>
      </c>
      <c r="B2581" s="270">
        <v>5820</v>
      </c>
      <c r="C2581" s="262" t="s">
        <v>607</v>
      </c>
      <c r="D2581" s="273">
        <v>409.2</v>
      </c>
      <c r="E2581" s="273" t="s">
        <v>633</v>
      </c>
      <c r="F2581" s="282">
        <v>2</v>
      </c>
      <c r="G2581" s="270" t="s">
        <v>71</v>
      </c>
      <c r="H2581" s="136" t="s">
        <v>72</v>
      </c>
      <c r="I2581" s="181">
        <f>I2582</f>
        <v>78859.59</v>
      </c>
      <c r="J2581" s="181">
        <f>J2582</f>
        <v>192.72</v>
      </c>
      <c r="K2581" s="181">
        <f>K2582</f>
        <v>259</v>
      </c>
      <c r="L2581" s="145"/>
      <c r="M2581" s="145"/>
      <c r="N2581" s="145"/>
      <c r="O2581" s="145"/>
      <c r="P2581" s="145"/>
      <c r="Q2581" s="145"/>
      <c r="R2581" s="145"/>
      <c r="S2581" s="145"/>
      <c r="T2581" s="145"/>
      <c r="U2581" s="145"/>
      <c r="V2581" s="145"/>
      <c r="W2581" s="145"/>
      <c r="X2581" s="145"/>
      <c r="Y2581" s="145"/>
      <c r="Z2581" s="145"/>
      <c r="AA2581" s="145"/>
      <c r="AB2581" s="145"/>
      <c r="AC2581" s="145"/>
      <c r="AD2581" s="145"/>
      <c r="AE2581" s="145"/>
      <c r="AF2581" s="145"/>
      <c r="AG2581" s="145"/>
      <c r="AH2581" s="145"/>
      <c r="AI2581" s="145"/>
      <c r="AJ2581" s="145"/>
      <c r="AK2581" s="145"/>
      <c r="AL2581" s="145"/>
      <c r="AM2581" s="145"/>
      <c r="AN2581" s="145"/>
      <c r="AO2581" s="145"/>
      <c r="AP2581" s="145"/>
      <c r="AQ2581" s="145"/>
      <c r="AR2581" s="145"/>
      <c r="AS2581" s="145"/>
      <c r="AT2581" s="145"/>
      <c r="AU2581" s="145"/>
      <c r="AV2581" s="145"/>
      <c r="AW2581" s="145"/>
      <c r="AX2581" s="145"/>
      <c r="AY2581" s="145"/>
      <c r="AZ2581" s="145"/>
      <c r="BA2581" s="145"/>
      <c r="BB2581" s="145"/>
      <c r="BC2581" s="145"/>
      <c r="BD2581" s="145"/>
      <c r="BE2581" s="145"/>
      <c r="BF2581" s="145"/>
      <c r="BG2581" s="145"/>
      <c r="BH2581" s="145"/>
      <c r="BI2581" s="145"/>
      <c r="BJ2581" s="145"/>
      <c r="BK2581" s="145"/>
      <c r="BL2581" s="145"/>
      <c r="BM2581" s="145"/>
      <c r="BN2581" s="145"/>
      <c r="BO2581" s="145"/>
      <c r="BP2581" s="145"/>
      <c r="BQ2581" s="145"/>
      <c r="BR2581" s="145"/>
      <c r="BS2581" s="145"/>
      <c r="BT2581" s="145"/>
      <c r="BU2581" s="145"/>
      <c r="BV2581" s="145"/>
      <c r="BW2581" s="145"/>
      <c r="BX2581" s="145"/>
      <c r="BY2581" s="145"/>
      <c r="BZ2581" s="145"/>
      <c r="CA2581" s="145"/>
      <c r="CB2581" s="145"/>
      <c r="CC2581" s="145"/>
      <c r="CD2581" s="145"/>
      <c r="CE2581" s="145"/>
      <c r="CF2581" s="145"/>
      <c r="CG2581" s="145"/>
      <c r="CH2581" s="145"/>
      <c r="CI2581" s="145"/>
      <c r="CJ2581" s="145"/>
      <c r="CK2581" s="145"/>
      <c r="CL2581" s="145"/>
      <c r="CM2581" s="145"/>
      <c r="CN2581" s="145"/>
      <c r="CO2581" s="145"/>
      <c r="CP2581" s="145"/>
      <c r="CQ2581" s="145"/>
      <c r="CR2581" s="145"/>
      <c r="CS2581" s="145"/>
      <c r="CT2581" s="145"/>
      <c r="CU2581" s="145"/>
      <c r="CV2581" s="145"/>
      <c r="CW2581" s="145"/>
      <c r="CX2581" s="145"/>
      <c r="CY2581" s="145"/>
      <c r="CZ2581" s="145"/>
      <c r="DA2581" s="145"/>
      <c r="DB2581" s="145"/>
      <c r="DC2581" s="145"/>
      <c r="DD2581" s="145"/>
      <c r="DE2581" s="145"/>
      <c r="DF2581" s="145"/>
      <c r="DG2581" s="145"/>
      <c r="DH2581" s="145"/>
      <c r="DI2581" s="145"/>
      <c r="DJ2581" s="145"/>
      <c r="DK2581" s="145"/>
      <c r="DL2581" s="145"/>
      <c r="DM2581" s="145"/>
      <c r="DN2581" s="145"/>
      <c r="DO2581" s="145"/>
      <c r="DP2581" s="145"/>
      <c r="DQ2581" s="145"/>
      <c r="DR2581" s="145"/>
      <c r="DS2581" s="145"/>
      <c r="DT2581" s="145"/>
      <c r="DU2581" s="145"/>
      <c r="DV2581" s="145"/>
      <c r="DW2581" s="145"/>
      <c r="DX2581" s="145"/>
      <c r="DY2581" s="145"/>
      <c r="DZ2581" s="145"/>
      <c r="EA2581" s="145"/>
      <c r="EB2581" s="145"/>
      <c r="EC2581" s="145"/>
      <c r="ED2581" s="145"/>
      <c r="EE2581" s="145"/>
      <c r="EF2581" s="145"/>
      <c r="EG2581" s="145"/>
      <c r="EH2581" s="145"/>
      <c r="EI2581" s="145"/>
      <c r="EJ2581" s="145"/>
      <c r="EK2581" s="145"/>
      <c r="EL2581" s="145"/>
      <c r="EM2581" s="145"/>
      <c r="EN2581" s="145"/>
      <c r="EO2581" s="145"/>
      <c r="EP2581" s="145"/>
      <c r="EQ2581" s="145"/>
      <c r="ER2581" s="145"/>
      <c r="ES2581" s="145"/>
      <c r="ET2581" s="145"/>
      <c r="EU2581" s="145"/>
      <c r="EV2581" s="145"/>
      <c r="EW2581" s="145"/>
      <c r="EX2581" s="145"/>
      <c r="EY2581" s="145"/>
      <c r="EZ2581" s="145"/>
      <c r="FA2581" s="145"/>
      <c r="FB2581" s="145"/>
      <c r="FC2581" s="145"/>
      <c r="FD2581" s="145"/>
      <c r="FE2581" s="145"/>
      <c r="FF2581" s="145"/>
      <c r="FG2581" s="145"/>
      <c r="FH2581" s="145"/>
      <c r="FI2581" s="145"/>
      <c r="FJ2581" s="145"/>
      <c r="FK2581" s="145"/>
      <c r="FL2581" s="145"/>
      <c r="FM2581" s="145"/>
      <c r="FN2581" s="145"/>
      <c r="FO2581" s="145"/>
      <c r="FP2581" s="145"/>
      <c r="FQ2581" s="145"/>
      <c r="FR2581" s="145"/>
      <c r="FS2581" s="145"/>
      <c r="FT2581" s="145"/>
      <c r="FU2581" s="145"/>
      <c r="FV2581" s="145"/>
      <c r="FW2581" s="145"/>
      <c r="FX2581" s="145"/>
      <c r="FY2581" s="145"/>
      <c r="FZ2581" s="145"/>
      <c r="GA2581" s="145"/>
      <c r="GB2581" s="145"/>
      <c r="GC2581" s="145"/>
      <c r="GD2581" s="145"/>
      <c r="GE2581" s="145"/>
      <c r="GF2581" s="145"/>
      <c r="GG2581" s="145"/>
      <c r="GH2581" s="145"/>
      <c r="GI2581" s="145"/>
      <c r="GJ2581" s="145"/>
      <c r="GK2581" s="145"/>
      <c r="GL2581" s="145"/>
      <c r="GM2581" s="145"/>
      <c r="GN2581" s="145"/>
      <c r="GO2581" s="145"/>
      <c r="GP2581" s="145"/>
      <c r="GQ2581" s="145"/>
      <c r="GR2581" s="145"/>
      <c r="GS2581" s="145"/>
      <c r="GT2581" s="145"/>
      <c r="GU2581" s="145"/>
      <c r="GV2581" s="145"/>
      <c r="GW2581" s="145"/>
      <c r="GX2581" s="145"/>
      <c r="GY2581" s="145"/>
      <c r="GZ2581" s="145"/>
      <c r="HA2581" s="145"/>
      <c r="HB2581" s="145"/>
      <c r="HC2581" s="145"/>
      <c r="HD2581" s="145"/>
      <c r="HE2581" s="145"/>
      <c r="HF2581" s="145"/>
      <c r="HG2581" s="145"/>
    </row>
    <row r="2582" spans="1:215" ht="46.5" x14ac:dyDescent="0.35">
      <c r="A2582" s="271">
        <v>1130</v>
      </c>
      <c r="B2582" s="272"/>
      <c r="C2582" s="263"/>
      <c r="D2582" s="274"/>
      <c r="E2582" s="274"/>
      <c r="F2582" s="283"/>
      <c r="G2582" s="271"/>
      <c r="H2582" s="136" t="s">
        <v>673</v>
      </c>
      <c r="I2582" s="181">
        <v>78859.59</v>
      </c>
      <c r="J2582" s="181">
        <f>I2582/D2581</f>
        <v>192.72</v>
      </c>
      <c r="K2582" s="181">
        <f>163+96</f>
        <v>259</v>
      </c>
      <c r="L2582" s="145"/>
      <c r="M2582" s="145"/>
      <c r="N2582" s="145"/>
      <c r="O2582" s="145"/>
      <c r="P2582" s="145"/>
      <c r="Q2582" s="145"/>
      <c r="R2582" s="145"/>
      <c r="S2582" s="145"/>
      <c r="T2582" s="145"/>
      <c r="U2582" s="145"/>
      <c r="V2582" s="145"/>
      <c r="W2582" s="145"/>
      <c r="X2582" s="145"/>
      <c r="Y2582" s="145"/>
      <c r="Z2582" s="145"/>
      <c r="AA2582" s="145"/>
      <c r="AB2582" s="145"/>
      <c r="AC2582" s="145"/>
      <c r="AD2582" s="145"/>
      <c r="AE2582" s="145"/>
      <c r="AF2582" s="145"/>
      <c r="AG2582" s="145"/>
      <c r="AH2582" s="145"/>
      <c r="AI2582" s="145"/>
      <c r="AJ2582" s="145"/>
      <c r="AK2582" s="145"/>
      <c r="AL2582" s="145"/>
      <c r="AM2582" s="145"/>
      <c r="AN2582" s="145"/>
      <c r="AO2582" s="145"/>
      <c r="AP2582" s="145"/>
      <c r="AQ2582" s="145"/>
      <c r="AR2582" s="145"/>
      <c r="AS2582" s="145"/>
      <c r="AT2582" s="145"/>
      <c r="AU2582" s="145"/>
      <c r="AV2582" s="145"/>
      <c r="AW2582" s="145"/>
      <c r="AX2582" s="145"/>
      <c r="AY2582" s="145"/>
      <c r="AZ2582" s="145"/>
      <c r="BA2582" s="145"/>
      <c r="BB2582" s="145"/>
      <c r="BC2582" s="145"/>
      <c r="BD2582" s="145"/>
      <c r="BE2582" s="145"/>
      <c r="BF2582" s="145"/>
      <c r="BG2582" s="145"/>
      <c r="BH2582" s="145"/>
      <c r="BI2582" s="145"/>
      <c r="BJ2582" s="145"/>
      <c r="BK2582" s="145"/>
      <c r="BL2582" s="145"/>
      <c r="BM2582" s="145"/>
      <c r="BN2582" s="145"/>
      <c r="BO2582" s="145"/>
      <c r="BP2582" s="145"/>
      <c r="BQ2582" s="145"/>
      <c r="BR2582" s="145"/>
      <c r="BS2582" s="145"/>
      <c r="BT2582" s="145"/>
      <c r="BU2582" s="145"/>
      <c r="BV2582" s="145"/>
      <c r="BW2582" s="145"/>
      <c r="BX2582" s="145"/>
      <c r="BY2582" s="145"/>
      <c r="BZ2582" s="145"/>
      <c r="CA2582" s="145"/>
      <c r="CB2582" s="145"/>
      <c r="CC2582" s="145"/>
      <c r="CD2582" s="145"/>
      <c r="CE2582" s="145"/>
      <c r="CF2582" s="145"/>
      <c r="CG2582" s="145"/>
      <c r="CH2582" s="145"/>
      <c r="CI2582" s="145"/>
      <c r="CJ2582" s="145"/>
      <c r="CK2582" s="145"/>
      <c r="CL2582" s="145"/>
      <c r="CM2582" s="145"/>
      <c r="CN2582" s="145"/>
      <c r="CO2582" s="145"/>
      <c r="CP2582" s="145"/>
      <c r="CQ2582" s="145"/>
      <c r="CR2582" s="145"/>
      <c r="CS2582" s="145"/>
      <c r="CT2582" s="145"/>
      <c r="CU2582" s="145"/>
      <c r="CV2582" s="145"/>
      <c r="CW2582" s="145"/>
      <c r="CX2582" s="145"/>
      <c r="CY2582" s="145"/>
      <c r="CZ2582" s="145"/>
      <c r="DA2582" s="145"/>
      <c r="DB2582" s="145"/>
      <c r="DC2582" s="145"/>
      <c r="DD2582" s="145"/>
      <c r="DE2582" s="145"/>
      <c r="DF2582" s="145"/>
      <c r="DG2582" s="145"/>
      <c r="DH2582" s="145"/>
      <c r="DI2582" s="145"/>
      <c r="DJ2582" s="145"/>
      <c r="DK2582" s="145"/>
      <c r="DL2582" s="145"/>
      <c r="DM2582" s="145"/>
      <c r="DN2582" s="145"/>
      <c r="DO2582" s="145"/>
      <c r="DP2582" s="145"/>
      <c r="DQ2582" s="145"/>
      <c r="DR2582" s="145"/>
      <c r="DS2582" s="145"/>
      <c r="DT2582" s="145"/>
      <c r="DU2582" s="145"/>
      <c r="DV2582" s="145"/>
      <c r="DW2582" s="145"/>
      <c r="DX2582" s="145"/>
      <c r="DY2582" s="145"/>
      <c r="DZ2582" s="145"/>
      <c r="EA2582" s="145"/>
      <c r="EB2582" s="145"/>
      <c r="EC2582" s="145"/>
      <c r="ED2582" s="145"/>
      <c r="EE2582" s="145"/>
      <c r="EF2582" s="145"/>
      <c r="EG2582" s="145"/>
      <c r="EH2582" s="145"/>
      <c r="EI2582" s="145"/>
      <c r="EJ2582" s="145"/>
      <c r="EK2582" s="145"/>
      <c r="EL2582" s="145"/>
      <c r="EM2582" s="145"/>
      <c r="EN2582" s="145"/>
      <c r="EO2582" s="145"/>
      <c r="EP2582" s="145"/>
      <c r="EQ2582" s="145"/>
      <c r="ER2582" s="145"/>
      <c r="ES2582" s="145"/>
      <c r="ET2582" s="145"/>
      <c r="EU2582" s="145"/>
      <c r="EV2582" s="145"/>
      <c r="EW2582" s="145"/>
      <c r="EX2582" s="145"/>
      <c r="EY2582" s="145"/>
      <c r="EZ2582" s="145"/>
      <c r="FA2582" s="145"/>
      <c r="FB2582" s="145"/>
      <c r="FC2582" s="145"/>
      <c r="FD2582" s="145"/>
      <c r="FE2582" s="145"/>
      <c r="FF2582" s="145"/>
      <c r="FG2582" s="145"/>
      <c r="FH2582" s="145"/>
      <c r="FI2582" s="145"/>
      <c r="FJ2582" s="145"/>
      <c r="FK2582" s="145"/>
      <c r="FL2582" s="145"/>
      <c r="FM2582" s="145"/>
      <c r="FN2582" s="145"/>
      <c r="FO2582" s="145"/>
      <c r="FP2582" s="145"/>
      <c r="FQ2582" s="145"/>
      <c r="FR2582" s="145"/>
      <c r="FS2582" s="145"/>
      <c r="FT2582" s="145"/>
      <c r="FU2582" s="145"/>
      <c r="FV2582" s="145"/>
      <c r="FW2582" s="145"/>
      <c r="FX2582" s="145"/>
      <c r="FY2582" s="145"/>
      <c r="FZ2582" s="145"/>
      <c r="GA2582" s="145"/>
      <c r="GB2582" s="145"/>
      <c r="GC2582" s="145"/>
      <c r="GD2582" s="145"/>
      <c r="GE2582" s="145"/>
      <c r="GF2582" s="145"/>
      <c r="GG2582" s="145"/>
      <c r="GH2582" s="145"/>
      <c r="GI2582" s="145"/>
      <c r="GJ2582" s="145"/>
      <c r="GK2582" s="145"/>
      <c r="GL2582" s="145"/>
      <c r="GM2582" s="145"/>
      <c r="GN2582" s="145"/>
      <c r="GO2582" s="145"/>
      <c r="GP2582" s="145"/>
      <c r="GQ2582" s="145"/>
      <c r="GR2582" s="145"/>
      <c r="GS2582" s="145"/>
      <c r="GT2582" s="145"/>
      <c r="GU2582" s="145"/>
      <c r="GV2582" s="145"/>
      <c r="GW2582" s="145"/>
      <c r="GX2582" s="145"/>
      <c r="GY2582" s="145"/>
      <c r="GZ2582" s="145"/>
      <c r="HA2582" s="145"/>
      <c r="HB2582" s="145"/>
      <c r="HC2582" s="145"/>
      <c r="HD2582" s="145"/>
      <c r="HE2582" s="145"/>
      <c r="HF2582" s="145"/>
      <c r="HG2582" s="145"/>
    </row>
    <row r="2583" spans="1:215" x14ac:dyDescent="0.35">
      <c r="A2583" s="270">
        <f>A2581+1</f>
        <v>19</v>
      </c>
      <c r="B2583" s="270">
        <v>5778</v>
      </c>
      <c r="C2583" s="278" t="s">
        <v>608</v>
      </c>
      <c r="D2583" s="273">
        <v>1497.8</v>
      </c>
      <c r="E2583" s="273" t="s">
        <v>74</v>
      </c>
      <c r="F2583" s="282">
        <v>3</v>
      </c>
      <c r="G2583" s="270" t="s">
        <v>71</v>
      </c>
      <c r="H2583" s="136" t="s">
        <v>72</v>
      </c>
      <c r="I2583" s="181">
        <f>I2584</f>
        <v>252264.02</v>
      </c>
      <c r="J2583" s="181">
        <f>J2584</f>
        <v>168.42</v>
      </c>
      <c r="K2583" s="181">
        <f>K2584</f>
        <v>242</v>
      </c>
      <c r="L2583" s="145"/>
      <c r="M2583" s="145"/>
      <c r="N2583" s="145"/>
      <c r="O2583" s="145"/>
      <c r="P2583" s="145"/>
      <c r="Q2583" s="145"/>
      <c r="R2583" s="145"/>
      <c r="S2583" s="145"/>
      <c r="T2583" s="145"/>
      <c r="U2583" s="145"/>
      <c r="V2583" s="145"/>
      <c r="W2583" s="145"/>
      <c r="X2583" s="145"/>
      <c r="Y2583" s="145"/>
      <c r="Z2583" s="145"/>
      <c r="AA2583" s="145"/>
      <c r="AB2583" s="145"/>
      <c r="AC2583" s="145"/>
      <c r="AD2583" s="145"/>
      <c r="AE2583" s="145"/>
      <c r="AF2583" s="145"/>
      <c r="AG2583" s="145"/>
      <c r="AH2583" s="145"/>
      <c r="AI2583" s="145"/>
      <c r="AJ2583" s="145"/>
      <c r="AK2583" s="145"/>
      <c r="AL2583" s="145"/>
      <c r="AM2583" s="145"/>
      <c r="AN2583" s="145"/>
      <c r="AO2583" s="145"/>
      <c r="AP2583" s="145"/>
      <c r="AQ2583" s="145"/>
      <c r="AR2583" s="145"/>
      <c r="AS2583" s="145"/>
      <c r="AT2583" s="145"/>
      <c r="AU2583" s="145"/>
      <c r="AV2583" s="145"/>
      <c r="AW2583" s="145"/>
      <c r="AX2583" s="145"/>
      <c r="AY2583" s="145"/>
      <c r="AZ2583" s="145"/>
      <c r="BA2583" s="145"/>
      <c r="BB2583" s="145"/>
      <c r="BC2583" s="145"/>
      <c r="BD2583" s="145"/>
      <c r="BE2583" s="145"/>
      <c r="BF2583" s="145"/>
      <c r="BG2583" s="145"/>
      <c r="BH2583" s="145"/>
      <c r="BI2583" s="145"/>
      <c r="BJ2583" s="145"/>
      <c r="BK2583" s="145"/>
      <c r="BL2583" s="145"/>
      <c r="BM2583" s="145"/>
      <c r="BN2583" s="145"/>
      <c r="BO2583" s="145"/>
      <c r="BP2583" s="145"/>
      <c r="BQ2583" s="145"/>
      <c r="BR2583" s="145"/>
      <c r="BS2583" s="145"/>
      <c r="BT2583" s="145"/>
      <c r="BU2583" s="145"/>
      <c r="BV2583" s="145"/>
      <c r="BW2583" s="145"/>
      <c r="BX2583" s="145"/>
      <c r="BY2583" s="145"/>
      <c r="BZ2583" s="145"/>
      <c r="CA2583" s="145"/>
      <c r="CB2583" s="145"/>
      <c r="CC2583" s="145"/>
      <c r="CD2583" s="145"/>
      <c r="CE2583" s="145"/>
      <c r="CF2583" s="145"/>
      <c r="CG2583" s="145"/>
      <c r="CH2583" s="145"/>
      <c r="CI2583" s="145"/>
      <c r="CJ2583" s="145"/>
      <c r="CK2583" s="145"/>
      <c r="CL2583" s="145"/>
      <c r="CM2583" s="145"/>
      <c r="CN2583" s="145"/>
      <c r="CO2583" s="145"/>
      <c r="CP2583" s="145"/>
      <c r="CQ2583" s="145"/>
      <c r="CR2583" s="145"/>
      <c r="CS2583" s="145"/>
      <c r="CT2583" s="145"/>
      <c r="CU2583" s="145"/>
      <c r="CV2583" s="145"/>
      <c r="CW2583" s="145"/>
      <c r="CX2583" s="145"/>
      <c r="CY2583" s="145"/>
      <c r="CZ2583" s="145"/>
      <c r="DA2583" s="145"/>
      <c r="DB2583" s="145"/>
      <c r="DC2583" s="145"/>
      <c r="DD2583" s="145"/>
      <c r="DE2583" s="145"/>
      <c r="DF2583" s="145"/>
      <c r="DG2583" s="145"/>
      <c r="DH2583" s="145"/>
      <c r="DI2583" s="145"/>
      <c r="DJ2583" s="145"/>
      <c r="DK2583" s="145"/>
      <c r="DL2583" s="145"/>
      <c r="DM2583" s="145"/>
      <c r="DN2583" s="145"/>
      <c r="DO2583" s="145"/>
      <c r="DP2583" s="145"/>
      <c r="DQ2583" s="145"/>
      <c r="DR2583" s="145"/>
      <c r="DS2583" s="145"/>
      <c r="DT2583" s="145"/>
      <c r="DU2583" s="145"/>
      <c r="DV2583" s="145"/>
      <c r="DW2583" s="145"/>
      <c r="DX2583" s="145"/>
      <c r="DY2583" s="145"/>
      <c r="DZ2583" s="145"/>
      <c r="EA2583" s="145"/>
      <c r="EB2583" s="145"/>
      <c r="EC2583" s="145"/>
      <c r="ED2583" s="145"/>
      <c r="EE2583" s="145"/>
      <c r="EF2583" s="145"/>
      <c r="EG2583" s="145"/>
      <c r="EH2583" s="145"/>
      <c r="EI2583" s="145"/>
      <c r="EJ2583" s="145"/>
      <c r="EK2583" s="145"/>
      <c r="EL2583" s="145"/>
      <c r="EM2583" s="145"/>
      <c r="EN2583" s="145"/>
      <c r="EO2583" s="145"/>
      <c r="EP2583" s="145"/>
      <c r="EQ2583" s="145"/>
      <c r="ER2583" s="145"/>
      <c r="ES2583" s="145"/>
      <c r="ET2583" s="145"/>
      <c r="EU2583" s="145"/>
      <c r="EV2583" s="145"/>
      <c r="EW2583" s="145"/>
      <c r="EX2583" s="145"/>
      <c r="EY2583" s="145"/>
      <c r="EZ2583" s="145"/>
      <c r="FA2583" s="145"/>
      <c r="FB2583" s="145"/>
      <c r="FC2583" s="145"/>
      <c r="FD2583" s="145"/>
      <c r="FE2583" s="145"/>
      <c r="FF2583" s="145"/>
      <c r="FG2583" s="145"/>
      <c r="FH2583" s="145"/>
      <c r="FI2583" s="145"/>
      <c r="FJ2583" s="145"/>
      <c r="FK2583" s="145"/>
      <c r="FL2583" s="145"/>
      <c r="FM2583" s="145"/>
      <c r="FN2583" s="145"/>
      <c r="FO2583" s="145"/>
      <c r="FP2583" s="145"/>
      <c r="FQ2583" s="145"/>
      <c r="FR2583" s="145"/>
      <c r="FS2583" s="145"/>
      <c r="FT2583" s="145"/>
      <c r="FU2583" s="145"/>
      <c r="FV2583" s="145"/>
      <c r="FW2583" s="145"/>
      <c r="FX2583" s="145"/>
      <c r="FY2583" s="145"/>
      <c r="FZ2583" s="145"/>
      <c r="GA2583" s="145"/>
      <c r="GB2583" s="145"/>
      <c r="GC2583" s="145"/>
      <c r="GD2583" s="145"/>
      <c r="GE2583" s="145"/>
      <c r="GF2583" s="145"/>
      <c r="GG2583" s="145"/>
      <c r="GH2583" s="145"/>
      <c r="GI2583" s="145"/>
      <c r="GJ2583" s="145"/>
      <c r="GK2583" s="145"/>
      <c r="GL2583" s="145"/>
      <c r="GM2583" s="145"/>
      <c r="GN2583" s="145"/>
      <c r="GO2583" s="145"/>
      <c r="GP2583" s="145"/>
      <c r="GQ2583" s="145"/>
      <c r="GR2583" s="145"/>
      <c r="GS2583" s="145"/>
      <c r="GT2583" s="145"/>
      <c r="GU2583" s="145"/>
      <c r="GV2583" s="145"/>
      <c r="GW2583" s="145"/>
      <c r="GX2583" s="145"/>
      <c r="GY2583" s="145"/>
      <c r="GZ2583" s="145"/>
      <c r="HA2583" s="145"/>
      <c r="HB2583" s="145"/>
      <c r="HC2583" s="145"/>
      <c r="HD2583" s="145"/>
      <c r="HE2583" s="145"/>
      <c r="HF2583" s="145"/>
      <c r="HG2583" s="145"/>
    </row>
    <row r="2584" spans="1:215" ht="46.5" x14ac:dyDescent="0.35">
      <c r="A2584" s="271">
        <v>1128</v>
      </c>
      <c r="B2584" s="272"/>
      <c r="C2584" s="279"/>
      <c r="D2584" s="274"/>
      <c r="E2584" s="274"/>
      <c r="F2584" s="283"/>
      <c r="G2584" s="271"/>
      <c r="H2584" s="136" t="s">
        <v>673</v>
      </c>
      <c r="I2584" s="181">
        <f>120457.62+D2583*88</f>
        <v>252264.02</v>
      </c>
      <c r="J2584" s="181">
        <f>I2584/D2583</f>
        <v>168.42</v>
      </c>
      <c r="K2584" s="181">
        <f>154+88</f>
        <v>242</v>
      </c>
      <c r="L2584" s="145"/>
      <c r="M2584" s="145"/>
      <c r="N2584" s="145"/>
      <c r="O2584" s="145"/>
      <c r="P2584" s="145"/>
      <c r="Q2584" s="145"/>
      <c r="R2584" s="145"/>
      <c r="S2584" s="145"/>
      <c r="T2584" s="145"/>
      <c r="U2584" s="145"/>
      <c r="V2584" s="145"/>
      <c r="W2584" s="145"/>
      <c r="X2584" s="145"/>
      <c r="Y2584" s="145"/>
      <c r="Z2584" s="145"/>
      <c r="AA2584" s="145"/>
      <c r="AB2584" s="145"/>
      <c r="AC2584" s="145"/>
      <c r="AD2584" s="145"/>
      <c r="AE2584" s="145"/>
      <c r="AF2584" s="145"/>
      <c r="AG2584" s="145"/>
      <c r="AH2584" s="145"/>
      <c r="AI2584" s="145"/>
      <c r="AJ2584" s="145"/>
      <c r="AK2584" s="145"/>
      <c r="AL2584" s="145"/>
      <c r="AM2584" s="145"/>
      <c r="AN2584" s="145"/>
      <c r="AO2584" s="145"/>
      <c r="AP2584" s="145"/>
      <c r="AQ2584" s="145"/>
      <c r="AR2584" s="145"/>
      <c r="AS2584" s="145"/>
      <c r="AT2584" s="145"/>
      <c r="AU2584" s="145"/>
      <c r="AV2584" s="145"/>
      <c r="AW2584" s="145"/>
      <c r="AX2584" s="145"/>
      <c r="AY2584" s="145"/>
      <c r="AZ2584" s="145"/>
      <c r="BA2584" s="145"/>
      <c r="BB2584" s="145"/>
      <c r="BC2584" s="145"/>
      <c r="BD2584" s="145"/>
      <c r="BE2584" s="145"/>
      <c r="BF2584" s="145"/>
      <c r="BG2584" s="145"/>
      <c r="BH2584" s="145"/>
      <c r="BI2584" s="145"/>
      <c r="BJ2584" s="145"/>
      <c r="BK2584" s="145"/>
      <c r="BL2584" s="145"/>
      <c r="BM2584" s="145"/>
      <c r="BN2584" s="145"/>
      <c r="BO2584" s="145"/>
      <c r="BP2584" s="145"/>
      <c r="BQ2584" s="145"/>
      <c r="BR2584" s="145"/>
      <c r="BS2584" s="145"/>
      <c r="BT2584" s="145"/>
      <c r="BU2584" s="145"/>
      <c r="BV2584" s="145"/>
      <c r="BW2584" s="145"/>
      <c r="BX2584" s="145"/>
      <c r="BY2584" s="145"/>
      <c r="BZ2584" s="145"/>
      <c r="CA2584" s="145"/>
      <c r="CB2584" s="145"/>
      <c r="CC2584" s="145"/>
      <c r="CD2584" s="145"/>
      <c r="CE2584" s="145"/>
      <c r="CF2584" s="145"/>
      <c r="CG2584" s="145"/>
      <c r="CH2584" s="145"/>
      <c r="CI2584" s="145"/>
      <c r="CJ2584" s="145"/>
      <c r="CK2584" s="145"/>
      <c r="CL2584" s="145"/>
      <c r="CM2584" s="145"/>
      <c r="CN2584" s="145"/>
      <c r="CO2584" s="145"/>
      <c r="CP2584" s="145"/>
      <c r="CQ2584" s="145"/>
      <c r="CR2584" s="145"/>
      <c r="CS2584" s="145"/>
      <c r="CT2584" s="145"/>
      <c r="CU2584" s="145"/>
      <c r="CV2584" s="145"/>
      <c r="CW2584" s="145"/>
      <c r="CX2584" s="145"/>
      <c r="CY2584" s="145"/>
      <c r="CZ2584" s="145"/>
      <c r="DA2584" s="145"/>
      <c r="DB2584" s="145"/>
      <c r="DC2584" s="145"/>
      <c r="DD2584" s="145"/>
      <c r="DE2584" s="145"/>
      <c r="DF2584" s="145"/>
      <c r="DG2584" s="145"/>
      <c r="DH2584" s="145"/>
      <c r="DI2584" s="145"/>
      <c r="DJ2584" s="145"/>
      <c r="DK2584" s="145"/>
      <c r="DL2584" s="145"/>
      <c r="DM2584" s="145"/>
      <c r="DN2584" s="145"/>
      <c r="DO2584" s="145"/>
      <c r="DP2584" s="145"/>
      <c r="DQ2584" s="145"/>
      <c r="DR2584" s="145"/>
      <c r="DS2584" s="145"/>
      <c r="DT2584" s="145"/>
      <c r="DU2584" s="145"/>
      <c r="DV2584" s="145"/>
      <c r="DW2584" s="145"/>
      <c r="DX2584" s="145"/>
      <c r="DY2584" s="145"/>
      <c r="DZ2584" s="145"/>
      <c r="EA2584" s="145"/>
      <c r="EB2584" s="145"/>
      <c r="EC2584" s="145"/>
      <c r="ED2584" s="145"/>
      <c r="EE2584" s="145"/>
      <c r="EF2584" s="145"/>
      <c r="EG2584" s="145"/>
      <c r="EH2584" s="145"/>
      <c r="EI2584" s="145"/>
      <c r="EJ2584" s="145"/>
      <c r="EK2584" s="145"/>
      <c r="EL2584" s="145"/>
      <c r="EM2584" s="145"/>
      <c r="EN2584" s="145"/>
      <c r="EO2584" s="145"/>
      <c r="EP2584" s="145"/>
      <c r="EQ2584" s="145"/>
      <c r="ER2584" s="145"/>
      <c r="ES2584" s="145"/>
      <c r="ET2584" s="145"/>
      <c r="EU2584" s="145"/>
      <c r="EV2584" s="145"/>
      <c r="EW2584" s="145"/>
      <c r="EX2584" s="145"/>
      <c r="EY2584" s="145"/>
      <c r="EZ2584" s="145"/>
      <c r="FA2584" s="145"/>
      <c r="FB2584" s="145"/>
      <c r="FC2584" s="145"/>
      <c r="FD2584" s="145"/>
      <c r="FE2584" s="145"/>
      <c r="FF2584" s="145"/>
      <c r="FG2584" s="145"/>
      <c r="FH2584" s="145"/>
      <c r="FI2584" s="145"/>
      <c r="FJ2584" s="145"/>
      <c r="FK2584" s="145"/>
      <c r="FL2584" s="145"/>
      <c r="FM2584" s="145"/>
      <c r="FN2584" s="145"/>
      <c r="FO2584" s="145"/>
      <c r="FP2584" s="145"/>
      <c r="FQ2584" s="145"/>
      <c r="FR2584" s="145"/>
      <c r="FS2584" s="145"/>
      <c r="FT2584" s="145"/>
      <c r="FU2584" s="145"/>
      <c r="FV2584" s="145"/>
      <c r="FW2584" s="145"/>
      <c r="FX2584" s="145"/>
      <c r="FY2584" s="145"/>
      <c r="FZ2584" s="145"/>
      <c r="GA2584" s="145"/>
      <c r="GB2584" s="145"/>
      <c r="GC2584" s="145"/>
      <c r="GD2584" s="145"/>
      <c r="GE2584" s="145"/>
      <c r="GF2584" s="145"/>
      <c r="GG2584" s="145"/>
      <c r="GH2584" s="145"/>
      <c r="GI2584" s="145"/>
      <c r="GJ2584" s="145"/>
      <c r="GK2584" s="145"/>
      <c r="GL2584" s="145"/>
      <c r="GM2584" s="145"/>
      <c r="GN2584" s="145"/>
      <c r="GO2584" s="145"/>
      <c r="GP2584" s="145"/>
      <c r="GQ2584" s="145"/>
      <c r="GR2584" s="145"/>
      <c r="GS2584" s="145"/>
      <c r="GT2584" s="145"/>
      <c r="GU2584" s="145"/>
      <c r="GV2584" s="145"/>
      <c r="GW2584" s="145"/>
      <c r="GX2584" s="145"/>
      <c r="GY2584" s="145"/>
      <c r="GZ2584" s="145"/>
      <c r="HA2584" s="145"/>
      <c r="HB2584" s="145"/>
      <c r="HC2584" s="145"/>
      <c r="HD2584" s="145"/>
      <c r="HE2584" s="145"/>
      <c r="HF2584" s="145"/>
      <c r="HG2584" s="145"/>
    </row>
    <row r="2585" spans="1:215" x14ac:dyDescent="0.35">
      <c r="A2585" s="270">
        <f>A2583+1</f>
        <v>20</v>
      </c>
      <c r="B2585" s="270">
        <v>5796</v>
      </c>
      <c r="C2585" s="278" t="s">
        <v>453</v>
      </c>
      <c r="D2585" s="273">
        <v>354.2</v>
      </c>
      <c r="E2585" s="273" t="s">
        <v>74</v>
      </c>
      <c r="F2585" s="282">
        <v>2</v>
      </c>
      <c r="G2585" s="270" t="s">
        <v>71</v>
      </c>
      <c r="H2585" s="136" t="s">
        <v>72</v>
      </c>
      <c r="I2585" s="181">
        <f>I2586+I2587</f>
        <v>1661156.66</v>
      </c>
      <c r="J2585" s="181">
        <f>J2586+J2587</f>
        <v>4689.88</v>
      </c>
      <c r="K2585" s="181">
        <f>K2586+K2587</f>
        <v>7539</v>
      </c>
      <c r="L2585" s="145"/>
      <c r="M2585" s="145"/>
      <c r="N2585" s="145"/>
      <c r="O2585" s="145"/>
      <c r="P2585" s="145"/>
      <c r="Q2585" s="145"/>
      <c r="R2585" s="145"/>
      <c r="S2585" s="145"/>
      <c r="T2585" s="145"/>
      <c r="U2585" s="145"/>
      <c r="V2585" s="145"/>
      <c r="W2585" s="145"/>
      <c r="X2585" s="145"/>
      <c r="Y2585" s="145"/>
      <c r="Z2585" s="145"/>
      <c r="AA2585" s="145"/>
      <c r="AB2585" s="145"/>
      <c r="AC2585" s="145"/>
      <c r="AD2585" s="145"/>
      <c r="AE2585" s="145"/>
      <c r="AF2585" s="145"/>
      <c r="AG2585" s="145"/>
      <c r="AH2585" s="145"/>
      <c r="AI2585" s="145"/>
      <c r="AJ2585" s="145"/>
      <c r="AK2585" s="145"/>
      <c r="AL2585" s="145"/>
      <c r="AM2585" s="145"/>
      <c r="AN2585" s="145"/>
      <c r="AO2585" s="145"/>
      <c r="AP2585" s="145"/>
      <c r="AQ2585" s="145"/>
      <c r="AR2585" s="145"/>
      <c r="AS2585" s="145"/>
      <c r="AT2585" s="145"/>
      <c r="AU2585" s="145"/>
      <c r="AV2585" s="145"/>
      <c r="AW2585" s="145"/>
      <c r="AX2585" s="145"/>
      <c r="AY2585" s="145"/>
      <c r="AZ2585" s="145"/>
      <c r="BA2585" s="145"/>
      <c r="BB2585" s="145"/>
      <c r="BC2585" s="145"/>
      <c r="BD2585" s="145"/>
      <c r="BE2585" s="145"/>
      <c r="BF2585" s="145"/>
      <c r="BG2585" s="145"/>
      <c r="BH2585" s="145"/>
      <c r="BI2585" s="145"/>
      <c r="BJ2585" s="145"/>
      <c r="BK2585" s="145"/>
      <c r="BL2585" s="145"/>
      <c r="BM2585" s="145"/>
      <c r="BN2585" s="145"/>
      <c r="BO2585" s="145"/>
      <c r="BP2585" s="145"/>
      <c r="BQ2585" s="145"/>
      <c r="BR2585" s="145"/>
      <c r="BS2585" s="145"/>
      <c r="BT2585" s="145"/>
      <c r="BU2585" s="145"/>
      <c r="BV2585" s="145"/>
      <c r="BW2585" s="145"/>
      <c r="BX2585" s="145"/>
      <c r="BY2585" s="145"/>
      <c r="BZ2585" s="145"/>
      <c r="CA2585" s="145"/>
      <c r="CB2585" s="145"/>
      <c r="CC2585" s="145"/>
      <c r="CD2585" s="145"/>
      <c r="CE2585" s="145"/>
      <c r="CF2585" s="145"/>
      <c r="CG2585" s="145"/>
      <c r="CH2585" s="145"/>
      <c r="CI2585" s="145"/>
      <c r="CJ2585" s="145"/>
      <c r="CK2585" s="145"/>
      <c r="CL2585" s="145"/>
      <c r="CM2585" s="145"/>
      <c r="CN2585" s="145"/>
      <c r="CO2585" s="145"/>
      <c r="CP2585" s="145"/>
      <c r="CQ2585" s="145"/>
      <c r="CR2585" s="145"/>
      <c r="CS2585" s="145"/>
      <c r="CT2585" s="145"/>
      <c r="CU2585" s="145"/>
      <c r="CV2585" s="145"/>
      <c r="CW2585" s="145"/>
      <c r="CX2585" s="145"/>
      <c r="CY2585" s="145"/>
      <c r="CZ2585" s="145"/>
      <c r="DA2585" s="145"/>
      <c r="DB2585" s="145"/>
      <c r="DC2585" s="145"/>
      <c r="DD2585" s="145"/>
      <c r="DE2585" s="145"/>
      <c r="DF2585" s="145"/>
      <c r="DG2585" s="145"/>
      <c r="DH2585" s="145"/>
      <c r="DI2585" s="145"/>
      <c r="DJ2585" s="145"/>
      <c r="DK2585" s="145"/>
      <c r="DL2585" s="145"/>
      <c r="DM2585" s="145"/>
      <c r="DN2585" s="145"/>
      <c r="DO2585" s="145"/>
      <c r="DP2585" s="145"/>
      <c r="DQ2585" s="145"/>
      <c r="DR2585" s="145"/>
      <c r="DS2585" s="145"/>
      <c r="DT2585" s="145"/>
      <c r="DU2585" s="145"/>
      <c r="DV2585" s="145"/>
      <c r="DW2585" s="145"/>
      <c r="DX2585" s="145"/>
      <c r="DY2585" s="145"/>
      <c r="DZ2585" s="145"/>
      <c r="EA2585" s="145"/>
      <c r="EB2585" s="145"/>
      <c r="EC2585" s="145"/>
      <c r="ED2585" s="145"/>
      <c r="EE2585" s="145"/>
      <c r="EF2585" s="145"/>
      <c r="EG2585" s="145"/>
      <c r="EH2585" s="145"/>
      <c r="EI2585" s="145"/>
      <c r="EJ2585" s="145"/>
      <c r="EK2585" s="145"/>
      <c r="EL2585" s="145"/>
      <c r="EM2585" s="145"/>
      <c r="EN2585" s="145"/>
      <c r="EO2585" s="145"/>
      <c r="EP2585" s="145"/>
      <c r="EQ2585" s="145"/>
      <c r="ER2585" s="145"/>
      <c r="ES2585" s="145"/>
      <c r="ET2585" s="145"/>
      <c r="EU2585" s="145"/>
      <c r="EV2585" s="145"/>
      <c r="EW2585" s="145"/>
      <c r="EX2585" s="145"/>
      <c r="EY2585" s="145"/>
      <c r="EZ2585" s="145"/>
      <c r="FA2585" s="145"/>
      <c r="FB2585" s="145"/>
      <c r="FC2585" s="145"/>
      <c r="FD2585" s="145"/>
      <c r="FE2585" s="145"/>
      <c r="FF2585" s="145"/>
      <c r="FG2585" s="145"/>
      <c r="FH2585" s="145"/>
      <c r="FI2585" s="145"/>
      <c r="FJ2585" s="145"/>
      <c r="FK2585" s="145"/>
      <c r="FL2585" s="145"/>
      <c r="FM2585" s="145"/>
      <c r="FN2585" s="145"/>
      <c r="FO2585" s="145"/>
      <c r="FP2585" s="145"/>
      <c r="FQ2585" s="145"/>
      <c r="FR2585" s="145"/>
      <c r="FS2585" s="145"/>
      <c r="FT2585" s="145"/>
      <c r="FU2585" s="145"/>
      <c r="FV2585" s="145"/>
      <c r="FW2585" s="145"/>
      <c r="FX2585" s="145"/>
      <c r="FY2585" s="145"/>
      <c r="FZ2585" s="145"/>
      <c r="GA2585" s="145"/>
      <c r="GB2585" s="145"/>
      <c r="GC2585" s="145"/>
      <c r="GD2585" s="145"/>
      <c r="GE2585" s="145"/>
      <c r="GF2585" s="145"/>
      <c r="GG2585" s="145"/>
      <c r="GH2585" s="145"/>
      <c r="GI2585" s="145"/>
      <c r="GJ2585" s="145"/>
      <c r="GK2585" s="145"/>
      <c r="GL2585" s="145"/>
      <c r="GM2585" s="145"/>
      <c r="GN2585" s="145"/>
      <c r="GO2585" s="145"/>
      <c r="GP2585" s="145"/>
      <c r="GQ2585" s="145"/>
      <c r="GR2585" s="145"/>
      <c r="GS2585" s="145"/>
      <c r="GT2585" s="145"/>
      <c r="GU2585" s="145"/>
      <c r="GV2585" s="145"/>
      <c r="GW2585" s="145"/>
      <c r="GX2585" s="145"/>
      <c r="GY2585" s="145"/>
      <c r="GZ2585" s="145"/>
      <c r="HA2585" s="145"/>
      <c r="HB2585" s="145"/>
      <c r="HC2585" s="145"/>
      <c r="HD2585" s="145"/>
      <c r="HE2585" s="145"/>
      <c r="HF2585" s="145"/>
      <c r="HG2585" s="145"/>
    </row>
    <row r="2586" spans="1:215" x14ac:dyDescent="0.35">
      <c r="A2586" s="271"/>
      <c r="B2586" s="271"/>
      <c r="C2586" s="279"/>
      <c r="D2586" s="274"/>
      <c r="E2586" s="274"/>
      <c r="F2586" s="283"/>
      <c r="G2586" s="271"/>
      <c r="H2586" s="136" t="s">
        <v>73</v>
      </c>
      <c r="I2586" s="181">
        <v>1611240.62</v>
      </c>
      <c r="J2586" s="181">
        <f>I2586/D2585-0.01</f>
        <v>4548.95</v>
      </c>
      <c r="K2586" s="181">
        <v>7381</v>
      </c>
      <c r="L2586" s="145"/>
      <c r="M2586" s="145"/>
      <c r="N2586" s="145"/>
      <c r="O2586" s="145"/>
      <c r="P2586" s="145"/>
      <c r="Q2586" s="145"/>
      <c r="R2586" s="145"/>
      <c r="S2586" s="145"/>
      <c r="T2586" s="145"/>
      <c r="U2586" s="145"/>
      <c r="V2586" s="145"/>
      <c r="W2586" s="145"/>
      <c r="X2586" s="145"/>
      <c r="Y2586" s="145"/>
      <c r="Z2586" s="145"/>
      <c r="AA2586" s="145"/>
      <c r="AB2586" s="145"/>
      <c r="AC2586" s="145"/>
      <c r="AD2586" s="145"/>
      <c r="AE2586" s="145"/>
      <c r="AF2586" s="145"/>
      <c r="AG2586" s="145"/>
      <c r="AH2586" s="145"/>
      <c r="AI2586" s="145"/>
      <c r="AJ2586" s="145"/>
      <c r="AK2586" s="145"/>
      <c r="AL2586" s="145"/>
      <c r="AM2586" s="145"/>
      <c r="AN2586" s="145"/>
      <c r="AO2586" s="145"/>
      <c r="AP2586" s="145"/>
      <c r="AQ2586" s="145"/>
      <c r="AR2586" s="145"/>
      <c r="AS2586" s="145"/>
      <c r="AT2586" s="145"/>
      <c r="AU2586" s="145"/>
      <c r="AV2586" s="145"/>
      <c r="AW2586" s="145"/>
      <c r="AX2586" s="145"/>
      <c r="AY2586" s="145"/>
      <c r="AZ2586" s="145"/>
      <c r="BA2586" s="145"/>
      <c r="BB2586" s="145"/>
      <c r="BC2586" s="145"/>
      <c r="BD2586" s="145"/>
      <c r="BE2586" s="145"/>
      <c r="BF2586" s="145"/>
      <c r="BG2586" s="145"/>
      <c r="BH2586" s="145"/>
      <c r="BI2586" s="145"/>
      <c r="BJ2586" s="145"/>
      <c r="BK2586" s="145"/>
      <c r="BL2586" s="145"/>
      <c r="BM2586" s="145"/>
      <c r="BN2586" s="145"/>
      <c r="BO2586" s="145"/>
      <c r="BP2586" s="145"/>
      <c r="BQ2586" s="145"/>
      <c r="BR2586" s="145"/>
      <c r="BS2586" s="145"/>
      <c r="BT2586" s="145"/>
      <c r="BU2586" s="145"/>
      <c r="BV2586" s="145"/>
      <c r="BW2586" s="145"/>
      <c r="BX2586" s="145"/>
      <c r="BY2586" s="145"/>
      <c r="BZ2586" s="145"/>
      <c r="CA2586" s="145"/>
      <c r="CB2586" s="145"/>
      <c r="CC2586" s="145"/>
      <c r="CD2586" s="145"/>
      <c r="CE2586" s="145"/>
      <c r="CF2586" s="145"/>
      <c r="CG2586" s="145"/>
      <c r="CH2586" s="145"/>
      <c r="CI2586" s="145"/>
      <c r="CJ2586" s="145"/>
      <c r="CK2586" s="145"/>
      <c r="CL2586" s="145"/>
      <c r="CM2586" s="145"/>
      <c r="CN2586" s="145"/>
      <c r="CO2586" s="145"/>
      <c r="CP2586" s="145"/>
      <c r="CQ2586" s="145"/>
      <c r="CR2586" s="145"/>
      <c r="CS2586" s="145"/>
      <c r="CT2586" s="145"/>
      <c r="CU2586" s="145"/>
      <c r="CV2586" s="145"/>
      <c r="CW2586" s="145"/>
      <c r="CX2586" s="145"/>
      <c r="CY2586" s="145"/>
      <c r="CZ2586" s="145"/>
      <c r="DA2586" s="145"/>
      <c r="DB2586" s="145"/>
      <c r="DC2586" s="145"/>
      <c r="DD2586" s="145"/>
      <c r="DE2586" s="145"/>
      <c r="DF2586" s="145"/>
      <c r="DG2586" s="145"/>
      <c r="DH2586" s="145"/>
      <c r="DI2586" s="145"/>
      <c r="DJ2586" s="145"/>
      <c r="DK2586" s="145"/>
      <c r="DL2586" s="145"/>
      <c r="DM2586" s="145"/>
      <c r="DN2586" s="145"/>
      <c r="DO2586" s="145"/>
      <c r="DP2586" s="145"/>
      <c r="DQ2586" s="145"/>
      <c r="DR2586" s="145"/>
      <c r="DS2586" s="145"/>
      <c r="DT2586" s="145"/>
      <c r="DU2586" s="145"/>
      <c r="DV2586" s="145"/>
      <c r="DW2586" s="145"/>
      <c r="DX2586" s="145"/>
      <c r="DY2586" s="145"/>
      <c r="DZ2586" s="145"/>
      <c r="EA2586" s="145"/>
      <c r="EB2586" s="145"/>
      <c r="EC2586" s="145"/>
      <c r="ED2586" s="145"/>
      <c r="EE2586" s="145"/>
      <c r="EF2586" s="145"/>
      <c r="EG2586" s="145"/>
      <c r="EH2586" s="145"/>
      <c r="EI2586" s="145"/>
      <c r="EJ2586" s="145"/>
      <c r="EK2586" s="145"/>
      <c r="EL2586" s="145"/>
      <c r="EM2586" s="145"/>
      <c r="EN2586" s="145"/>
      <c r="EO2586" s="145"/>
      <c r="EP2586" s="145"/>
      <c r="EQ2586" s="145"/>
      <c r="ER2586" s="145"/>
      <c r="ES2586" s="145"/>
      <c r="ET2586" s="145"/>
      <c r="EU2586" s="145"/>
      <c r="EV2586" s="145"/>
      <c r="EW2586" s="145"/>
      <c r="EX2586" s="145"/>
      <c r="EY2586" s="145"/>
      <c r="EZ2586" s="145"/>
      <c r="FA2586" s="145"/>
      <c r="FB2586" s="145"/>
      <c r="FC2586" s="145"/>
      <c r="FD2586" s="145"/>
      <c r="FE2586" s="145"/>
      <c r="FF2586" s="145"/>
      <c r="FG2586" s="145"/>
      <c r="FH2586" s="145"/>
      <c r="FI2586" s="145"/>
      <c r="FJ2586" s="145"/>
      <c r="FK2586" s="145"/>
      <c r="FL2586" s="145"/>
      <c r="FM2586" s="145"/>
      <c r="FN2586" s="145"/>
      <c r="FO2586" s="145"/>
      <c r="FP2586" s="145"/>
      <c r="FQ2586" s="145"/>
      <c r="FR2586" s="145"/>
      <c r="FS2586" s="145"/>
      <c r="FT2586" s="145"/>
      <c r="FU2586" s="145"/>
      <c r="FV2586" s="145"/>
      <c r="FW2586" s="145"/>
      <c r="FX2586" s="145"/>
      <c r="FY2586" s="145"/>
      <c r="FZ2586" s="145"/>
      <c r="GA2586" s="145"/>
      <c r="GB2586" s="145"/>
      <c r="GC2586" s="145"/>
      <c r="GD2586" s="145"/>
      <c r="GE2586" s="145"/>
      <c r="GF2586" s="145"/>
      <c r="GG2586" s="145"/>
      <c r="GH2586" s="145"/>
      <c r="GI2586" s="145"/>
      <c r="GJ2586" s="145"/>
      <c r="GK2586" s="145"/>
      <c r="GL2586" s="145"/>
      <c r="GM2586" s="145"/>
      <c r="GN2586" s="145"/>
      <c r="GO2586" s="145"/>
      <c r="GP2586" s="145"/>
      <c r="GQ2586" s="145"/>
      <c r="GR2586" s="145"/>
      <c r="GS2586" s="145"/>
      <c r="GT2586" s="145"/>
      <c r="GU2586" s="145"/>
      <c r="GV2586" s="145"/>
      <c r="GW2586" s="145"/>
      <c r="GX2586" s="145"/>
      <c r="GY2586" s="145"/>
      <c r="GZ2586" s="145"/>
      <c r="HA2586" s="145"/>
      <c r="HB2586" s="145"/>
      <c r="HC2586" s="145"/>
      <c r="HD2586" s="145"/>
      <c r="HE2586" s="145"/>
      <c r="HF2586" s="145"/>
      <c r="HG2586" s="145"/>
    </row>
    <row r="2587" spans="1:215" x14ac:dyDescent="0.35">
      <c r="A2587" s="272"/>
      <c r="B2587" s="272"/>
      <c r="C2587" s="285"/>
      <c r="D2587" s="275"/>
      <c r="E2587" s="275"/>
      <c r="F2587" s="284"/>
      <c r="G2587" s="272"/>
      <c r="H2587" s="136" t="s">
        <v>75</v>
      </c>
      <c r="I2587" s="181">
        <v>49916.04</v>
      </c>
      <c r="J2587" s="181">
        <f>I2587/D2585</f>
        <v>140.93</v>
      </c>
      <c r="K2587" s="181">
        <v>158</v>
      </c>
      <c r="L2587" s="145"/>
      <c r="M2587" s="145"/>
      <c r="N2587" s="145"/>
      <c r="O2587" s="145"/>
      <c r="P2587" s="145"/>
      <c r="Q2587" s="145"/>
      <c r="R2587" s="145"/>
      <c r="S2587" s="145"/>
      <c r="T2587" s="145"/>
      <c r="U2587" s="145"/>
      <c r="V2587" s="145"/>
      <c r="W2587" s="145"/>
      <c r="X2587" s="145"/>
      <c r="Y2587" s="145"/>
      <c r="Z2587" s="145"/>
      <c r="AA2587" s="145"/>
      <c r="AB2587" s="145"/>
      <c r="AC2587" s="145"/>
      <c r="AD2587" s="145"/>
      <c r="AE2587" s="145"/>
      <c r="AF2587" s="145"/>
      <c r="AG2587" s="145"/>
      <c r="AH2587" s="145"/>
      <c r="AI2587" s="145"/>
      <c r="AJ2587" s="145"/>
      <c r="AK2587" s="145"/>
      <c r="AL2587" s="145"/>
      <c r="AM2587" s="145"/>
      <c r="AN2587" s="145"/>
      <c r="AO2587" s="145"/>
      <c r="AP2587" s="145"/>
      <c r="AQ2587" s="145"/>
      <c r="AR2587" s="145"/>
      <c r="AS2587" s="145"/>
      <c r="AT2587" s="145"/>
      <c r="AU2587" s="145"/>
      <c r="AV2587" s="145"/>
      <c r="AW2587" s="145"/>
      <c r="AX2587" s="145"/>
      <c r="AY2587" s="145"/>
      <c r="AZ2587" s="145"/>
      <c r="BA2587" s="145"/>
      <c r="BB2587" s="145"/>
      <c r="BC2587" s="145"/>
      <c r="BD2587" s="145"/>
      <c r="BE2587" s="145"/>
      <c r="BF2587" s="145"/>
      <c r="BG2587" s="145"/>
      <c r="BH2587" s="145"/>
      <c r="BI2587" s="145"/>
      <c r="BJ2587" s="145"/>
      <c r="BK2587" s="145"/>
      <c r="BL2587" s="145"/>
      <c r="BM2587" s="145"/>
      <c r="BN2587" s="145"/>
      <c r="BO2587" s="145"/>
      <c r="BP2587" s="145"/>
      <c r="BQ2587" s="145"/>
      <c r="BR2587" s="145"/>
      <c r="BS2587" s="145"/>
      <c r="BT2587" s="145"/>
      <c r="BU2587" s="145"/>
      <c r="BV2587" s="145"/>
      <c r="BW2587" s="145"/>
      <c r="BX2587" s="145"/>
      <c r="BY2587" s="145"/>
      <c r="BZ2587" s="145"/>
      <c r="CA2587" s="145"/>
      <c r="CB2587" s="145"/>
      <c r="CC2587" s="145"/>
      <c r="CD2587" s="145"/>
      <c r="CE2587" s="145"/>
      <c r="CF2587" s="145"/>
      <c r="CG2587" s="145"/>
      <c r="CH2587" s="145"/>
      <c r="CI2587" s="145"/>
      <c r="CJ2587" s="145"/>
      <c r="CK2587" s="145"/>
      <c r="CL2587" s="145"/>
      <c r="CM2587" s="145"/>
      <c r="CN2587" s="145"/>
      <c r="CO2587" s="145"/>
      <c r="CP2587" s="145"/>
      <c r="CQ2587" s="145"/>
      <c r="CR2587" s="145"/>
      <c r="CS2587" s="145"/>
      <c r="CT2587" s="145"/>
      <c r="CU2587" s="145"/>
      <c r="CV2587" s="145"/>
      <c r="CW2587" s="145"/>
      <c r="CX2587" s="145"/>
      <c r="CY2587" s="145"/>
      <c r="CZ2587" s="145"/>
      <c r="DA2587" s="145"/>
      <c r="DB2587" s="145"/>
      <c r="DC2587" s="145"/>
      <c r="DD2587" s="145"/>
      <c r="DE2587" s="145"/>
      <c r="DF2587" s="145"/>
      <c r="DG2587" s="145"/>
      <c r="DH2587" s="145"/>
      <c r="DI2587" s="145"/>
      <c r="DJ2587" s="145"/>
      <c r="DK2587" s="145"/>
      <c r="DL2587" s="145"/>
      <c r="DM2587" s="145"/>
      <c r="DN2587" s="145"/>
      <c r="DO2587" s="145"/>
      <c r="DP2587" s="145"/>
      <c r="DQ2587" s="145"/>
      <c r="DR2587" s="145"/>
      <c r="DS2587" s="145"/>
      <c r="DT2587" s="145"/>
      <c r="DU2587" s="145"/>
      <c r="DV2587" s="145"/>
      <c r="DW2587" s="145"/>
      <c r="DX2587" s="145"/>
      <c r="DY2587" s="145"/>
      <c r="DZ2587" s="145"/>
      <c r="EA2587" s="145"/>
      <c r="EB2587" s="145"/>
      <c r="EC2587" s="145"/>
      <c r="ED2587" s="145"/>
      <c r="EE2587" s="145"/>
      <c r="EF2587" s="145"/>
      <c r="EG2587" s="145"/>
      <c r="EH2587" s="145"/>
      <c r="EI2587" s="145"/>
      <c r="EJ2587" s="145"/>
      <c r="EK2587" s="145"/>
      <c r="EL2587" s="145"/>
      <c r="EM2587" s="145"/>
      <c r="EN2587" s="145"/>
      <c r="EO2587" s="145"/>
      <c r="EP2587" s="145"/>
      <c r="EQ2587" s="145"/>
      <c r="ER2587" s="145"/>
      <c r="ES2587" s="145"/>
      <c r="ET2587" s="145"/>
      <c r="EU2587" s="145"/>
      <c r="EV2587" s="145"/>
      <c r="EW2587" s="145"/>
      <c r="EX2587" s="145"/>
      <c r="EY2587" s="145"/>
      <c r="EZ2587" s="145"/>
      <c r="FA2587" s="145"/>
      <c r="FB2587" s="145"/>
      <c r="FC2587" s="145"/>
      <c r="FD2587" s="145"/>
      <c r="FE2587" s="145"/>
      <c r="FF2587" s="145"/>
      <c r="FG2587" s="145"/>
      <c r="FH2587" s="145"/>
      <c r="FI2587" s="145"/>
      <c r="FJ2587" s="145"/>
      <c r="FK2587" s="145"/>
      <c r="FL2587" s="145"/>
      <c r="FM2587" s="145"/>
      <c r="FN2587" s="145"/>
      <c r="FO2587" s="145"/>
      <c r="FP2587" s="145"/>
      <c r="FQ2587" s="145"/>
      <c r="FR2587" s="145"/>
      <c r="FS2587" s="145"/>
      <c r="FT2587" s="145"/>
      <c r="FU2587" s="145"/>
      <c r="FV2587" s="145"/>
      <c r="FW2587" s="145"/>
      <c r="FX2587" s="145"/>
      <c r="FY2587" s="145"/>
      <c r="FZ2587" s="145"/>
      <c r="GA2587" s="145"/>
      <c r="GB2587" s="145"/>
      <c r="GC2587" s="145"/>
      <c r="GD2587" s="145"/>
      <c r="GE2587" s="145"/>
      <c r="GF2587" s="145"/>
      <c r="GG2587" s="145"/>
      <c r="GH2587" s="145"/>
      <c r="GI2587" s="145"/>
      <c r="GJ2587" s="145"/>
      <c r="GK2587" s="145"/>
      <c r="GL2587" s="145"/>
      <c r="GM2587" s="145"/>
      <c r="GN2587" s="145"/>
      <c r="GO2587" s="145"/>
      <c r="GP2587" s="145"/>
      <c r="GQ2587" s="145"/>
      <c r="GR2587" s="145"/>
      <c r="GS2587" s="145"/>
      <c r="GT2587" s="145"/>
      <c r="GU2587" s="145"/>
      <c r="GV2587" s="145"/>
      <c r="GW2587" s="145"/>
      <c r="GX2587" s="145"/>
      <c r="GY2587" s="145"/>
      <c r="GZ2587" s="145"/>
      <c r="HA2587" s="145"/>
      <c r="HB2587" s="145"/>
      <c r="HC2587" s="145"/>
      <c r="HD2587" s="145"/>
      <c r="HE2587" s="145"/>
      <c r="HF2587" s="145"/>
      <c r="HG2587" s="145"/>
    </row>
    <row r="2588" spans="1:215" x14ac:dyDescent="0.35">
      <c r="A2588" s="270">
        <f>A2585+1</f>
        <v>21</v>
      </c>
      <c r="B2588" s="270">
        <v>5800</v>
      </c>
      <c r="C2588" s="278" t="s">
        <v>455</v>
      </c>
      <c r="D2588" s="273">
        <v>347.9</v>
      </c>
      <c r="E2588" s="273" t="s">
        <v>74</v>
      </c>
      <c r="F2588" s="282">
        <v>2</v>
      </c>
      <c r="G2588" s="270" t="s">
        <v>71</v>
      </c>
      <c r="H2588" s="136" t="s">
        <v>72</v>
      </c>
      <c r="I2588" s="181">
        <f>I2589+I2590</f>
        <v>1623283.67</v>
      </c>
      <c r="J2588" s="181">
        <f>J2589+J2590</f>
        <v>4665.95</v>
      </c>
      <c r="K2588" s="181">
        <f>K2589+K2590</f>
        <v>7539</v>
      </c>
      <c r="L2588" s="145"/>
      <c r="M2588" s="145"/>
      <c r="N2588" s="145"/>
      <c r="O2588" s="145"/>
      <c r="P2588" s="145"/>
      <c r="Q2588" s="145"/>
      <c r="R2588" s="145"/>
      <c r="S2588" s="145"/>
      <c r="T2588" s="145"/>
      <c r="U2588" s="145"/>
      <c r="V2588" s="145"/>
      <c r="W2588" s="145"/>
      <c r="X2588" s="145"/>
      <c r="Y2588" s="145"/>
      <c r="Z2588" s="145"/>
      <c r="AA2588" s="145"/>
      <c r="AB2588" s="145"/>
      <c r="AC2588" s="145"/>
      <c r="AD2588" s="145"/>
      <c r="AE2588" s="145"/>
      <c r="AF2588" s="145"/>
      <c r="AG2588" s="145"/>
      <c r="AH2588" s="145"/>
      <c r="AI2588" s="145"/>
      <c r="AJ2588" s="145"/>
      <c r="AK2588" s="145"/>
      <c r="AL2588" s="145"/>
      <c r="AM2588" s="145"/>
      <c r="AN2588" s="145"/>
      <c r="AO2588" s="145"/>
      <c r="AP2588" s="145"/>
      <c r="AQ2588" s="145"/>
      <c r="AR2588" s="145"/>
      <c r="AS2588" s="145"/>
      <c r="AT2588" s="145"/>
      <c r="AU2588" s="145"/>
      <c r="AV2588" s="145"/>
      <c r="AW2588" s="145"/>
      <c r="AX2588" s="145"/>
      <c r="AY2588" s="145"/>
      <c r="AZ2588" s="145"/>
      <c r="BA2588" s="145"/>
      <c r="BB2588" s="145"/>
      <c r="BC2588" s="145"/>
      <c r="BD2588" s="145"/>
      <c r="BE2588" s="145"/>
      <c r="BF2588" s="145"/>
      <c r="BG2588" s="145"/>
      <c r="BH2588" s="145"/>
      <c r="BI2588" s="145"/>
      <c r="BJ2588" s="145"/>
      <c r="BK2588" s="145"/>
      <c r="BL2588" s="145"/>
      <c r="BM2588" s="145"/>
      <c r="BN2588" s="145"/>
      <c r="BO2588" s="145"/>
      <c r="BP2588" s="145"/>
      <c r="BQ2588" s="145"/>
      <c r="BR2588" s="145"/>
      <c r="BS2588" s="145"/>
      <c r="BT2588" s="145"/>
      <c r="BU2588" s="145"/>
      <c r="BV2588" s="145"/>
      <c r="BW2588" s="145"/>
      <c r="BX2588" s="145"/>
      <c r="BY2588" s="145"/>
      <c r="BZ2588" s="145"/>
      <c r="CA2588" s="145"/>
      <c r="CB2588" s="145"/>
      <c r="CC2588" s="145"/>
      <c r="CD2588" s="145"/>
      <c r="CE2588" s="145"/>
      <c r="CF2588" s="145"/>
      <c r="CG2588" s="145"/>
      <c r="CH2588" s="145"/>
      <c r="CI2588" s="145"/>
      <c r="CJ2588" s="145"/>
      <c r="CK2588" s="145"/>
      <c r="CL2588" s="145"/>
      <c r="CM2588" s="145"/>
      <c r="CN2588" s="145"/>
      <c r="CO2588" s="145"/>
      <c r="CP2588" s="145"/>
      <c r="CQ2588" s="145"/>
      <c r="CR2588" s="145"/>
      <c r="CS2588" s="145"/>
      <c r="CT2588" s="145"/>
      <c r="CU2588" s="145"/>
      <c r="CV2588" s="145"/>
      <c r="CW2588" s="145"/>
      <c r="CX2588" s="145"/>
      <c r="CY2588" s="145"/>
      <c r="CZ2588" s="145"/>
      <c r="DA2588" s="145"/>
      <c r="DB2588" s="145"/>
      <c r="DC2588" s="145"/>
      <c r="DD2588" s="145"/>
      <c r="DE2588" s="145"/>
      <c r="DF2588" s="145"/>
      <c r="DG2588" s="145"/>
      <c r="DH2588" s="145"/>
      <c r="DI2588" s="145"/>
      <c r="DJ2588" s="145"/>
      <c r="DK2588" s="145"/>
      <c r="DL2588" s="145"/>
      <c r="DM2588" s="145"/>
      <c r="DN2588" s="145"/>
      <c r="DO2588" s="145"/>
      <c r="DP2588" s="145"/>
      <c r="DQ2588" s="145"/>
      <c r="DR2588" s="145"/>
      <c r="DS2588" s="145"/>
      <c r="DT2588" s="145"/>
      <c r="DU2588" s="145"/>
      <c r="DV2588" s="145"/>
      <c r="DW2588" s="145"/>
      <c r="DX2588" s="145"/>
      <c r="DY2588" s="145"/>
      <c r="DZ2588" s="145"/>
      <c r="EA2588" s="145"/>
      <c r="EB2588" s="145"/>
      <c r="EC2588" s="145"/>
      <c r="ED2588" s="145"/>
      <c r="EE2588" s="145"/>
      <c r="EF2588" s="145"/>
      <c r="EG2588" s="145"/>
      <c r="EH2588" s="145"/>
      <c r="EI2588" s="145"/>
      <c r="EJ2588" s="145"/>
      <c r="EK2588" s="145"/>
      <c r="EL2588" s="145"/>
      <c r="EM2588" s="145"/>
      <c r="EN2588" s="145"/>
      <c r="EO2588" s="145"/>
      <c r="EP2588" s="145"/>
      <c r="EQ2588" s="145"/>
      <c r="ER2588" s="145"/>
      <c r="ES2588" s="145"/>
      <c r="ET2588" s="145"/>
      <c r="EU2588" s="145"/>
      <c r="EV2588" s="145"/>
      <c r="EW2588" s="145"/>
      <c r="EX2588" s="145"/>
      <c r="EY2588" s="145"/>
      <c r="EZ2588" s="145"/>
      <c r="FA2588" s="145"/>
      <c r="FB2588" s="145"/>
      <c r="FC2588" s="145"/>
      <c r="FD2588" s="145"/>
      <c r="FE2588" s="145"/>
      <c r="FF2588" s="145"/>
      <c r="FG2588" s="145"/>
      <c r="FH2588" s="145"/>
      <c r="FI2588" s="145"/>
      <c r="FJ2588" s="145"/>
      <c r="FK2588" s="145"/>
      <c r="FL2588" s="145"/>
      <c r="FM2588" s="145"/>
      <c r="FN2588" s="145"/>
      <c r="FO2588" s="145"/>
      <c r="FP2588" s="145"/>
      <c r="FQ2588" s="145"/>
      <c r="FR2588" s="145"/>
      <c r="FS2588" s="145"/>
      <c r="FT2588" s="145"/>
      <c r="FU2588" s="145"/>
      <c r="FV2588" s="145"/>
      <c r="FW2588" s="145"/>
      <c r="FX2588" s="145"/>
      <c r="FY2588" s="145"/>
      <c r="FZ2588" s="145"/>
      <c r="GA2588" s="145"/>
      <c r="GB2588" s="145"/>
      <c r="GC2588" s="145"/>
      <c r="GD2588" s="145"/>
      <c r="GE2588" s="145"/>
      <c r="GF2588" s="145"/>
      <c r="GG2588" s="145"/>
      <c r="GH2588" s="145"/>
      <c r="GI2588" s="145"/>
      <c r="GJ2588" s="145"/>
      <c r="GK2588" s="145"/>
      <c r="GL2588" s="145"/>
      <c r="GM2588" s="145"/>
      <c r="GN2588" s="145"/>
      <c r="GO2588" s="145"/>
      <c r="GP2588" s="145"/>
      <c r="GQ2588" s="145"/>
      <c r="GR2588" s="145"/>
      <c r="GS2588" s="145"/>
      <c r="GT2588" s="145"/>
      <c r="GU2588" s="145"/>
      <c r="GV2588" s="145"/>
      <c r="GW2588" s="145"/>
      <c r="GX2588" s="145"/>
      <c r="GY2588" s="145"/>
      <c r="GZ2588" s="145"/>
      <c r="HA2588" s="145"/>
      <c r="HB2588" s="145"/>
      <c r="HC2588" s="145"/>
      <c r="HD2588" s="145"/>
      <c r="HE2588" s="145"/>
      <c r="HF2588" s="145"/>
      <c r="HG2588" s="145"/>
    </row>
    <row r="2589" spans="1:215" x14ac:dyDescent="0.35">
      <c r="A2589" s="271"/>
      <c r="B2589" s="271"/>
      <c r="C2589" s="279"/>
      <c r="D2589" s="274"/>
      <c r="E2589" s="274"/>
      <c r="F2589" s="283"/>
      <c r="G2589" s="271"/>
      <c r="H2589" s="136" t="s">
        <v>73</v>
      </c>
      <c r="I2589" s="181">
        <v>1573133.03</v>
      </c>
      <c r="J2589" s="181">
        <f>I2589/D2588</f>
        <v>4521.8</v>
      </c>
      <c r="K2589" s="181">
        <v>7381</v>
      </c>
      <c r="L2589" s="145"/>
      <c r="M2589" s="145"/>
      <c r="N2589" s="145"/>
      <c r="O2589" s="145"/>
      <c r="P2589" s="145"/>
      <c r="Q2589" s="145"/>
      <c r="R2589" s="145"/>
      <c r="S2589" s="145"/>
      <c r="T2589" s="145"/>
      <c r="U2589" s="145"/>
      <c r="V2589" s="145"/>
      <c r="W2589" s="145"/>
      <c r="X2589" s="145"/>
      <c r="Y2589" s="145"/>
      <c r="Z2589" s="145"/>
      <c r="AA2589" s="145"/>
      <c r="AB2589" s="145"/>
      <c r="AC2589" s="145"/>
      <c r="AD2589" s="145"/>
      <c r="AE2589" s="145"/>
      <c r="AF2589" s="145"/>
      <c r="AG2589" s="145"/>
      <c r="AH2589" s="145"/>
      <c r="AI2589" s="145"/>
      <c r="AJ2589" s="145"/>
      <c r="AK2589" s="145"/>
      <c r="AL2589" s="145"/>
      <c r="AM2589" s="145"/>
      <c r="AN2589" s="145"/>
      <c r="AO2589" s="145"/>
      <c r="AP2589" s="145"/>
      <c r="AQ2589" s="145"/>
      <c r="AR2589" s="145"/>
      <c r="AS2589" s="145"/>
      <c r="AT2589" s="145"/>
      <c r="AU2589" s="145"/>
      <c r="AV2589" s="145"/>
      <c r="AW2589" s="145"/>
      <c r="AX2589" s="145"/>
      <c r="AY2589" s="145"/>
      <c r="AZ2589" s="145"/>
      <c r="BA2589" s="145"/>
      <c r="BB2589" s="145"/>
      <c r="BC2589" s="145"/>
      <c r="BD2589" s="145"/>
      <c r="BE2589" s="145"/>
      <c r="BF2589" s="145"/>
      <c r="BG2589" s="145"/>
      <c r="BH2589" s="145"/>
      <c r="BI2589" s="145"/>
      <c r="BJ2589" s="145"/>
      <c r="BK2589" s="145"/>
      <c r="BL2589" s="145"/>
      <c r="BM2589" s="145"/>
      <c r="BN2589" s="145"/>
      <c r="BO2589" s="145"/>
      <c r="BP2589" s="145"/>
      <c r="BQ2589" s="145"/>
      <c r="BR2589" s="145"/>
      <c r="BS2589" s="145"/>
      <c r="BT2589" s="145"/>
      <c r="BU2589" s="145"/>
      <c r="BV2589" s="145"/>
      <c r="BW2589" s="145"/>
      <c r="BX2589" s="145"/>
      <c r="BY2589" s="145"/>
      <c r="BZ2589" s="145"/>
      <c r="CA2589" s="145"/>
      <c r="CB2589" s="145"/>
      <c r="CC2589" s="145"/>
      <c r="CD2589" s="145"/>
      <c r="CE2589" s="145"/>
      <c r="CF2589" s="145"/>
      <c r="CG2589" s="145"/>
      <c r="CH2589" s="145"/>
      <c r="CI2589" s="145"/>
      <c r="CJ2589" s="145"/>
      <c r="CK2589" s="145"/>
      <c r="CL2589" s="145"/>
      <c r="CM2589" s="145"/>
      <c r="CN2589" s="145"/>
      <c r="CO2589" s="145"/>
      <c r="CP2589" s="145"/>
      <c r="CQ2589" s="145"/>
      <c r="CR2589" s="145"/>
      <c r="CS2589" s="145"/>
      <c r="CT2589" s="145"/>
      <c r="CU2589" s="145"/>
      <c r="CV2589" s="145"/>
      <c r="CW2589" s="145"/>
      <c r="CX2589" s="145"/>
      <c r="CY2589" s="145"/>
      <c r="CZ2589" s="145"/>
      <c r="DA2589" s="145"/>
      <c r="DB2589" s="145"/>
      <c r="DC2589" s="145"/>
      <c r="DD2589" s="145"/>
      <c r="DE2589" s="145"/>
      <c r="DF2589" s="145"/>
      <c r="DG2589" s="145"/>
      <c r="DH2589" s="145"/>
      <c r="DI2589" s="145"/>
      <c r="DJ2589" s="145"/>
      <c r="DK2589" s="145"/>
      <c r="DL2589" s="145"/>
      <c r="DM2589" s="145"/>
      <c r="DN2589" s="145"/>
      <c r="DO2589" s="145"/>
      <c r="DP2589" s="145"/>
      <c r="DQ2589" s="145"/>
      <c r="DR2589" s="145"/>
      <c r="DS2589" s="145"/>
      <c r="DT2589" s="145"/>
      <c r="DU2589" s="145"/>
      <c r="DV2589" s="145"/>
      <c r="DW2589" s="145"/>
      <c r="DX2589" s="145"/>
      <c r="DY2589" s="145"/>
      <c r="DZ2589" s="145"/>
      <c r="EA2589" s="145"/>
      <c r="EB2589" s="145"/>
      <c r="EC2589" s="145"/>
      <c r="ED2589" s="145"/>
      <c r="EE2589" s="145"/>
      <c r="EF2589" s="145"/>
      <c r="EG2589" s="145"/>
      <c r="EH2589" s="145"/>
      <c r="EI2589" s="145"/>
      <c r="EJ2589" s="145"/>
      <c r="EK2589" s="145"/>
      <c r="EL2589" s="145"/>
      <c r="EM2589" s="145"/>
      <c r="EN2589" s="145"/>
      <c r="EO2589" s="145"/>
      <c r="EP2589" s="145"/>
      <c r="EQ2589" s="145"/>
      <c r="ER2589" s="145"/>
      <c r="ES2589" s="145"/>
      <c r="ET2589" s="145"/>
      <c r="EU2589" s="145"/>
      <c r="EV2589" s="145"/>
      <c r="EW2589" s="145"/>
      <c r="EX2589" s="145"/>
      <c r="EY2589" s="145"/>
      <c r="EZ2589" s="145"/>
      <c r="FA2589" s="145"/>
      <c r="FB2589" s="145"/>
      <c r="FC2589" s="145"/>
      <c r="FD2589" s="145"/>
      <c r="FE2589" s="145"/>
      <c r="FF2589" s="145"/>
      <c r="FG2589" s="145"/>
      <c r="FH2589" s="145"/>
      <c r="FI2589" s="145"/>
      <c r="FJ2589" s="145"/>
      <c r="FK2589" s="145"/>
      <c r="FL2589" s="145"/>
      <c r="FM2589" s="145"/>
      <c r="FN2589" s="145"/>
      <c r="FO2589" s="145"/>
      <c r="FP2589" s="145"/>
      <c r="FQ2589" s="145"/>
      <c r="FR2589" s="145"/>
      <c r="FS2589" s="145"/>
      <c r="FT2589" s="145"/>
      <c r="FU2589" s="145"/>
      <c r="FV2589" s="145"/>
      <c r="FW2589" s="145"/>
      <c r="FX2589" s="145"/>
      <c r="FY2589" s="145"/>
      <c r="FZ2589" s="145"/>
      <c r="GA2589" s="145"/>
      <c r="GB2589" s="145"/>
      <c r="GC2589" s="145"/>
      <c r="GD2589" s="145"/>
      <c r="GE2589" s="145"/>
      <c r="GF2589" s="145"/>
      <c r="GG2589" s="145"/>
      <c r="GH2589" s="145"/>
      <c r="GI2589" s="145"/>
      <c r="GJ2589" s="145"/>
      <c r="GK2589" s="145"/>
      <c r="GL2589" s="145"/>
      <c r="GM2589" s="145"/>
      <c r="GN2589" s="145"/>
      <c r="GO2589" s="145"/>
      <c r="GP2589" s="145"/>
      <c r="GQ2589" s="145"/>
      <c r="GR2589" s="145"/>
      <c r="GS2589" s="145"/>
      <c r="GT2589" s="145"/>
      <c r="GU2589" s="145"/>
      <c r="GV2589" s="145"/>
      <c r="GW2589" s="145"/>
      <c r="GX2589" s="145"/>
      <c r="GY2589" s="145"/>
      <c r="GZ2589" s="145"/>
      <c r="HA2589" s="145"/>
      <c r="HB2589" s="145"/>
      <c r="HC2589" s="145"/>
      <c r="HD2589" s="145"/>
      <c r="HE2589" s="145"/>
      <c r="HF2589" s="145"/>
      <c r="HG2589" s="145"/>
    </row>
    <row r="2590" spans="1:215" x14ac:dyDescent="0.35">
      <c r="A2590" s="272"/>
      <c r="B2590" s="272"/>
      <c r="C2590" s="285"/>
      <c r="D2590" s="275"/>
      <c r="E2590" s="275"/>
      <c r="F2590" s="284"/>
      <c r="G2590" s="272"/>
      <c r="H2590" s="136" t="s">
        <v>75</v>
      </c>
      <c r="I2590" s="181">
        <v>50150.64</v>
      </c>
      <c r="J2590" s="181">
        <f>I2590/D2588</f>
        <v>144.15</v>
      </c>
      <c r="K2590" s="181">
        <v>158</v>
      </c>
      <c r="L2590" s="145"/>
      <c r="M2590" s="145"/>
      <c r="N2590" s="145"/>
      <c r="O2590" s="145"/>
      <c r="P2590" s="145"/>
      <c r="Q2590" s="145"/>
      <c r="R2590" s="145"/>
      <c r="S2590" s="145"/>
      <c r="T2590" s="145"/>
      <c r="U2590" s="145"/>
      <c r="V2590" s="145"/>
      <c r="W2590" s="145"/>
      <c r="X2590" s="145"/>
      <c r="Y2590" s="145"/>
      <c r="Z2590" s="145"/>
      <c r="AA2590" s="145"/>
      <c r="AB2590" s="145"/>
      <c r="AC2590" s="145"/>
      <c r="AD2590" s="145"/>
      <c r="AE2590" s="145"/>
      <c r="AF2590" s="145"/>
      <c r="AG2590" s="145"/>
      <c r="AH2590" s="145"/>
      <c r="AI2590" s="145"/>
      <c r="AJ2590" s="145"/>
      <c r="AK2590" s="145"/>
      <c r="AL2590" s="145"/>
      <c r="AM2590" s="145"/>
      <c r="AN2590" s="145"/>
      <c r="AO2590" s="145"/>
      <c r="AP2590" s="145"/>
      <c r="AQ2590" s="145"/>
      <c r="AR2590" s="145"/>
      <c r="AS2590" s="145"/>
      <c r="AT2590" s="145"/>
      <c r="AU2590" s="145"/>
      <c r="AV2590" s="145"/>
      <c r="AW2590" s="145"/>
      <c r="AX2590" s="145"/>
      <c r="AY2590" s="145"/>
      <c r="AZ2590" s="145"/>
      <c r="BA2590" s="145"/>
      <c r="BB2590" s="145"/>
      <c r="BC2590" s="145"/>
      <c r="BD2590" s="145"/>
      <c r="BE2590" s="145"/>
      <c r="BF2590" s="145"/>
      <c r="BG2590" s="145"/>
      <c r="BH2590" s="145"/>
      <c r="BI2590" s="145"/>
      <c r="BJ2590" s="145"/>
      <c r="BK2590" s="145"/>
      <c r="BL2590" s="145"/>
      <c r="BM2590" s="145"/>
      <c r="BN2590" s="145"/>
      <c r="BO2590" s="145"/>
      <c r="BP2590" s="145"/>
      <c r="BQ2590" s="145"/>
      <c r="BR2590" s="145"/>
      <c r="BS2590" s="145"/>
      <c r="BT2590" s="145"/>
      <c r="BU2590" s="145"/>
      <c r="BV2590" s="145"/>
      <c r="BW2590" s="145"/>
      <c r="BX2590" s="145"/>
      <c r="BY2590" s="145"/>
      <c r="BZ2590" s="145"/>
      <c r="CA2590" s="145"/>
      <c r="CB2590" s="145"/>
      <c r="CC2590" s="145"/>
      <c r="CD2590" s="145"/>
      <c r="CE2590" s="145"/>
      <c r="CF2590" s="145"/>
      <c r="CG2590" s="145"/>
      <c r="CH2590" s="145"/>
      <c r="CI2590" s="145"/>
      <c r="CJ2590" s="145"/>
      <c r="CK2590" s="145"/>
      <c r="CL2590" s="145"/>
      <c r="CM2590" s="145"/>
      <c r="CN2590" s="145"/>
      <c r="CO2590" s="145"/>
      <c r="CP2590" s="145"/>
      <c r="CQ2590" s="145"/>
      <c r="CR2590" s="145"/>
      <c r="CS2590" s="145"/>
      <c r="CT2590" s="145"/>
      <c r="CU2590" s="145"/>
      <c r="CV2590" s="145"/>
      <c r="CW2590" s="145"/>
      <c r="CX2590" s="145"/>
      <c r="CY2590" s="145"/>
      <c r="CZ2590" s="145"/>
      <c r="DA2590" s="145"/>
      <c r="DB2590" s="145"/>
      <c r="DC2590" s="145"/>
      <c r="DD2590" s="145"/>
      <c r="DE2590" s="145"/>
      <c r="DF2590" s="145"/>
      <c r="DG2590" s="145"/>
      <c r="DH2590" s="145"/>
      <c r="DI2590" s="145"/>
      <c r="DJ2590" s="145"/>
      <c r="DK2590" s="145"/>
      <c r="DL2590" s="145"/>
      <c r="DM2590" s="145"/>
      <c r="DN2590" s="145"/>
      <c r="DO2590" s="145"/>
      <c r="DP2590" s="145"/>
      <c r="DQ2590" s="145"/>
      <c r="DR2590" s="145"/>
      <c r="DS2590" s="145"/>
      <c r="DT2590" s="145"/>
      <c r="DU2590" s="145"/>
      <c r="DV2590" s="145"/>
      <c r="DW2590" s="145"/>
      <c r="DX2590" s="145"/>
      <c r="DY2590" s="145"/>
      <c r="DZ2590" s="145"/>
      <c r="EA2590" s="145"/>
      <c r="EB2590" s="145"/>
      <c r="EC2590" s="145"/>
      <c r="ED2590" s="145"/>
      <c r="EE2590" s="145"/>
      <c r="EF2590" s="145"/>
      <c r="EG2590" s="145"/>
      <c r="EH2590" s="145"/>
      <c r="EI2590" s="145"/>
      <c r="EJ2590" s="145"/>
      <c r="EK2590" s="145"/>
      <c r="EL2590" s="145"/>
      <c r="EM2590" s="145"/>
      <c r="EN2590" s="145"/>
      <c r="EO2590" s="145"/>
      <c r="EP2590" s="145"/>
      <c r="EQ2590" s="145"/>
      <c r="ER2590" s="145"/>
      <c r="ES2590" s="145"/>
      <c r="ET2590" s="145"/>
      <c r="EU2590" s="145"/>
      <c r="EV2590" s="145"/>
      <c r="EW2590" s="145"/>
      <c r="EX2590" s="145"/>
      <c r="EY2590" s="145"/>
      <c r="EZ2590" s="145"/>
      <c r="FA2590" s="145"/>
      <c r="FB2590" s="145"/>
      <c r="FC2590" s="145"/>
      <c r="FD2590" s="145"/>
      <c r="FE2590" s="145"/>
      <c r="FF2590" s="145"/>
      <c r="FG2590" s="145"/>
      <c r="FH2590" s="145"/>
      <c r="FI2590" s="145"/>
      <c r="FJ2590" s="145"/>
      <c r="FK2590" s="145"/>
      <c r="FL2590" s="145"/>
      <c r="FM2590" s="145"/>
      <c r="FN2590" s="145"/>
      <c r="FO2590" s="145"/>
      <c r="FP2590" s="145"/>
      <c r="FQ2590" s="145"/>
      <c r="FR2590" s="145"/>
      <c r="FS2590" s="145"/>
      <c r="FT2590" s="145"/>
      <c r="FU2590" s="145"/>
      <c r="FV2590" s="145"/>
      <c r="FW2590" s="145"/>
      <c r="FX2590" s="145"/>
      <c r="FY2590" s="145"/>
      <c r="FZ2590" s="145"/>
      <c r="GA2590" s="145"/>
      <c r="GB2590" s="145"/>
      <c r="GC2590" s="145"/>
      <c r="GD2590" s="145"/>
      <c r="GE2590" s="145"/>
      <c r="GF2590" s="145"/>
      <c r="GG2590" s="145"/>
      <c r="GH2590" s="145"/>
      <c r="GI2590" s="145"/>
      <c r="GJ2590" s="145"/>
      <c r="GK2590" s="145"/>
      <c r="GL2590" s="145"/>
      <c r="GM2590" s="145"/>
      <c r="GN2590" s="145"/>
      <c r="GO2590" s="145"/>
      <c r="GP2590" s="145"/>
      <c r="GQ2590" s="145"/>
      <c r="GR2590" s="145"/>
      <c r="GS2590" s="145"/>
      <c r="GT2590" s="145"/>
      <c r="GU2590" s="145"/>
      <c r="GV2590" s="145"/>
      <c r="GW2590" s="145"/>
      <c r="GX2590" s="145"/>
      <c r="GY2590" s="145"/>
      <c r="GZ2590" s="145"/>
      <c r="HA2590" s="145"/>
      <c r="HB2590" s="145"/>
      <c r="HC2590" s="145"/>
      <c r="HD2590" s="145"/>
      <c r="HE2590" s="145"/>
      <c r="HF2590" s="145"/>
      <c r="HG2590" s="145"/>
    </row>
    <row r="2591" spans="1:215" x14ac:dyDescent="0.35">
      <c r="A2591" s="168" t="s">
        <v>41</v>
      </c>
      <c r="B2591" s="168"/>
      <c r="C2591" s="170"/>
      <c r="D2591" s="166">
        <f>D2592</f>
        <v>482.1</v>
      </c>
      <c r="E2591" s="172"/>
      <c r="F2591" s="172"/>
      <c r="G2591" s="166"/>
      <c r="H2591" s="164"/>
      <c r="I2591" s="181">
        <f>I2592</f>
        <v>3616356.79</v>
      </c>
      <c r="J2591" s="181"/>
      <c r="K2591" s="181"/>
      <c r="L2591" s="145"/>
      <c r="M2591" s="145"/>
      <c r="N2591" s="145"/>
      <c r="O2591" s="145"/>
      <c r="P2591" s="145"/>
      <c r="Q2591" s="145"/>
      <c r="R2591" s="145"/>
      <c r="S2591" s="145"/>
      <c r="T2591" s="145"/>
      <c r="U2591" s="145"/>
      <c r="V2591" s="145"/>
      <c r="W2591" s="145"/>
      <c r="X2591" s="145"/>
      <c r="Y2591" s="145"/>
      <c r="Z2591" s="145"/>
      <c r="AA2591" s="145"/>
      <c r="AB2591" s="145"/>
      <c r="AC2591" s="145"/>
      <c r="AD2591" s="145"/>
      <c r="AE2591" s="145"/>
      <c r="AF2591" s="145"/>
      <c r="AG2591" s="145"/>
      <c r="AH2591" s="145"/>
      <c r="AI2591" s="145"/>
      <c r="AJ2591" s="145"/>
      <c r="AK2591" s="145"/>
      <c r="AL2591" s="145"/>
      <c r="AM2591" s="145"/>
      <c r="AN2591" s="145"/>
      <c r="AO2591" s="145"/>
      <c r="AP2591" s="145"/>
      <c r="AQ2591" s="145"/>
      <c r="AR2591" s="145"/>
      <c r="AS2591" s="145"/>
      <c r="AT2591" s="145"/>
      <c r="AU2591" s="145"/>
      <c r="AV2591" s="145"/>
      <c r="AW2591" s="145"/>
      <c r="AX2591" s="145"/>
      <c r="AY2591" s="145"/>
      <c r="AZ2591" s="145"/>
      <c r="BA2591" s="145"/>
      <c r="BB2591" s="145"/>
      <c r="BC2591" s="145"/>
      <c r="BD2591" s="145"/>
      <c r="BE2591" s="145"/>
      <c r="BF2591" s="145"/>
      <c r="BG2591" s="145"/>
      <c r="BH2591" s="145"/>
      <c r="BI2591" s="145"/>
      <c r="BJ2591" s="145"/>
      <c r="BK2591" s="145"/>
      <c r="BL2591" s="145"/>
      <c r="BM2591" s="145"/>
      <c r="BN2591" s="145"/>
      <c r="BO2591" s="145"/>
      <c r="BP2591" s="145"/>
      <c r="BQ2591" s="145"/>
      <c r="BR2591" s="145"/>
      <c r="BS2591" s="145"/>
      <c r="BT2591" s="145"/>
      <c r="BU2591" s="145"/>
      <c r="BV2591" s="145"/>
      <c r="BW2591" s="145"/>
      <c r="BX2591" s="145"/>
      <c r="BY2591" s="145"/>
      <c r="BZ2591" s="145"/>
      <c r="CA2591" s="145"/>
      <c r="CB2591" s="145"/>
      <c r="CC2591" s="145"/>
      <c r="CD2591" s="145"/>
      <c r="CE2591" s="145"/>
      <c r="CF2591" s="145"/>
      <c r="CG2591" s="145"/>
      <c r="CH2591" s="145"/>
      <c r="CI2591" s="145"/>
      <c r="CJ2591" s="145"/>
      <c r="CK2591" s="145"/>
      <c r="CL2591" s="145"/>
      <c r="CM2591" s="145"/>
      <c r="CN2591" s="145"/>
      <c r="CO2591" s="145"/>
      <c r="CP2591" s="145"/>
      <c r="CQ2591" s="145"/>
      <c r="CR2591" s="145"/>
      <c r="CS2591" s="145"/>
      <c r="CT2591" s="145"/>
      <c r="CU2591" s="145"/>
      <c r="CV2591" s="145"/>
      <c r="CW2591" s="145"/>
      <c r="CX2591" s="145"/>
      <c r="CY2591" s="145"/>
      <c r="CZ2591" s="145"/>
      <c r="DA2591" s="145"/>
      <c r="DB2591" s="145"/>
      <c r="DC2591" s="145"/>
      <c r="DD2591" s="145"/>
      <c r="DE2591" s="145"/>
      <c r="DF2591" s="145"/>
      <c r="DG2591" s="145"/>
      <c r="DH2591" s="145"/>
      <c r="DI2591" s="145"/>
      <c r="DJ2591" s="145"/>
      <c r="DK2591" s="145"/>
      <c r="DL2591" s="145"/>
      <c r="DM2591" s="145"/>
      <c r="DN2591" s="145"/>
      <c r="DO2591" s="145"/>
      <c r="DP2591" s="145"/>
      <c r="DQ2591" s="145"/>
      <c r="DR2591" s="145"/>
      <c r="DS2591" s="145"/>
      <c r="DT2591" s="145"/>
      <c r="DU2591" s="145"/>
      <c r="DV2591" s="145"/>
      <c r="DW2591" s="145"/>
      <c r="DX2591" s="145"/>
      <c r="DY2591" s="145"/>
      <c r="DZ2591" s="145"/>
      <c r="EA2591" s="145"/>
      <c r="EB2591" s="145"/>
      <c r="EC2591" s="145"/>
      <c r="ED2591" s="145"/>
      <c r="EE2591" s="145"/>
      <c r="EF2591" s="145"/>
      <c r="EG2591" s="145"/>
      <c r="EH2591" s="145"/>
      <c r="EI2591" s="145"/>
      <c r="EJ2591" s="145"/>
      <c r="EK2591" s="145"/>
      <c r="EL2591" s="145"/>
      <c r="EM2591" s="145"/>
      <c r="EN2591" s="145"/>
      <c r="EO2591" s="145"/>
      <c r="EP2591" s="145"/>
      <c r="EQ2591" s="145"/>
      <c r="ER2591" s="145"/>
      <c r="ES2591" s="145"/>
      <c r="ET2591" s="145"/>
      <c r="EU2591" s="145"/>
      <c r="EV2591" s="145"/>
      <c r="EW2591" s="145"/>
      <c r="EX2591" s="145"/>
      <c r="EY2591" s="145"/>
      <c r="EZ2591" s="145"/>
      <c r="FA2591" s="145"/>
      <c r="FB2591" s="145"/>
      <c r="FC2591" s="145"/>
      <c r="FD2591" s="145"/>
      <c r="FE2591" s="145"/>
      <c r="FF2591" s="145"/>
      <c r="FG2591" s="145"/>
      <c r="FH2591" s="145"/>
      <c r="FI2591" s="145"/>
      <c r="FJ2591" s="145"/>
      <c r="FK2591" s="145"/>
      <c r="FL2591" s="145"/>
      <c r="FM2591" s="145"/>
      <c r="FN2591" s="145"/>
      <c r="FO2591" s="145"/>
      <c r="FP2591" s="145"/>
      <c r="FQ2591" s="145"/>
      <c r="FR2591" s="145"/>
      <c r="FS2591" s="145"/>
      <c r="FT2591" s="145"/>
      <c r="FU2591" s="145"/>
      <c r="FV2591" s="145"/>
      <c r="FW2591" s="145"/>
      <c r="FX2591" s="145"/>
      <c r="FY2591" s="145"/>
      <c r="FZ2591" s="145"/>
      <c r="GA2591" s="145"/>
      <c r="GB2591" s="145"/>
      <c r="GC2591" s="145"/>
      <c r="GD2591" s="145"/>
      <c r="GE2591" s="145"/>
      <c r="GF2591" s="145"/>
      <c r="GG2591" s="145"/>
      <c r="GH2591" s="145"/>
      <c r="GI2591" s="145"/>
      <c r="GJ2591" s="145"/>
      <c r="GK2591" s="145"/>
      <c r="GL2591" s="145"/>
      <c r="GM2591" s="145"/>
      <c r="GN2591" s="145"/>
      <c r="GO2591" s="145"/>
      <c r="GP2591" s="145"/>
      <c r="GQ2591" s="145"/>
      <c r="GR2591" s="145"/>
      <c r="GS2591" s="145"/>
      <c r="GT2591" s="145"/>
      <c r="GU2591" s="145"/>
      <c r="GV2591" s="145"/>
      <c r="GW2591" s="145"/>
      <c r="GX2591" s="145"/>
      <c r="GY2591" s="145"/>
      <c r="GZ2591" s="145"/>
      <c r="HA2591" s="145"/>
      <c r="HB2591" s="145"/>
      <c r="HC2591" s="145"/>
      <c r="HD2591" s="145"/>
      <c r="HE2591" s="145"/>
      <c r="HF2591" s="145"/>
      <c r="HG2591" s="145"/>
    </row>
    <row r="2592" spans="1:215" x14ac:dyDescent="0.35">
      <c r="A2592" s="270">
        <v>1</v>
      </c>
      <c r="B2592" s="270">
        <v>4886</v>
      </c>
      <c r="C2592" s="278" t="s">
        <v>456</v>
      </c>
      <c r="D2592" s="273">
        <v>482.1</v>
      </c>
      <c r="E2592" s="282" t="s">
        <v>74</v>
      </c>
      <c r="F2592" s="282">
        <v>2</v>
      </c>
      <c r="G2592" s="270" t="s">
        <v>71</v>
      </c>
      <c r="H2592" s="136" t="s">
        <v>672</v>
      </c>
      <c r="I2592" s="181">
        <f>I2593+I2594</f>
        <v>3616356.79</v>
      </c>
      <c r="J2592" s="181">
        <f>J2593+J2594</f>
        <v>7501.26</v>
      </c>
      <c r="K2592" s="181">
        <f>K2593+K2594</f>
        <v>7539</v>
      </c>
      <c r="L2592" s="145"/>
      <c r="M2592" s="145"/>
      <c r="N2592" s="145"/>
      <c r="O2592" s="145"/>
      <c r="P2592" s="145"/>
      <c r="Q2592" s="145"/>
      <c r="R2592" s="145"/>
      <c r="S2592" s="145"/>
      <c r="T2592" s="145"/>
      <c r="U2592" s="145"/>
      <c r="V2592" s="145"/>
      <c r="W2592" s="145"/>
      <c r="X2592" s="145"/>
      <c r="Y2592" s="145"/>
      <c r="Z2592" s="145"/>
      <c r="AA2592" s="145"/>
      <c r="AB2592" s="145"/>
      <c r="AC2592" s="145"/>
      <c r="AD2592" s="145"/>
      <c r="AE2592" s="145"/>
      <c r="AF2592" s="145"/>
      <c r="AG2592" s="145"/>
      <c r="AH2592" s="145"/>
      <c r="AI2592" s="145"/>
      <c r="AJ2592" s="145"/>
      <c r="AK2592" s="145"/>
      <c r="AL2592" s="145"/>
      <c r="AM2592" s="145"/>
      <c r="AN2592" s="145"/>
      <c r="AO2592" s="145"/>
      <c r="AP2592" s="145"/>
      <c r="AQ2592" s="145"/>
      <c r="AR2592" s="145"/>
      <c r="AS2592" s="145"/>
      <c r="AT2592" s="145"/>
      <c r="AU2592" s="145"/>
      <c r="AV2592" s="145"/>
      <c r="AW2592" s="145"/>
      <c r="AX2592" s="145"/>
      <c r="AY2592" s="145"/>
      <c r="AZ2592" s="145"/>
      <c r="BA2592" s="145"/>
      <c r="BB2592" s="145"/>
      <c r="BC2592" s="145"/>
      <c r="BD2592" s="145"/>
      <c r="BE2592" s="145"/>
      <c r="BF2592" s="145"/>
      <c r="BG2592" s="145"/>
      <c r="BH2592" s="145"/>
      <c r="BI2592" s="145"/>
      <c r="BJ2592" s="145"/>
      <c r="BK2592" s="145"/>
      <c r="BL2592" s="145"/>
      <c r="BM2592" s="145"/>
      <c r="BN2592" s="145"/>
      <c r="BO2592" s="145"/>
      <c r="BP2592" s="145"/>
      <c r="BQ2592" s="145"/>
      <c r="BR2592" s="145"/>
      <c r="BS2592" s="145"/>
      <c r="BT2592" s="145"/>
      <c r="BU2592" s="145"/>
      <c r="BV2592" s="145"/>
      <c r="BW2592" s="145"/>
      <c r="BX2592" s="145"/>
      <c r="BY2592" s="145"/>
      <c r="BZ2592" s="145"/>
      <c r="CA2592" s="145"/>
      <c r="CB2592" s="145"/>
      <c r="CC2592" s="145"/>
      <c r="CD2592" s="145"/>
      <c r="CE2592" s="145"/>
      <c r="CF2592" s="145"/>
      <c r="CG2592" s="145"/>
      <c r="CH2592" s="145"/>
      <c r="CI2592" s="145"/>
      <c r="CJ2592" s="145"/>
      <c r="CK2592" s="145"/>
      <c r="CL2592" s="145"/>
      <c r="CM2592" s="145"/>
      <c r="CN2592" s="145"/>
      <c r="CO2592" s="145"/>
      <c r="CP2592" s="145"/>
      <c r="CQ2592" s="145"/>
      <c r="CR2592" s="145"/>
      <c r="CS2592" s="145"/>
      <c r="CT2592" s="145"/>
      <c r="CU2592" s="145"/>
      <c r="CV2592" s="145"/>
      <c r="CW2592" s="145"/>
      <c r="CX2592" s="145"/>
      <c r="CY2592" s="145"/>
      <c r="CZ2592" s="145"/>
      <c r="DA2592" s="145"/>
      <c r="DB2592" s="145"/>
      <c r="DC2592" s="145"/>
      <c r="DD2592" s="145"/>
      <c r="DE2592" s="145"/>
      <c r="DF2592" s="145"/>
      <c r="DG2592" s="145"/>
      <c r="DH2592" s="145"/>
      <c r="DI2592" s="145"/>
      <c r="DJ2592" s="145"/>
      <c r="DK2592" s="145"/>
      <c r="DL2592" s="145"/>
      <c r="DM2592" s="145"/>
      <c r="DN2592" s="145"/>
      <c r="DO2592" s="145"/>
      <c r="DP2592" s="145"/>
      <c r="DQ2592" s="145"/>
      <c r="DR2592" s="145"/>
      <c r="DS2592" s="145"/>
      <c r="DT2592" s="145"/>
      <c r="DU2592" s="145"/>
      <c r="DV2592" s="145"/>
      <c r="DW2592" s="145"/>
      <c r="DX2592" s="145"/>
      <c r="DY2592" s="145"/>
      <c r="DZ2592" s="145"/>
      <c r="EA2592" s="145"/>
      <c r="EB2592" s="145"/>
      <c r="EC2592" s="145"/>
      <c r="ED2592" s="145"/>
      <c r="EE2592" s="145"/>
      <c r="EF2592" s="145"/>
      <c r="EG2592" s="145"/>
      <c r="EH2592" s="145"/>
      <c r="EI2592" s="145"/>
      <c r="EJ2592" s="145"/>
      <c r="EK2592" s="145"/>
      <c r="EL2592" s="145"/>
      <c r="EM2592" s="145"/>
      <c r="EN2592" s="145"/>
      <c r="EO2592" s="145"/>
      <c r="EP2592" s="145"/>
      <c r="EQ2592" s="145"/>
      <c r="ER2592" s="145"/>
      <c r="ES2592" s="145"/>
      <c r="ET2592" s="145"/>
      <c r="EU2592" s="145"/>
      <c r="EV2592" s="145"/>
      <c r="EW2592" s="145"/>
      <c r="EX2592" s="145"/>
      <c r="EY2592" s="145"/>
      <c r="EZ2592" s="145"/>
      <c r="FA2592" s="145"/>
      <c r="FB2592" s="145"/>
      <c r="FC2592" s="145"/>
      <c r="FD2592" s="145"/>
      <c r="FE2592" s="145"/>
      <c r="FF2592" s="145"/>
      <c r="FG2592" s="145"/>
      <c r="FH2592" s="145"/>
      <c r="FI2592" s="145"/>
      <c r="FJ2592" s="145"/>
      <c r="FK2592" s="145"/>
      <c r="FL2592" s="145"/>
      <c r="FM2592" s="145"/>
      <c r="FN2592" s="145"/>
      <c r="FO2592" s="145"/>
      <c r="FP2592" s="145"/>
      <c r="FQ2592" s="145"/>
      <c r="FR2592" s="145"/>
      <c r="FS2592" s="145"/>
      <c r="FT2592" s="145"/>
      <c r="FU2592" s="145"/>
      <c r="FV2592" s="145"/>
      <c r="FW2592" s="145"/>
      <c r="FX2592" s="145"/>
      <c r="FY2592" s="145"/>
      <c r="FZ2592" s="145"/>
      <c r="GA2592" s="145"/>
      <c r="GB2592" s="145"/>
      <c r="GC2592" s="145"/>
      <c r="GD2592" s="145"/>
      <c r="GE2592" s="145"/>
      <c r="GF2592" s="145"/>
      <c r="GG2592" s="145"/>
      <c r="GH2592" s="145"/>
      <c r="GI2592" s="145"/>
      <c r="GJ2592" s="145"/>
      <c r="GK2592" s="145"/>
      <c r="GL2592" s="145"/>
      <c r="GM2592" s="145"/>
      <c r="GN2592" s="145"/>
      <c r="GO2592" s="145"/>
      <c r="GP2592" s="145"/>
      <c r="GQ2592" s="145"/>
      <c r="GR2592" s="145"/>
      <c r="GS2592" s="145"/>
      <c r="GT2592" s="145"/>
      <c r="GU2592" s="145"/>
      <c r="GV2592" s="145"/>
      <c r="GW2592" s="145"/>
      <c r="GX2592" s="145"/>
      <c r="GY2592" s="145"/>
      <c r="GZ2592" s="145"/>
      <c r="HA2592" s="145"/>
      <c r="HB2592" s="145"/>
      <c r="HC2592" s="145"/>
      <c r="HD2592" s="145"/>
      <c r="HE2592" s="145"/>
      <c r="HF2592" s="145"/>
      <c r="HG2592" s="145"/>
    </row>
    <row r="2593" spans="1:215" x14ac:dyDescent="0.35">
      <c r="A2593" s="271">
        <v>2457.6666666666702</v>
      </c>
      <c r="B2593" s="271"/>
      <c r="C2593" s="279"/>
      <c r="D2593" s="274"/>
      <c r="E2593" s="283"/>
      <c r="F2593" s="283"/>
      <c r="G2593" s="271"/>
      <c r="H2593" s="136" t="s">
        <v>73</v>
      </c>
      <c r="I2593" s="181">
        <v>3540588.2</v>
      </c>
      <c r="J2593" s="181">
        <f>I2593/D2592</f>
        <v>7344.1</v>
      </c>
      <c r="K2593" s="181">
        <v>7381</v>
      </c>
      <c r="L2593" s="145"/>
      <c r="M2593" s="145"/>
      <c r="N2593" s="145"/>
      <c r="O2593" s="145"/>
      <c r="P2593" s="145"/>
      <c r="Q2593" s="145"/>
      <c r="R2593" s="145"/>
      <c r="S2593" s="145"/>
      <c r="T2593" s="145"/>
      <c r="U2593" s="145"/>
      <c r="V2593" s="145"/>
      <c r="W2593" s="145"/>
      <c r="X2593" s="145"/>
      <c r="Y2593" s="145"/>
      <c r="Z2593" s="145"/>
      <c r="AA2593" s="145"/>
      <c r="AB2593" s="145"/>
      <c r="AC2593" s="145"/>
      <c r="AD2593" s="145"/>
      <c r="AE2593" s="145"/>
      <c r="AF2593" s="145"/>
      <c r="AG2593" s="145"/>
      <c r="AH2593" s="145"/>
      <c r="AI2593" s="145"/>
      <c r="AJ2593" s="145"/>
      <c r="AK2593" s="145"/>
      <c r="AL2593" s="145"/>
      <c r="AM2593" s="145"/>
      <c r="AN2593" s="145"/>
      <c r="AO2593" s="145"/>
      <c r="AP2593" s="145"/>
      <c r="AQ2593" s="145"/>
      <c r="AR2593" s="145"/>
      <c r="AS2593" s="145"/>
      <c r="AT2593" s="145"/>
      <c r="AU2593" s="145"/>
      <c r="AV2593" s="145"/>
      <c r="AW2593" s="145"/>
      <c r="AX2593" s="145"/>
      <c r="AY2593" s="145"/>
      <c r="AZ2593" s="145"/>
      <c r="BA2593" s="145"/>
      <c r="BB2593" s="145"/>
      <c r="BC2593" s="145"/>
      <c r="BD2593" s="145"/>
      <c r="BE2593" s="145"/>
      <c r="BF2593" s="145"/>
      <c r="BG2593" s="145"/>
      <c r="BH2593" s="145"/>
      <c r="BI2593" s="145"/>
      <c r="BJ2593" s="145"/>
      <c r="BK2593" s="145"/>
      <c r="BL2593" s="145"/>
      <c r="BM2593" s="145"/>
      <c r="BN2593" s="145"/>
      <c r="BO2593" s="145"/>
      <c r="BP2593" s="145"/>
      <c r="BQ2593" s="145"/>
      <c r="BR2593" s="145"/>
      <c r="BS2593" s="145"/>
      <c r="BT2593" s="145"/>
      <c r="BU2593" s="145"/>
      <c r="BV2593" s="145"/>
      <c r="BW2593" s="145"/>
      <c r="BX2593" s="145"/>
      <c r="BY2593" s="145"/>
      <c r="BZ2593" s="145"/>
      <c r="CA2593" s="145"/>
      <c r="CB2593" s="145"/>
      <c r="CC2593" s="145"/>
      <c r="CD2593" s="145"/>
      <c r="CE2593" s="145"/>
      <c r="CF2593" s="145"/>
      <c r="CG2593" s="145"/>
      <c r="CH2593" s="145"/>
      <c r="CI2593" s="145"/>
      <c r="CJ2593" s="145"/>
      <c r="CK2593" s="145"/>
      <c r="CL2593" s="145"/>
      <c r="CM2593" s="145"/>
      <c r="CN2593" s="145"/>
      <c r="CO2593" s="145"/>
      <c r="CP2593" s="145"/>
      <c r="CQ2593" s="145"/>
      <c r="CR2593" s="145"/>
      <c r="CS2593" s="145"/>
      <c r="CT2593" s="145"/>
      <c r="CU2593" s="145"/>
      <c r="CV2593" s="145"/>
      <c r="CW2593" s="145"/>
      <c r="CX2593" s="145"/>
      <c r="CY2593" s="145"/>
      <c r="CZ2593" s="145"/>
      <c r="DA2593" s="145"/>
      <c r="DB2593" s="145"/>
      <c r="DC2593" s="145"/>
      <c r="DD2593" s="145"/>
      <c r="DE2593" s="145"/>
      <c r="DF2593" s="145"/>
      <c r="DG2593" s="145"/>
      <c r="DH2593" s="145"/>
      <c r="DI2593" s="145"/>
      <c r="DJ2593" s="145"/>
      <c r="DK2593" s="145"/>
      <c r="DL2593" s="145"/>
      <c r="DM2593" s="145"/>
      <c r="DN2593" s="145"/>
      <c r="DO2593" s="145"/>
      <c r="DP2593" s="145"/>
      <c r="DQ2593" s="145"/>
      <c r="DR2593" s="145"/>
      <c r="DS2593" s="145"/>
      <c r="DT2593" s="145"/>
      <c r="DU2593" s="145"/>
      <c r="DV2593" s="145"/>
      <c r="DW2593" s="145"/>
      <c r="DX2593" s="145"/>
      <c r="DY2593" s="145"/>
      <c r="DZ2593" s="145"/>
      <c r="EA2593" s="145"/>
      <c r="EB2593" s="145"/>
      <c r="EC2593" s="145"/>
      <c r="ED2593" s="145"/>
      <c r="EE2593" s="145"/>
      <c r="EF2593" s="145"/>
      <c r="EG2593" s="145"/>
      <c r="EH2593" s="145"/>
      <c r="EI2593" s="145"/>
      <c r="EJ2593" s="145"/>
      <c r="EK2593" s="145"/>
      <c r="EL2593" s="145"/>
      <c r="EM2593" s="145"/>
      <c r="EN2593" s="145"/>
      <c r="EO2593" s="145"/>
      <c r="EP2593" s="145"/>
      <c r="EQ2593" s="145"/>
      <c r="ER2593" s="145"/>
      <c r="ES2593" s="145"/>
      <c r="ET2593" s="145"/>
      <c r="EU2593" s="145"/>
      <c r="EV2593" s="145"/>
      <c r="EW2593" s="145"/>
      <c r="EX2593" s="145"/>
      <c r="EY2593" s="145"/>
      <c r="EZ2593" s="145"/>
      <c r="FA2593" s="145"/>
      <c r="FB2593" s="145"/>
      <c r="FC2593" s="145"/>
      <c r="FD2593" s="145"/>
      <c r="FE2593" s="145"/>
      <c r="FF2593" s="145"/>
      <c r="FG2593" s="145"/>
      <c r="FH2593" s="145"/>
      <c r="FI2593" s="145"/>
      <c r="FJ2593" s="145"/>
      <c r="FK2593" s="145"/>
      <c r="FL2593" s="145"/>
      <c r="FM2593" s="145"/>
      <c r="FN2593" s="145"/>
      <c r="FO2593" s="145"/>
      <c r="FP2593" s="145"/>
      <c r="FQ2593" s="145"/>
      <c r="FR2593" s="145"/>
      <c r="FS2593" s="145"/>
      <c r="FT2593" s="145"/>
      <c r="FU2593" s="145"/>
      <c r="FV2593" s="145"/>
      <c r="FW2593" s="145"/>
      <c r="FX2593" s="145"/>
      <c r="FY2593" s="145"/>
      <c r="FZ2593" s="145"/>
      <c r="GA2593" s="145"/>
      <c r="GB2593" s="145"/>
      <c r="GC2593" s="145"/>
      <c r="GD2593" s="145"/>
      <c r="GE2593" s="145"/>
      <c r="GF2593" s="145"/>
      <c r="GG2593" s="145"/>
      <c r="GH2593" s="145"/>
      <c r="GI2593" s="145"/>
      <c r="GJ2593" s="145"/>
      <c r="GK2593" s="145"/>
      <c r="GL2593" s="145"/>
      <c r="GM2593" s="145"/>
      <c r="GN2593" s="145"/>
      <c r="GO2593" s="145"/>
      <c r="GP2593" s="145"/>
      <c r="GQ2593" s="145"/>
      <c r="GR2593" s="145"/>
      <c r="GS2593" s="145"/>
      <c r="GT2593" s="145"/>
      <c r="GU2593" s="145"/>
      <c r="GV2593" s="145"/>
      <c r="GW2593" s="145"/>
      <c r="GX2593" s="145"/>
      <c r="GY2593" s="145"/>
      <c r="GZ2593" s="145"/>
      <c r="HA2593" s="145"/>
      <c r="HB2593" s="145"/>
      <c r="HC2593" s="145"/>
      <c r="HD2593" s="145"/>
      <c r="HE2593" s="145"/>
      <c r="HF2593" s="145"/>
      <c r="HG2593" s="145"/>
    </row>
    <row r="2594" spans="1:215" x14ac:dyDescent="0.35">
      <c r="A2594" s="272">
        <v>3024.6666666666702</v>
      </c>
      <c r="B2594" s="272"/>
      <c r="C2594" s="285"/>
      <c r="D2594" s="275"/>
      <c r="E2594" s="284"/>
      <c r="F2594" s="284"/>
      <c r="G2594" s="272"/>
      <c r="H2594" s="136" t="s">
        <v>75</v>
      </c>
      <c r="I2594" s="181">
        <f>I2593*0.0214</f>
        <v>75768.59</v>
      </c>
      <c r="J2594" s="181">
        <f>I2594/D2592</f>
        <v>157.16</v>
      </c>
      <c r="K2594" s="181">
        <v>158</v>
      </c>
      <c r="L2594" s="145"/>
      <c r="M2594" s="145"/>
      <c r="N2594" s="145"/>
      <c r="O2594" s="145"/>
      <c r="P2594" s="145"/>
      <c r="Q2594" s="145"/>
      <c r="R2594" s="145"/>
      <c r="S2594" s="145"/>
      <c r="T2594" s="145"/>
      <c r="U2594" s="145"/>
      <c r="V2594" s="145"/>
      <c r="W2594" s="145"/>
      <c r="X2594" s="145"/>
      <c r="Y2594" s="145"/>
      <c r="Z2594" s="145"/>
      <c r="AA2594" s="145"/>
      <c r="AB2594" s="145"/>
      <c r="AC2594" s="145"/>
      <c r="AD2594" s="145"/>
      <c r="AE2594" s="145"/>
      <c r="AF2594" s="145"/>
      <c r="AG2594" s="145"/>
      <c r="AH2594" s="145"/>
      <c r="AI2594" s="145"/>
      <c r="AJ2594" s="145"/>
      <c r="AK2594" s="145"/>
      <c r="AL2594" s="145"/>
      <c r="AM2594" s="145"/>
      <c r="AN2594" s="145"/>
      <c r="AO2594" s="145"/>
      <c r="AP2594" s="145"/>
      <c r="AQ2594" s="145"/>
      <c r="AR2594" s="145"/>
      <c r="AS2594" s="145"/>
      <c r="AT2594" s="145"/>
      <c r="AU2594" s="145"/>
      <c r="AV2594" s="145"/>
      <c r="AW2594" s="145"/>
      <c r="AX2594" s="145"/>
      <c r="AY2594" s="145"/>
      <c r="AZ2594" s="145"/>
      <c r="BA2594" s="145"/>
      <c r="BB2594" s="145"/>
      <c r="BC2594" s="145"/>
      <c r="BD2594" s="145"/>
      <c r="BE2594" s="145"/>
      <c r="BF2594" s="145"/>
      <c r="BG2594" s="145"/>
      <c r="BH2594" s="145"/>
      <c r="BI2594" s="145"/>
      <c r="BJ2594" s="145"/>
      <c r="BK2594" s="145"/>
      <c r="BL2594" s="145"/>
      <c r="BM2594" s="145"/>
      <c r="BN2594" s="145"/>
      <c r="BO2594" s="145"/>
      <c r="BP2594" s="145"/>
      <c r="BQ2594" s="145"/>
      <c r="BR2594" s="145"/>
      <c r="BS2594" s="145"/>
      <c r="BT2594" s="145"/>
      <c r="BU2594" s="145"/>
      <c r="BV2594" s="145"/>
      <c r="BW2594" s="145"/>
      <c r="BX2594" s="145"/>
      <c r="BY2594" s="145"/>
      <c r="BZ2594" s="145"/>
      <c r="CA2594" s="145"/>
      <c r="CB2594" s="145"/>
      <c r="CC2594" s="145"/>
      <c r="CD2594" s="145"/>
      <c r="CE2594" s="145"/>
      <c r="CF2594" s="145"/>
      <c r="CG2594" s="145"/>
      <c r="CH2594" s="145"/>
      <c r="CI2594" s="145"/>
      <c r="CJ2594" s="145"/>
      <c r="CK2594" s="145"/>
      <c r="CL2594" s="145"/>
      <c r="CM2594" s="145"/>
      <c r="CN2594" s="145"/>
      <c r="CO2594" s="145"/>
      <c r="CP2594" s="145"/>
      <c r="CQ2594" s="145"/>
      <c r="CR2594" s="145"/>
      <c r="CS2594" s="145"/>
      <c r="CT2594" s="145"/>
      <c r="CU2594" s="145"/>
      <c r="CV2594" s="145"/>
      <c r="CW2594" s="145"/>
      <c r="CX2594" s="145"/>
      <c r="CY2594" s="145"/>
      <c r="CZ2594" s="145"/>
      <c r="DA2594" s="145"/>
      <c r="DB2594" s="145"/>
      <c r="DC2594" s="145"/>
      <c r="DD2594" s="145"/>
      <c r="DE2594" s="145"/>
      <c r="DF2594" s="145"/>
      <c r="DG2594" s="145"/>
      <c r="DH2594" s="145"/>
      <c r="DI2594" s="145"/>
      <c r="DJ2594" s="145"/>
      <c r="DK2594" s="145"/>
      <c r="DL2594" s="145"/>
      <c r="DM2594" s="145"/>
      <c r="DN2594" s="145"/>
      <c r="DO2594" s="145"/>
      <c r="DP2594" s="145"/>
      <c r="DQ2594" s="145"/>
      <c r="DR2594" s="145"/>
      <c r="DS2594" s="145"/>
      <c r="DT2594" s="145"/>
      <c r="DU2594" s="145"/>
      <c r="DV2594" s="145"/>
      <c r="DW2594" s="145"/>
      <c r="DX2594" s="145"/>
      <c r="DY2594" s="145"/>
      <c r="DZ2594" s="145"/>
      <c r="EA2594" s="145"/>
      <c r="EB2594" s="145"/>
      <c r="EC2594" s="145"/>
      <c r="ED2594" s="145"/>
      <c r="EE2594" s="145"/>
      <c r="EF2594" s="145"/>
      <c r="EG2594" s="145"/>
      <c r="EH2594" s="145"/>
      <c r="EI2594" s="145"/>
      <c r="EJ2594" s="145"/>
      <c r="EK2594" s="145"/>
      <c r="EL2594" s="145"/>
      <c r="EM2594" s="145"/>
      <c r="EN2594" s="145"/>
      <c r="EO2594" s="145"/>
      <c r="EP2594" s="145"/>
      <c r="EQ2594" s="145"/>
      <c r="ER2594" s="145"/>
      <c r="ES2594" s="145"/>
      <c r="ET2594" s="145"/>
      <c r="EU2594" s="145"/>
      <c r="EV2594" s="145"/>
      <c r="EW2594" s="145"/>
      <c r="EX2594" s="145"/>
      <c r="EY2594" s="145"/>
      <c r="EZ2594" s="145"/>
      <c r="FA2594" s="145"/>
      <c r="FB2594" s="145"/>
      <c r="FC2594" s="145"/>
      <c r="FD2594" s="145"/>
      <c r="FE2594" s="145"/>
      <c r="FF2594" s="145"/>
      <c r="FG2594" s="145"/>
      <c r="FH2594" s="145"/>
      <c r="FI2594" s="145"/>
      <c r="FJ2594" s="145"/>
      <c r="FK2594" s="145"/>
      <c r="FL2594" s="145"/>
      <c r="FM2594" s="145"/>
      <c r="FN2594" s="145"/>
      <c r="FO2594" s="145"/>
      <c r="FP2594" s="145"/>
      <c r="FQ2594" s="145"/>
      <c r="FR2594" s="145"/>
      <c r="FS2594" s="145"/>
      <c r="FT2594" s="145"/>
      <c r="FU2594" s="145"/>
      <c r="FV2594" s="145"/>
      <c r="FW2594" s="145"/>
      <c r="FX2594" s="145"/>
      <c r="FY2594" s="145"/>
      <c r="FZ2594" s="145"/>
      <c r="GA2594" s="145"/>
      <c r="GB2594" s="145"/>
      <c r="GC2594" s="145"/>
      <c r="GD2594" s="145"/>
      <c r="GE2594" s="145"/>
      <c r="GF2594" s="145"/>
      <c r="GG2594" s="145"/>
      <c r="GH2594" s="145"/>
      <c r="GI2594" s="145"/>
      <c r="GJ2594" s="145"/>
      <c r="GK2594" s="145"/>
      <c r="GL2594" s="145"/>
      <c r="GM2594" s="145"/>
      <c r="GN2594" s="145"/>
      <c r="GO2594" s="145"/>
      <c r="GP2594" s="145"/>
      <c r="GQ2594" s="145"/>
      <c r="GR2594" s="145"/>
      <c r="GS2594" s="145"/>
      <c r="GT2594" s="145"/>
      <c r="GU2594" s="145"/>
      <c r="GV2594" s="145"/>
      <c r="GW2594" s="145"/>
      <c r="GX2594" s="145"/>
      <c r="GY2594" s="145"/>
      <c r="GZ2594" s="145"/>
      <c r="HA2594" s="145"/>
      <c r="HB2594" s="145"/>
      <c r="HC2594" s="145"/>
      <c r="HD2594" s="145"/>
      <c r="HE2594" s="145"/>
      <c r="HF2594" s="145"/>
      <c r="HG2594" s="145"/>
    </row>
    <row r="2595" spans="1:215" x14ac:dyDescent="0.35">
      <c r="A2595" s="168" t="s">
        <v>42</v>
      </c>
      <c r="B2595" s="168"/>
      <c r="C2595" s="170"/>
      <c r="D2595" s="181">
        <f>D2596+D2598+D2601</f>
        <v>1211.3</v>
      </c>
      <c r="E2595" s="174"/>
      <c r="F2595" s="174"/>
      <c r="G2595" s="198"/>
      <c r="H2595" s="198"/>
      <c r="I2595" s="181">
        <f>I2598+I2596+I2601</f>
        <v>2592383.77</v>
      </c>
      <c r="J2595" s="181"/>
      <c r="K2595" s="181"/>
      <c r="L2595" s="145"/>
      <c r="M2595" s="145"/>
      <c r="N2595" s="145"/>
      <c r="O2595" s="145"/>
      <c r="P2595" s="145"/>
      <c r="Q2595" s="145"/>
      <c r="R2595" s="145"/>
      <c r="S2595" s="145"/>
      <c r="T2595" s="145"/>
      <c r="U2595" s="145"/>
      <c r="V2595" s="145"/>
      <c r="W2595" s="145"/>
      <c r="X2595" s="145"/>
      <c r="Y2595" s="145"/>
      <c r="Z2595" s="145"/>
      <c r="AA2595" s="145"/>
      <c r="AB2595" s="145"/>
      <c r="AC2595" s="145"/>
      <c r="AD2595" s="145"/>
      <c r="AE2595" s="145"/>
      <c r="AF2595" s="145"/>
      <c r="AG2595" s="145"/>
      <c r="AH2595" s="145"/>
      <c r="AI2595" s="145"/>
      <c r="AJ2595" s="145"/>
      <c r="AK2595" s="145"/>
      <c r="AL2595" s="145"/>
      <c r="AM2595" s="145"/>
      <c r="AN2595" s="145"/>
      <c r="AO2595" s="145"/>
      <c r="AP2595" s="145"/>
      <c r="AQ2595" s="145"/>
      <c r="AR2595" s="145"/>
      <c r="AS2595" s="145"/>
      <c r="AT2595" s="145"/>
      <c r="AU2595" s="145"/>
      <c r="AV2595" s="145"/>
      <c r="AW2595" s="145"/>
      <c r="AX2595" s="145"/>
      <c r="AY2595" s="145"/>
      <c r="AZ2595" s="145"/>
      <c r="BA2595" s="145"/>
      <c r="BB2595" s="145"/>
      <c r="BC2595" s="145"/>
      <c r="BD2595" s="145"/>
      <c r="BE2595" s="145"/>
      <c r="BF2595" s="145"/>
      <c r="BG2595" s="145"/>
      <c r="BH2595" s="145"/>
      <c r="BI2595" s="145"/>
      <c r="BJ2595" s="145"/>
      <c r="BK2595" s="145"/>
      <c r="BL2595" s="145"/>
      <c r="BM2595" s="145"/>
      <c r="BN2595" s="145"/>
      <c r="BO2595" s="145"/>
      <c r="BP2595" s="145"/>
      <c r="BQ2595" s="145"/>
      <c r="BR2595" s="145"/>
      <c r="BS2595" s="145"/>
      <c r="BT2595" s="145"/>
      <c r="BU2595" s="145"/>
      <c r="BV2595" s="145"/>
      <c r="BW2595" s="145"/>
      <c r="BX2595" s="145"/>
      <c r="BY2595" s="145"/>
      <c r="BZ2595" s="145"/>
      <c r="CA2595" s="145"/>
      <c r="CB2595" s="145"/>
      <c r="CC2595" s="145"/>
      <c r="CD2595" s="145"/>
      <c r="CE2595" s="145"/>
      <c r="CF2595" s="145"/>
      <c r="CG2595" s="145"/>
      <c r="CH2595" s="145"/>
      <c r="CI2595" s="145"/>
      <c r="CJ2595" s="145"/>
      <c r="CK2595" s="145"/>
      <c r="CL2595" s="145"/>
      <c r="CM2595" s="145"/>
      <c r="CN2595" s="145"/>
      <c r="CO2595" s="145"/>
      <c r="CP2595" s="145"/>
      <c r="CQ2595" s="145"/>
      <c r="CR2595" s="145"/>
      <c r="CS2595" s="145"/>
      <c r="CT2595" s="145"/>
      <c r="CU2595" s="145"/>
      <c r="CV2595" s="145"/>
      <c r="CW2595" s="145"/>
      <c r="CX2595" s="145"/>
      <c r="CY2595" s="145"/>
      <c r="CZ2595" s="145"/>
      <c r="DA2595" s="145"/>
      <c r="DB2595" s="145"/>
      <c r="DC2595" s="145"/>
      <c r="DD2595" s="145"/>
      <c r="DE2595" s="145"/>
      <c r="DF2595" s="145"/>
      <c r="DG2595" s="145"/>
      <c r="DH2595" s="145"/>
      <c r="DI2595" s="145"/>
      <c r="DJ2595" s="145"/>
      <c r="DK2595" s="145"/>
      <c r="DL2595" s="145"/>
      <c r="DM2595" s="145"/>
      <c r="DN2595" s="145"/>
      <c r="DO2595" s="145"/>
      <c r="DP2595" s="145"/>
      <c r="DQ2595" s="145"/>
      <c r="DR2595" s="145"/>
      <c r="DS2595" s="145"/>
      <c r="DT2595" s="145"/>
      <c r="DU2595" s="145"/>
      <c r="DV2595" s="145"/>
      <c r="DW2595" s="145"/>
      <c r="DX2595" s="145"/>
      <c r="DY2595" s="145"/>
      <c r="DZ2595" s="145"/>
      <c r="EA2595" s="145"/>
      <c r="EB2595" s="145"/>
      <c r="EC2595" s="145"/>
      <c r="ED2595" s="145"/>
      <c r="EE2595" s="145"/>
      <c r="EF2595" s="145"/>
      <c r="EG2595" s="145"/>
      <c r="EH2595" s="145"/>
      <c r="EI2595" s="145"/>
      <c r="EJ2595" s="145"/>
      <c r="EK2595" s="145"/>
      <c r="EL2595" s="145"/>
      <c r="EM2595" s="145"/>
      <c r="EN2595" s="145"/>
      <c r="EO2595" s="145"/>
      <c r="EP2595" s="145"/>
      <c r="EQ2595" s="145"/>
      <c r="ER2595" s="145"/>
      <c r="ES2595" s="145"/>
      <c r="ET2595" s="145"/>
      <c r="EU2595" s="145"/>
      <c r="EV2595" s="145"/>
      <c r="EW2595" s="145"/>
      <c r="EX2595" s="145"/>
      <c r="EY2595" s="145"/>
      <c r="EZ2595" s="145"/>
      <c r="FA2595" s="145"/>
      <c r="FB2595" s="145"/>
      <c r="FC2595" s="145"/>
      <c r="FD2595" s="145"/>
      <c r="FE2595" s="145"/>
      <c r="FF2595" s="145"/>
      <c r="FG2595" s="145"/>
      <c r="FH2595" s="145"/>
      <c r="FI2595" s="145"/>
      <c r="FJ2595" s="145"/>
      <c r="FK2595" s="145"/>
      <c r="FL2595" s="145"/>
      <c r="FM2595" s="145"/>
      <c r="FN2595" s="145"/>
      <c r="FO2595" s="145"/>
      <c r="FP2595" s="145"/>
      <c r="FQ2595" s="145"/>
      <c r="FR2595" s="145"/>
      <c r="FS2595" s="145"/>
      <c r="FT2595" s="145"/>
      <c r="FU2595" s="145"/>
      <c r="FV2595" s="145"/>
      <c r="FW2595" s="145"/>
      <c r="FX2595" s="145"/>
      <c r="FY2595" s="145"/>
      <c r="FZ2595" s="145"/>
      <c r="GA2595" s="145"/>
      <c r="GB2595" s="145"/>
      <c r="GC2595" s="145"/>
      <c r="GD2595" s="145"/>
      <c r="GE2595" s="145"/>
      <c r="GF2595" s="145"/>
      <c r="GG2595" s="145"/>
      <c r="GH2595" s="145"/>
      <c r="GI2595" s="145"/>
      <c r="GJ2595" s="145"/>
      <c r="GK2595" s="145"/>
      <c r="GL2595" s="145"/>
      <c r="GM2595" s="145"/>
      <c r="GN2595" s="145"/>
      <c r="GO2595" s="145"/>
      <c r="GP2595" s="145"/>
      <c r="GQ2595" s="145"/>
      <c r="GR2595" s="145"/>
      <c r="GS2595" s="145"/>
      <c r="GT2595" s="145"/>
      <c r="GU2595" s="145"/>
      <c r="GV2595" s="145"/>
      <c r="GW2595" s="145"/>
      <c r="GX2595" s="145"/>
      <c r="GY2595" s="145"/>
      <c r="GZ2595" s="145"/>
      <c r="HA2595" s="145"/>
      <c r="HB2595" s="145"/>
      <c r="HC2595" s="145"/>
      <c r="HD2595" s="145"/>
      <c r="HE2595" s="145"/>
      <c r="HF2595" s="145"/>
      <c r="HG2595" s="145"/>
    </row>
    <row r="2596" spans="1:215" x14ac:dyDescent="0.35">
      <c r="A2596" s="270">
        <v>1</v>
      </c>
      <c r="B2596" s="278">
        <v>6812</v>
      </c>
      <c r="C2596" s="278" t="s">
        <v>609</v>
      </c>
      <c r="D2596" s="273">
        <v>411.9</v>
      </c>
      <c r="E2596" s="282" t="s">
        <v>633</v>
      </c>
      <c r="F2596" s="282">
        <v>2</v>
      </c>
      <c r="G2596" s="270" t="s">
        <v>71</v>
      </c>
      <c r="H2596" s="136" t="s">
        <v>72</v>
      </c>
      <c r="I2596" s="181">
        <f>I2597</f>
        <v>70800</v>
      </c>
      <c r="J2596" s="181">
        <f>J2597</f>
        <v>171.89</v>
      </c>
      <c r="K2596" s="181">
        <f>K2597</f>
        <v>259</v>
      </c>
      <c r="L2596" s="145"/>
      <c r="M2596" s="145"/>
      <c r="N2596" s="145"/>
      <c r="O2596" s="145"/>
      <c r="P2596" s="145"/>
      <c r="Q2596" s="145"/>
      <c r="R2596" s="145"/>
      <c r="S2596" s="145"/>
      <c r="T2596" s="145"/>
      <c r="U2596" s="145"/>
      <c r="V2596" s="145"/>
      <c r="W2596" s="145"/>
      <c r="X2596" s="145"/>
      <c r="Y2596" s="145"/>
      <c r="Z2596" s="145"/>
      <c r="AA2596" s="145"/>
      <c r="AB2596" s="145"/>
      <c r="AC2596" s="145"/>
      <c r="AD2596" s="145"/>
      <c r="AE2596" s="145"/>
      <c r="AF2596" s="145"/>
      <c r="AG2596" s="145"/>
      <c r="AH2596" s="145"/>
      <c r="AI2596" s="145"/>
      <c r="AJ2596" s="145"/>
      <c r="AK2596" s="145"/>
      <c r="AL2596" s="145"/>
      <c r="AM2596" s="145"/>
      <c r="AN2596" s="145"/>
      <c r="AO2596" s="145"/>
      <c r="AP2596" s="145"/>
      <c r="AQ2596" s="145"/>
      <c r="AR2596" s="145"/>
      <c r="AS2596" s="145"/>
      <c r="AT2596" s="145"/>
      <c r="AU2596" s="145"/>
      <c r="AV2596" s="145"/>
      <c r="AW2596" s="145"/>
      <c r="AX2596" s="145"/>
      <c r="AY2596" s="145"/>
      <c r="AZ2596" s="145"/>
      <c r="BA2596" s="145"/>
      <c r="BB2596" s="145"/>
      <c r="BC2596" s="145"/>
      <c r="BD2596" s="145"/>
      <c r="BE2596" s="145"/>
      <c r="BF2596" s="145"/>
      <c r="BG2596" s="145"/>
      <c r="BH2596" s="145"/>
      <c r="BI2596" s="145"/>
      <c r="BJ2596" s="145"/>
      <c r="BK2596" s="145"/>
      <c r="BL2596" s="145"/>
      <c r="BM2596" s="145"/>
      <c r="BN2596" s="145"/>
      <c r="BO2596" s="145"/>
      <c r="BP2596" s="145"/>
      <c r="BQ2596" s="145"/>
      <c r="BR2596" s="145"/>
      <c r="BS2596" s="145"/>
      <c r="BT2596" s="145"/>
      <c r="BU2596" s="145"/>
      <c r="BV2596" s="145"/>
      <c r="BW2596" s="145"/>
      <c r="BX2596" s="145"/>
      <c r="BY2596" s="145"/>
      <c r="BZ2596" s="145"/>
      <c r="CA2596" s="145"/>
      <c r="CB2596" s="145"/>
      <c r="CC2596" s="145"/>
      <c r="CD2596" s="145"/>
      <c r="CE2596" s="145"/>
      <c r="CF2596" s="145"/>
      <c r="CG2596" s="145"/>
      <c r="CH2596" s="145"/>
      <c r="CI2596" s="145"/>
      <c r="CJ2596" s="145"/>
      <c r="CK2596" s="145"/>
      <c r="CL2596" s="145"/>
      <c r="CM2596" s="145"/>
      <c r="CN2596" s="145"/>
      <c r="CO2596" s="145"/>
      <c r="CP2596" s="145"/>
      <c r="CQ2596" s="145"/>
      <c r="CR2596" s="145"/>
      <c r="CS2596" s="145"/>
      <c r="CT2596" s="145"/>
      <c r="CU2596" s="145"/>
      <c r="CV2596" s="145"/>
      <c r="CW2596" s="145"/>
      <c r="CX2596" s="145"/>
      <c r="CY2596" s="145"/>
      <c r="CZ2596" s="145"/>
      <c r="DA2596" s="145"/>
      <c r="DB2596" s="145"/>
      <c r="DC2596" s="145"/>
      <c r="DD2596" s="145"/>
      <c r="DE2596" s="145"/>
      <c r="DF2596" s="145"/>
      <c r="DG2596" s="145"/>
      <c r="DH2596" s="145"/>
      <c r="DI2596" s="145"/>
      <c r="DJ2596" s="145"/>
      <c r="DK2596" s="145"/>
      <c r="DL2596" s="145"/>
      <c r="DM2596" s="145"/>
      <c r="DN2596" s="145"/>
      <c r="DO2596" s="145"/>
      <c r="DP2596" s="145"/>
      <c r="DQ2596" s="145"/>
      <c r="DR2596" s="145"/>
      <c r="DS2596" s="145"/>
      <c r="DT2596" s="145"/>
      <c r="DU2596" s="145"/>
      <c r="DV2596" s="145"/>
      <c r="DW2596" s="145"/>
      <c r="DX2596" s="145"/>
      <c r="DY2596" s="145"/>
      <c r="DZ2596" s="145"/>
      <c r="EA2596" s="145"/>
      <c r="EB2596" s="145"/>
      <c r="EC2596" s="145"/>
      <c r="ED2596" s="145"/>
      <c r="EE2596" s="145"/>
      <c r="EF2596" s="145"/>
      <c r="EG2596" s="145"/>
      <c r="EH2596" s="145"/>
      <c r="EI2596" s="145"/>
      <c r="EJ2596" s="145"/>
      <c r="EK2596" s="145"/>
      <c r="EL2596" s="145"/>
      <c r="EM2596" s="145"/>
      <c r="EN2596" s="145"/>
      <c r="EO2596" s="145"/>
      <c r="EP2596" s="145"/>
      <c r="EQ2596" s="145"/>
      <c r="ER2596" s="145"/>
      <c r="ES2596" s="145"/>
      <c r="ET2596" s="145"/>
      <c r="EU2596" s="145"/>
      <c r="EV2596" s="145"/>
      <c r="EW2596" s="145"/>
      <c r="EX2596" s="145"/>
      <c r="EY2596" s="145"/>
      <c r="EZ2596" s="145"/>
      <c r="FA2596" s="145"/>
      <c r="FB2596" s="145"/>
      <c r="FC2596" s="145"/>
      <c r="FD2596" s="145"/>
      <c r="FE2596" s="145"/>
      <c r="FF2596" s="145"/>
      <c r="FG2596" s="145"/>
      <c r="FH2596" s="145"/>
      <c r="FI2596" s="145"/>
      <c r="FJ2596" s="145"/>
      <c r="FK2596" s="145"/>
      <c r="FL2596" s="145"/>
      <c r="FM2596" s="145"/>
      <c r="FN2596" s="145"/>
      <c r="FO2596" s="145"/>
      <c r="FP2596" s="145"/>
      <c r="FQ2596" s="145"/>
      <c r="FR2596" s="145"/>
      <c r="FS2596" s="145"/>
      <c r="FT2596" s="145"/>
      <c r="FU2596" s="145"/>
      <c r="FV2596" s="145"/>
      <c r="FW2596" s="145"/>
      <c r="FX2596" s="145"/>
      <c r="FY2596" s="145"/>
      <c r="FZ2596" s="145"/>
      <c r="GA2596" s="145"/>
      <c r="GB2596" s="145"/>
      <c r="GC2596" s="145"/>
      <c r="GD2596" s="145"/>
      <c r="GE2596" s="145"/>
      <c r="GF2596" s="145"/>
      <c r="GG2596" s="145"/>
      <c r="GH2596" s="145"/>
      <c r="GI2596" s="145"/>
      <c r="GJ2596" s="145"/>
      <c r="GK2596" s="145"/>
      <c r="GL2596" s="145"/>
      <c r="GM2596" s="145"/>
      <c r="GN2596" s="145"/>
      <c r="GO2596" s="145"/>
      <c r="GP2596" s="145"/>
      <c r="GQ2596" s="145"/>
      <c r="GR2596" s="145"/>
      <c r="GS2596" s="145"/>
      <c r="GT2596" s="145"/>
      <c r="GU2596" s="145"/>
      <c r="GV2596" s="145"/>
      <c r="GW2596" s="145"/>
      <c r="GX2596" s="145"/>
      <c r="GY2596" s="145"/>
      <c r="GZ2596" s="145"/>
      <c r="HA2596" s="145"/>
      <c r="HB2596" s="145"/>
      <c r="HC2596" s="145"/>
      <c r="HD2596" s="145"/>
      <c r="HE2596" s="145"/>
      <c r="HF2596" s="145"/>
      <c r="HG2596" s="145"/>
    </row>
    <row r="2597" spans="1:215" ht="46.5" x14ac:dyDescent="0.35">
      <c r="A2597" s="271">
        <v>1134</v>
      </c>
      <c r="B2597" s="279"/>
      <c r="C2597" s="279"/>
      <c r="D2597" s="274"/>
      <c r="E2597" s="283"/>
      <c r="F2597" s="283"/>
      <c r="G2597" s="271"/>
      <c r="H2597" s="136" t="s">
        <v>673</v>
      </c>
      <c r="I2597" s="181">
        <v>70800</v>
      </c>
      <c r="J2597" s="181">
        <f>I2597/D2596</f>
        <v>171.89</v>
      </c>
      <c r="K2597" s="181">
        <f>163+96</f>
        <v>259</v>
      </c>
      <c r="L2597" s="145"/>
      <c r="M2597" s="145"/>
      <c r="N2597" s="145"/>
      <c r="O2597" s="145"/>
      <c r="P2597" s="145"/>
      <c r="Q2597" s="145"/>
      <c r="R2597" s="145"/>
      <c r="S2597" s="145"/>
      <c r="T2597" s="145"/>
      <c r="U2597" s="145"/>
      <c r="V2597" s="145"/>
      <c r="W2597" s="145"/>
      <c r="X2597" s="145"/>
      <c r="Y2597" s="145"/>
      <c r="Z2597" s="145"/>
      <c r="AA2597" s="145"/>
      <c r="AB2597" s="145"/>
      <c r="AC2597" s="145"/>
      <c r="AD2597" s="145"/>
      <c r="AE2597" s="145"/>
      <c r="AF2597" s="145"/>
      <c r="AG2597" s="145"/>
      <c r="AH2597" s="145"/>
      <c r="AI2597" s="145"/>
      <c r="AJ2597" s="145"/>
      <c r="AK2597" s="145"/>
      <c r="AL2597" s="145"/>
      <c r="AM2597" s="145"/>
      <c r="AN2597" s="145"/>
      <c r="AO2597" s="145"/>
      <c r="AP2597" s="145"/>
      <c r="AQ2597" s="145"/>
      <c r="AR2597" s="145"/>
      <c r="AS2597" s="145"/>
      <c r="AT2597" s="145"/>
      <c r="AU2597" s="145"/>
      <c r="AV2597" s="145"/>
      <c r="AW2597" s="145"/>
      <c r="AX2597" s="145"/>
      <c r="AY2597" s="145"/>
      <c r="AZ2597" s="145"/>
      <c r="BA2597" s="145"/>
      <c r="BB2597" s="145"/>
      <c r="BC2597" s="145"/>
      <c r="BD2597" s="145"/>
      <c r="BE2597" s="145"/>
      <c r="BF2597" s="145"/>
      <c r="BG2597" s="145"/>
      <c r="BH2597" s="145"/>
      <c r="BI2597" s="145"/>
      <c r="BJ2597" s="145"/>
      <c r="BK2597" s="145"/>
      <c r="BL2597" s="145"/>
      <c r="BM2597" s="145"/>
      <c r="BN2597" s="145"/>
      <c r="BO2597" s="145"/>
      <c r="BP2597" s="145"/>
      <c r="BQ2597" s="145"/>
      <c r="BR2597" s="145"/>
      <c r="BS2597" s="145"/>
      <c r="BT2597" s="145"/>
      <c r="BU2597" s="145"/>
      <c r="BV2597" s="145"/>
      <c r="BW2597" s="145"/>
      <c r="BX2597" s="145"/>
      <c r="BY2597" s="145"/>
      <c r="BZ2597" s="145"/>
      <c r="CA2597" s="145"/>
      <c r="CB2597" s="145"/>
      <c r="CC2597" s="145"/>
      <c r="CD2597" s="145"/>
      <c r="CE2597" s="145"/>
      <c r="CF2597" s="145"/>
      <c r="CG2597" s="145"/>
      <c r="CH2597" s="145"/>
      <c r="CI2597" s="145"/>
      <c r="CJ2597" s="145"/>
      <c r="CK2597" s="145"/>
      <c r="CL2597" s="145"/>
      <c r="CM2597" s="145"/>
      <c r="CN2597" s="145"/>
      <c r="CO2597" s="145"/>
      <c r="CP2597" s="145"/>
      <c r="CQ2597" s="145"/>
      <c r="CR2597" s="145"/>
      <c r="CS2597" s="145"/>
      <c r="CT2597" s="145"/>
      <c r="CU2597" s="145"/>
      <c r="CV2597" s="145"/>
      <c r="CW2597" s="145"/>
      <c r="CX2597" s="145"/>
      <c r="CY2597" s="145"/>
      <c r="CZ2597" s="145"/>
      <c r="DA2597" s="145"/>
      <c r="DB2597" s="145"/>
      <c r="DC2597" s="145"/>
      <c r="DD2597" s="145"/>
      <c r="DE2597" s="145"/>
      <c r="DF2597" s="145"/>
      <c r="DG2597" s="145"/>
      <c r="DH2597" s="145"/>
      <c r="DI2597" s="145"/>
      <c r="DJ2597" s="145"/>
      <c r="DK2597" s="145"/>
      <c r="DL2597" s="145"/>
      <c r="DM2597" s="145"/>
      <c r="DN2597" s="145"/>
      <c r="DO2597" s="145"/>
      <c r="DP2597" s="145"/>
      <c r="DQ2597" s="145"/>
      <c r="DR2597" s="145"/>
      <c r="DS2597" s="145"/>
      <c r="DT2597" s="145"/>
      <c r="DU2597" s="145"/>
      <c r="DV2597" s="145"/>
      <c r="DW2597" s="145"/>
      <c r="DX2597" s="145"/>
      <c r="DY2597" s="145"/>
      <c r="DZ2597" s="145"/>
      <c r="EA2597" s="145"/>
      <c r="EB2597" s="145"/>
      <c r="EC2597" s="145"/>
      <c r="ED2597" s="145"/>
      <c r="EE2597" s="145"/>
      <c r="EF2597" s="145"/>
      <c r="EG2597" s="145"/>
      <c r="EH2597" s="145"/>
      <c r="EI2597" s="145"/>
      <c r="EJ2597" s="145"/>
      <c r="EK2597" s="145"/>
      <c r="EL2597" s="145"/>
      <c r="EM2597" s="145"/>
      <c r="EN2597" s="145"/>
      <c r="EO2597" s="145"/>
      <c r="EP2597" s="145"/>
      <c r="EQ2597" s="145"/>
      <c r="ER2597" s="145"/>
      <c r="ES2597" s="145"/>
      <c r="ET2597" s="145"/>
      <c r="EU2597" s="145"/>
      <c r="EV2597" s="145"/>
      <c r="EW2597" s="145"/>
      <c r="EX2597" s="145"/>
      <c r="EY2597" s="145"/>
      <c r="EZ2597" s="145"/>
      <c r="FA2597" s="145"/>
      <c r="FB2597" s="145"/>
      <c r="FC2597" s="145"/>
      <c r="FD2597" s="145"/>
      <c r="FE2597" s="145"/>
      <c r="FF2597" s="145"/>
      <c r="FG2597" s="145"/>
      <c r="FH2597" s="145"/>
      <c r="FI2597" s="145"/>
      <c r="FJ2597" s="145"/>
      <c r="FK2597" s="145"/>
      <c r="FL2597" s="145"/>
      <c r="FM2597" s="145"/>
      <c r="FN2597" s="145"/>
      <c r="FO2597" s="145"/>
      <c r="FP2597" s="145"/>
      <c r="FQ2597" s="145"/>
      <c r="FR2597" s="145"/>
      <c r="FS2597" s="145"/>
      <c r="FT2597" s="145"/>
      <c r="FU2597" s="145"/>
      <c r="FV2597" s="145"/>
      <c r="FW2597" s="145"/>
      <c r="FX2597" s="145"/>
      <c r="FY2597" s="145"/>
      <c r="FZ2597" s="145"/>
      <c r="GA2597" s="145"/>
      <c r="GB2597" s="145"/>
      <c r="GC2597" s="145"/>
      <c r="GD2597" s="145"/>
      <c r="GE2597" s="145"/>
      <c r="GF2597" s="145"/>
      <c r="GG2597" s="145"/>
      <c r="GH2597" s="145"/>
      <c r="GI2597" s="145"/>
      <c r="GJ2597" s="145"/>
      <c r="GK2597" s="145"/>
      <c r="GL2597" s="145"/>
      <c r="GM2597" s="145"/>
      <c r="GN2597" s="145"/>
      <c r="GO2597" s="145"/>
      <c r="GP2597" s="145"/>
      <c r="GQ2597" s="145"/>
      <c r="GR2597" s="145"/>
      <c r="GS2597" s="145"/>
      <c r="GT2597" s="145"/>
      <c r="GU2597" s="145"/>
      <c r="GV2597" s="145"/>
      <c r="GW2597" s="145"/>
      <c r="GX2597" s="145"/>
      <c r="GY2597" s="145"/>
      <c r="GZ2597" s="145"/>
      <c r="HA2597" s="145"/>
      <c r="HB2597" s="145"/>
      <c r="HC2597" s="145"/>
      <c r="HD2597" s="145"/>
      <c r="HE2597" s="145"/>
      <c r="HF2597" s="145"/>
      <c r="HG2597" s="145"/>
    </row>
    <row r="2598" spans="1:215" x14ac:dyDescent="0.35">
      <c r="A2598" s="270">
        <f>A2596+1</f>
        <v>2</v>
      </c>
      <c r="B2598" s="278">
        <v>6813</v>
      </c>
      <c r="C2598" s="278" t="s">
        <v>679</v>
      </c>
      <c r="D2598" s="273">
        <v>400</v>
      </c>
      <c r="E2598" s="282" t="s">
        <v>633</v>
      </c>
      <c r="F2598" s="282">
        <v>2</v>
      </c>
      <c r="G2598" s="270" t="s">
        <v>71</v>
      </c>
      <c r="H2598" s="136" t="s">
        <v>72</v>
      </c>
      <c r="I2598" s="181">
        <f>I2599+I2600</f>
        <v>2418139.17</v>
      </c>
      <c r="J2598" s="181">
        <f>J2599+J2600</f>
        <v>6045.35</v>
      </c>
      <c r="K2598" s="181">
        <f>K2599+K2600</f>
        <v>7539</v>
      </c>
      <c r="L2598" s="145"/>
      <c r="M2598" s="145"/>
      <c r="N2598" s="145"/>
      <c r="O2598" s="145"/>
      <c r="P2598" s="145"/>
      <c r="Q2598" s="145"/>
      <c r="R2598" s="145"/>
      <c r="S2598" s="145"/>
      <c r="T2598" s="145"/>
      <c r="U2598" s="145"/>
      <c r="V2598" s="145"/>
      <c r="W2598" s="145"/>
      <c r="X2598" s="145"/>
      <c r="Y2598" s="145"/>
      <c r="Z2598" s="145"/>
      <c r="AA2598" s="145"/>
      <c r="AB2598" s="145"/>
      <c r="AC2598" s="145"/>
      <c r="AD2598" s="145"/>
      <c r="AE2598" s="145"/>
      <c r="AF2598" s="145"/>
      <c r="AG2598" s="145"/>
      <c r="AH2598" s="145"/>
      <c r="AI2598" s="145"/>
      <c r="AJ2598" s="145"/>
      <c r="AK2598" s="145"/>
      <c r="AL2598" s="145"/>
      <c r="AM2598" s="145"/>
      <c r="AN2598" s="145"/>
      <c r="AO2598" s="145"/>
      <c r="AP2598" s="145"/>
      <c r="AQ2598" s="145"/>
      <c r="AR2598" s="145"/>
      <c r="AS2598" s="145"/>
      <c r="AT2598" s="145"/>
      <c r="AU2598" s="145"/>
      <c r="AV2598" s="145"/>
      <c r="AW2598" s="145"/>
      <c r="AX2598" s="145"/>
      <c r="AY2598" s="145"/>
      <c r="AZ2598" s="145"/>
      <c r="BA2598" s="145"/>
      <c r="BB2598" s="145"/>
      <c r="BC2598" s="145"/>
      <c r="BD2598" s="145"/>
      <c r="BE2598" s="145"/>
      <c r="BF2598" s="145"/>
      <c r="BG2598" s="145"/>
      <c r="BH2598" s="145"/>
      <c r="BI2598" s="145"/>
      <c r="BJ2598" s="145"/>
      <c r="BK2598" s="145"/>
      <c r="BL2598" s="145"/>
      <c r="BM2598" s="145"/>
      <c r="BN2598" s="145"/>
      <c r="BO2598" s="145"/>
      <c r="BP2598" s="145"/>
      <c r="BQ2598" s="145"/>
      <c r="BR2598" s="145"/>
      <c r="BS2598" s="145"/>
      <c r="BT2598" s="145"/>
      <c r="BU2598" s="145"/>
      <c r="BV2598" s="145"/>
      <c r="BW2598" s="145"/>
      <c r="BX2598" s="145"/>
      <c r="BY2598" s="145"/>
      <c r="BZ2598" s="145"/>
      <c r="CA2598" s="145"/>
      <c r="CB2598" s="145"/>
      <c r="CC2598" s="145"/>
      <c r="CD2598" s="145"/>
      <c r="CE2598" s="145"/>
      <c r="CF2598" s="145"/>
      <c r="CG2598" s="145"/>
      <c r="CH2598" s="145"/>
      <c r="CI2598" s="145"/>
      <c r="CJ2598" s="145"/>
      <c r="CK2598" s="145"/>
      <c r="CL2598" s="145"/>
      <c r="CM2598" s="145"/>
      <c r="CN2598" s="145"/>
      <c r="CO2598" s="145"/>
      <c r="CP2598" s="145"/>
      <c r="CQ2598" s="145"/>
      <c r="CR2598" s="145"/>
      <c r="CS2598" s="145"/>
      <c r="CT2598" s="145"/>
      <c r="CU2598" s="145"/>
      <c r="CV2598" s="145"/>
      <c r="CW2598" s="145"/>
      <c r="CX2598" s="145"/>
      <c r="CY2598" s="145"/>
      <c r="CZ2598" s="145"/>
      <c r="DA2598" s="145"/>
      <c r="DB2598" s="145"/>
      <c r="DC2598" s="145"/>
      <c r="DD2598" s="145"/>
      <c r="DE2598" s="145"/>
      <c r="DF2598" s="145"/>
      <c r="DG2598" s="145"/>
      <c r="DH2598" s="145"/>
      <c r="DI2598" s="145"/>
      <c r="DJ2598" s="145"/>
      <c r="DK2598" s="145"/>
      <c r="DL2598" s="145"/>
      <c r="DM2598" s="145"/>
      <c r="DN2598" s="145"/>
      <c r="DO2598" s="145"/>
      <c r="DP2598" s="145"/>
      <c r="DQ2598" s="145"/>
      <c r="DR2598" s="145"/>
      <c r="DS2598" s="145"/>
      <c r="DT2598" s="145"/>
      <c r="DU2598" s="145"/>
      <c r="DV2598" s="145"/>
      <c r="DW2598" s="145"/>
      <c r="DX2598" s="145"/>
      <c r="DY2598" s="145"/>
      <c r="DZ2598" s="145"/>
      <c r="EA2598" s="145"/>
      <c r="EB2598" s="145"/>
      <c r="EC2598" s="145"/>
      <c r="ED2598" s="145"/>
      <c r="EE2598" s="145"/>
      <c r="EF2598" s="145"/>
      <c r="EG2598" s="145"/>
      <c r="EH2598" s="145"/>
      <c r="EI2598" s="145"/>
      <c r="EJ2598" s="145"/>
      <c r="EK2598" s="145"/>
      <c r="EL2598" s="145"/>
      <c r="EM2598" s="145"/>
      <c r="EN2598" s="145"/>
      <c r="EO2598" s="145"/>
      <c r="EP2598" s="145"/>
      <c r="EQ2598" s="145"/>
      <c r="ER2598" s="145"/>
      <c r="ES2598" s="145"/>
      <c r="ET2598" s="145"/>
      <c r="EU2598" s="145"/>
      <c r="EV2598" s="145"/>
      <c r="EW2598" s="145"/>
      <c r="EX2598" s="145"/>
      <c r="EY2598" s="145"/>
      <c r="EZ2598" s="145"/>
      <c r="FA2598" s="145"/>
      <c r="FB2598" s="145"/>
      <c r="FC2598" s="145"/>
      <c r="FD2598" s="145"/>
      <c r="FE2598" s="145"/>
      <c r="FF2598" s="145"/>
      <c r="FG2598" s="145"/>
      <c r="FH2598" s="145"/>
      <c r="FI2598" s="145"/>
      <c r="FJ2598" s="145"/>
      <c r="FK2598" s="145"/>
      <c r="FL2598" s="145"/>
      <c r="FM2598" s="145"/>
      <c r="FN2598" s="145"/>
      <c r="FO2598" s="145"/>
      <c r="FP2598" s="145"/>
      <c r="FQ2598" s="145"/>
      <c r="FR2598" s="145"/>
      <c r="FS2598" s="145"/>
      <c r="FT2598" s="145"/>
      <c r="FU2598" s="145"/>
      <c r="FV2598" s="145"/>
      <c r="FW2598" s="145"/>
      <c r="FX2598" s="145"/>
      <c r="FY2598" s="145"/>
      <c r="FZ2598" s="145"/>
      <c r="GA2598" s="145"/>
      <c r="GB2598" s="145"/>
      <c r="GC2598" s="145"/>
      <c r="GD2598" s="145"/>
      <c r="GE2598" s="145"/>
      <c r="GF2598" s="145"/>
      <c r="GG2598" s="145"/>
      <c r="GH2598" s="145"/>
      <c r="GI2598" s="145"/>
      <c r="GJ2598" s="145"/>
      <c r="GK2598" s="145"/>
      <c r="GL2598" s="145"/>
      <c r="GM2598" s="145"/>
      <c r="GN2598" s="145"/>
      <c r="GO2598" s="145"/>
      <c r="GP2598" s="145"/>
      <c r="GQ2598" s="145"/>
      <c r="GR2598" s="145"/>
      <c r="GS2598" s="145"/>
      <c r="GT2598" s="145"/>
      <c r="GU2598" s="145"/>
      <c r="GV2598" s="145"/>
      <c r="GW2598" s="145"/>
      <c r="GX2598" s="145"/>
      <c r="GY2598" s="145"/>
      <c r="GZ2598" s="145"/>
      <c r="HA2598" s="145"/>
      <c r="HB2598" s="145"/>
      <c r="HC2598" s="145"/>
      <c r="HD2598" s="145"/>
      <c r="HE2598" s="145"/>
      <c r="HF2598" s="145"/>
      <c r="HG2598" s="145"/>
    </row>
    <row r="2599" spans="1:215" x14ac:dyDescent="0.35">
      <c r="A2599" s="271">
        <v>1134</v>
      </c>
      <c r="B2599" s="279"/>
      <c r="C2599" s="279"/>
      <c r="D2599" s="274"/>
      <c r="E2599" s="283"/>
      <c r="F2599" s="283"/>
      <c r="G2599" s="271"/>
      <c r="H2599" s="136" t="s">
        <v>73</v>
      </c>
      <c r="I2599" s="181">
        <v>2367475.2000000002</v>
      </c>
      <c r="J2599" s="181">
        <f>I2599/D2598</f>
        <v>5918.69</v>
      </c>
      <c r="K2599" s="181">
        <v>7381</v>
      </c>
      <c r="L2599" s="145"/>
      <c r="M2599" s="145"/>
      <c r="N2599" s="145"/>
      <c r="O2599" s="145"/>
      <c r="P2599" s="145"/>
      <c r="Q2599" s="145"/>
      <c r="R2599" s="145"/>
      <c r="S2599" s="145"/>
      <c r="T2599" s="145"/>
      <c r="U2599" s="145"/>
      <c r="V2599" s="145"/>
      <c r="W2599" s="145"/>
      <c r="X2599" s="145"/>
      <c r="Y2599" s="145"/>
      <c r="Z2599" s="145"/>
      <c r="AA2599" s="145"/>
      <c r="AB2599" s="145"/>
      <c r="AC2599" s="145"/>
      <c r="AD2599" s="145"/>
      <c r="AE2599" s="145"/>
      <c r="AF2599" s="145"/>
      <c r="AG2599" s="145"/>
      <c r="AH2599" s="145"/>
      <c r="AI2599" s="145"/>
      <c r="AJ2599" s="145"/>
      <c r="AK2599" s="145"/>
      <c r="AL2599" s="145"/>
      <c r="AM2599" s="145"/>
      <c r="AN2599" s="145"/>
      <c r="AO2599" s="145"/>
      <c r="AP2599" s="145"/>
      <c r="AQ2599" s="145"/>
      <c r="AR2599" s="145"/>
      <c r="AS2599" s="145"/>
      <c r="AT2599" s="145"/>
      <c r="AU2599" s="145"/>
      <c r="AV2599" s="145"/>
      <c r="AW2599" s="145"/>
      <c r="AX2599" s="145"/>
      <c r="AY2599" s="145"/>
      <c r="AZ2599" s="145"/>
      <c r="BA2599" s="145"/>
      <c r="BB2599" s="145"/>
      <c r="BC2599" s="145"/>
      <c r="BD2599" s="145"/>
      <c r="BE2599" s="145"/>
      <c r="BF2599" s="145"/>
      <c r="BG2599" s="145"/>
      <c r="BH2599" s="145"/>
      <c r="BI2599" s="145"/>
      <c r="BJ2599" s="145"/>
      <c r="BK2599" s="145"/>
      <c r="BL2599" s="145"/>
      <c r="BM2599" s="145"/>
      <c r="BN2599" s="145"/>
      <c r="BO2599" s="145"/>
      <c r="BP2599" s="145"/>
      <c r="BQ2599" s="145"/>
      <c r="BR2599" s="145"/>
      <c r="BS2599" s="145"/>
      <c r="BT2599" s="145"/>
      <c r="BU2599" s="145"/>
      <c r="BV2599" s="145"/>
      <c r="BW2599" s="145"/>
      <c r="BX2599" s="145"/>
      <c r="BY2599" s="145"/>
      <c r="BZ2599" s="145"/>
      <c r="CA2599" s="145"/>
      <c r="CB2599" s="145"/>
      <c r="CC2599" s="145"/>
      <c r="CD2599" s="145"/>
      <c r="CE2599" s="145"/>
      <c r="CF2599" s="145"/>
      <c r="CG2599" s="145"/>
      <c r="CH2599" s="145"/>
      <c r="CI2599" s="145"/>
      <c r="CJ2599" s="145"/>
      <c r="CK2599" s="145"/>
      <c r="CL2599" s="145"/>
      <c r="CM2599" s="145"/>
      <c r="CN2599" s="145"/>
      <c r="CO2599" s="145"/>
      <c r="CP2599" s="145"/>
      <c r="CQ2599" s="145"/>
      <c r="CR2599" s="145"/>
      <c r="CS2599" s="145"/>
      <c r="CT2599" s="145"/>
      <c r="CU2599" s="145"/>
      <c r="CV2599" s="145"/>
      <c r="CW2599" s="145"/>
      <c r="CX2599" s="145"/>
      <c r="CY2599" s="145"/>
      <c r="CZ2599" s="145"/>
      <c r="DA2599" s="145"/>
      <c r="DB2599" s="145"/>
      <c r="DC2599" s="145"/>
      <c r="DD2599" s="145"/>
      <c r="DE2599" s="145"/>
      <c r="DF2599" s="145"/>
      <c r="DG2599" s="145"/>
      <c r="DH2599" s="145"/>
      <c r="DI2599" s="145"/>
      <c r="DJ2599" s="145"/>
      <c r="DK2599" s="145"/>
      <c r="DL2599" s="145"/>
      <c r="DM2599" s="145"/>
      <c r="DN2599" s="145"/>
      <c r="DO2599" s="145"/>
      <c r="DP2599" s="145"/>
      <c r="DQ2599" s="145"/>
      <c r="DR2599" s="145"/>
      <c r="DS2599" s="145"/>
      <c r="DT2599" s="145"/>
      <c r="DU2599" s="145"/>
      <c r="DV2599" s="145"/>
      <c r="DW2599" s="145"/>
      <c r="DX2599" s="145"/>
      <c r="DY2599" s="145"/>
      <c r="DZ2599" s="145"/>
      <c r="EA2599" s="145"/>
      <c r="EB2599" s="145"/>
      <c r="EC2599" s="145"/>
      <c r="ED2599" s="145"/>
      <c r="EE2599" s="145"/>
      <c r="EF2599" s="145"/>
      <c r="EG2599" s="145"/>
      <c r="EH2599" s="145"/>
      <c r="EI2599" s="145"/>
      <c r="EJ2599" s="145"/>
      <c r="EK2599" s="145"/>
      <c r="EL2599" s="145"/>
      <c r="EM2599" s="145"/>
      <c r="EN2599" s="145"/>
      <c r="EO2599" s="145"/>
      <c r="EP2599" s="145"/>
      <c r="EQ2599" s="145"/>
      <c r="ER2599" s="145"/>
      <c r="ES2599" s="145"/>
      <c r="ET2599" s="145"/>
      <c r="EU2599" s="145"/>
      <c r="EV2599" s="145"/>
      <c r="EW2599" s="145"/>
      <c r="EX2599" s="145"/>
      <c r="EY2599" s="145"/>
      <c r="EZ2599" s="145"/>
      <c r="FA2599" s="145"/>
      <c r="FB2599" s="145"/>
      <c r="FC2599" s="145"/>
      <c r="FD2599" s="145"/>
      <c r="FE2599" s="145"/>
      <c r="FF2599" s="145"/>
      <c r="FG2599" s="145"/>
      <c r="FH2599" s="145"/>
      <c r="FI2599" s="145"/>
      <c r="FJ2599" s="145"/>
      <c r="FK2599" s="145"/>
      <c r="FL2599" s="145"/>
      <c r="FM2599" s="145"/>
      <c r="FN2599" s="145"/>
      <c r="FO2599" s="145"/>
      <c r="FP2599" s="145"/>
      <c r="FQ2599" s="145"/>
      <c r="FR2599" s="145"/>
      <c r="FS2599" s="145"/>
      <c r="FT2599" s="145"/>
      <c r="FU2599" s="145"/>
      <c r="FV2599" s="145"/>
      <c r="FW2599" s="145"/>
      <c r="FX2599" s="145"/>
      <c r="FY2599" s="145"/>
      <c r="FZ2599" s="145"/>
      <c r="GA2599" s="145"/>
      <c r="GB2599" s="145"/>
      <c r="GC2599" s="145"/>
      <c r="GD2599" s="145"/>
      <c r="GE2599" s="145"/>
      <c r="GF2599" s="145"/>
      <c r="GG2599" s="145"/>
      <c r="GH2599" s="145"/>
      <c r="GI2599" s="145"/>
      <c r="GJ2599" s="145"/>
      <c r="GK2599" s="145"/>
      <c r="GL2599" s="145"/>
      <c r="GM2599" s="145"/>
      <c r="GN2599" s="145"/>
      <c r="GO2599" s="145"/>
      <c r="GP2599" s="145"/>
      <c r="GQ2599" s="145"/>
      <c r="GR2599" s="145"/>
      <c r="GS2599" s="145"/>
      <c r="GT2599" s="145"/>
      <c r="GU2599" s="145"/>
      <c r="GV2599" s="145"/>
      <c r="GW2599" s="145"/>
      <c r="GX2599" s="145"/>
      <c r="GY2599" s="145"/>
      <c r="GZ2599" s="145"/>
      <c r="HA2599" s="145"/>
      <c r="HB2599" s="145"/>
      <c r="HC2599" s="145"/>
      <c r="HD2599" s="145"/>
      <c r="HE2599" s="145"/>
      <c r="HF2599" s="145"/>
      <c r="HG2599" s="145"/>
    </row>
    <row r="2600" spans="1:215" x14ac:dyDescent="0.35">
      <c r="A2600" s="272">
        <v>1135</v>
      </c>
      <c r="B2600" s="285"/>
      <c r="C2600" s="285"/>
      <c r="D2600" s="275"/>
      <c r="E2600" s="284"/>
      <c r="F2600" s="284"/>
      <c r="G2600" s="272"/>
      <c r="H2600" s="136" t="s">
        <v>75</v>
      </c>
      <c r="I2600" s="181">
        <f>I2599*0.0214</f>
        <v>50663.97</v>
      </c>
      <c r="J2600" s="181">
        <f>I2600/D2598</f>
        <v>126.66</v>
      </c>
      <c r="K2600" s="181">
        <v>158</v>
      </c>
      <c r="L2600" s="145"/>
      <c r="M2600" s="145"/>
      <c r="N2600" s="145"/>
      <c r="O2600" s="145"/>
      <c r="P2600" s="145"/>
      <c r="Q2600" s="145"/>
      <c r="R2600" s="145"/>
      <c r="S2600" s="145"/>
      <c r="T2600" s="145"/>
      <c r="U2600" s="145"/>
      <c r="V2600" s="145"/>
      <c r="W2600" s="145"/>
      <c r="X2600" s="145"/>
      <c r="Y2600" s="145"/>
      <c r="Z2600" s="145"/>
      <c r="AA2600" s="145"/>
      <c r="AB2600" s="145"/>
      <c r="AC2600" s="145"/>
      <c r="AD2600" s="145"/>
      <c r="AE2600" s="145"/>
      <c r="AF2600" s="145"/>
      <c r="AG2600" s="145"/>
      <c r="AH2600" s="145"/>
      <c r="AI2600" s="145"/>
      <c r="AJ2600" s="145"/>
      <c r="AK2600" s="145"/>
      <c r="AL2600" s="145"/>
      <c r="AM2600" s="145"/>
      <c r="AN2600" s="145"/>
      <c r="AO2600" s="145"/>
      <c r="AP2600" s="145"/>
      <c r="AQ2600" s="145"/>
      <c r="AR2600" s="145"/>
      <c r="AS2600" s="145"/>
      <c r="AT2600" s="145"/>
      <c r="AU2600" s="145"/>
      <c r="AV2600" s="145"/>
      <c r="AW2600" s="145"/>
      <c r="AX2600" s="145"/>
      <c r="AY2600" s="145"/>
      <c r="AZ2600" s="145"/>
      <c r="BA2600" s="145"/>
      <c r="BB2600" s="145"/>
      <c r="BC2600" s="145"/>
      <c r="BD2600" s="145"/>
      <c r="BE2600" s="145"/>
      <c r="BF2600" s="145"/>
      <c r="BG2600" s="145"/>
      <c r="BH2600" s="145"/>
      <c r="BI2600" s="145"/>
      <c r="BJ2600" s="145"/>
      <c r="BK2600" s="145"/>
      <c r="BL2600" s="145"/>
      <c r="BM2600" s="145"/>
      <c r="BN2600" s="145"/>
      <c r="BO2600" s="145"/>
      <c r="BP2600" s="145"/>
      <c r="BQ2600" s="145"/>
      <c r="BR2600" s="145"/>
      <c r="BS2600" s="145"/>
      <c r="BT2600" s="145"/>
      <c r="BU2600" s="145"/>
      <c r="BV2600" s="145"/>
      <c r="BW2600" s="145"/>
      <c r="BX2600" s="145"/>
      <c r="BY2600" s="145"/>
      <c r="BZ2600" s="145"/>
      <c r="CA2600" s="145"/>
      <c r="CB2600" s="145"/>
      <c r="CC2600" s="145"/>
      <c r="CD2600" s="145"/>
      <c r="CE2600" s="145"/>
      <c r="CF2600" s="145"/>
      <c r="CG2600" s="145"/>
      <c r="CH2600" s="145"/>
      <c r="CI2600" s="145"/>
      <c r="CJ2600" s="145"/>
      <c r="CK2600" s="145"/>
      <c r="CL2600" s="145"/>
      <c r="CM2600" s="145"/>
      <c r="CN2600" s="145"/>
      <c r="CO2600" s="145"/>
      <c r="CP2600" s="145"/>
      <c r="CQ2600" s="145"/>
      <c r="CR2600" s="145"/>
      <c r="CS2600" s="145"/>
      <c r="CT2600" s="145"/>
      <c r="CU2600" s="145"/>
      <c r="CV2600" s="145"/>
      <c r="CW2600" s="145"/>
      <c r="CX2600" s="145"/>
      <c r="CY2600" s="145"/>
      <c r="CZ2600" s="145"/>
      <c r="DA2600" s="145"/>
      <c r="DB2600" s="145"/>
      <c r="DC2600" s="145"/>
      <c r="DD2600" s="145"/>
      <c r="DE2600" s="145"/>
      <c r="DF2600" s="145"/>
      <c r="DG2600" s="145"/>
      <c r="DH2600" s="145"/>
      <c r="DI2600" s="145"/>
      <c r="DJ2600" s="145"/>
      <c r="DK2600" s="145"/>
      <c r="DL2600" s="145"/>
      <c r="DM2600" s="145"/>
      <c r="DN2600" s="145"/>
      <c r="DO2600" s="145"/>
      <c r="DP2600" s="145"/>
      <c r="DQ2600" s="145"/>
      <c r="DR2600" s="145"/>
      <c r="DS2600" s="145"/>
      <c r="DT2600" s="145"/>
      <c r="DU2600" s="145"/>
      <c r="DV2600" s="145"/>
      <c r="DW2600" s="145"/>
      <c r="DX2600" s="145"/>
      <c r="DY2600" s="145"/>
      <c r="DZ2600" s="145"/>
      <c r="EA2600" s="145"/>
      <c r="EB2600" s="145"/>
      <c r="EC2600" s="145"/>
      <c r="ED2600" s="145"/>
      <c r="EE2600" s="145"/>
      <c r="EF2600" s="145"/>
      <c r="EG2600" s="145"/>
      <c r="EH2600" s="145"/>
      <c r="EI2600" s="145"/>
      <c r="EJ2600" s="145"/>
      <c r="EK2600" s="145"/>
      <c r="EL2600" s="145"/>
      <c r="EM2600" s="145"/>
      <c r="EN2600" s="145"/>
      <c r="EO2600" s="145"/>
      <c r="EP2600" s="145"/>
      <c r="EQ2600" s="145"/>
      <c r="ER2600" s="145"/>
      <c r="ES2600" s="145"/>
      <c r="ET2600" s="145"/>
      <c r="EU2600" s="145"/>
      <c r="EV2600" s="145"/>
      <c r="EW2600" s="145"/>
      <c r="EX2600" s="145"/>
      <c r="EY2600" s="145"/>
      <c r="EZ2600" s="145"/>
      <c r="FA2600" s="145"/>
      <c r="FB2600" s="145"/>
      <c r="FC2600" s="145"/>
      <c r="FD2600" s="145"/>
      <c r="FE2600" s="145"/>
      <c r="FF2600" s="145"/>
      <c r="FG2600" s="145"/>
      <c r="FH2600" s="145"/>
      <c r="FI2600" s="145"/>
      <c r="FJ2600" s="145"/>
      <c r="FK2600" s="145"/>
      <c r="FL2600" s="145"/>
      <c r="FM2600" s="145"/>
      <c r="FN2600" s="145"/>
      <c r="FO2600" s="145"/>
      <c r="FP2600" s="145"/>
      <c r="FQ2600" s="145"/>
      <c r="FR2600" s="145"/>
      <c r="FS2600" s="145"/>
      <c r="FT2600" s="145"/>
      <c r="FU2600" s="145"/>
      <c r="FV2600" s="145"/>
      <c r="FW2600" s="145"/>
      <c r="FX2600" s="145"/>
      <c r="FY2600" s="145"/>
      <c r="FZ2600" s="145"/>
      <c r="GA2600" s="145"/>
      <c r="GB2600" s="145"/>
      <c r="GC2600" s="145"/>
      <c r="GD2600" s="145"/>
      <c r="GE2600" s="145"/>
      <c r="GF2600" s="145"/>
      <c r="GG2600" s="145"/>
      <c r="GH2600" s="145"/>
      <c r="GI2600" s="145"/>
      <c r="GJ2600" s="145"/>
      <c r="GK2600" s="145"/>
      <c r="GL2600" s="145"/>
      <c r="GM2600" s="145"/>
      <c r="GN2600" s="145"/>
      <c r="GO2600" s="145"/>
      <c r="GP2600" s="145"/>
      <c r="GQ2600" s="145"/>
      <c r="GR2600" s="145"/>
      <c r="GS2600" s="145"/>
      <c r="GT2600" s="145"/>
      <c r="GU2600" s="145"/>
      <c r="GV2600" s="145"/>
      <c r="GW2600" s="145"/>
      <c r="GX2600" s="145"/>
      <c r="GY2600" s="145"/>
      <c r="GZ2600" s="145"/>
      <c r="HA2600" s="145"/>
      <c r="HB2600" s="145"/>
      <c r="HC2600" s="145"/>
      <c r="HD2600" s="145"/>
      <c r="HE2600" s="145"/>
      <c r="HF2600" s="145"/>
      <c r="HG2600" s="145"/>
    </row>
    <row r="2601" spans="1:215" x14ac:dyDescent="0.35">
      <c r="A2601" s="277">
        <f>A2598+1</f>
        <v>3</v>
      </c>
      <c r="B2601" s="286">
        <v>6815</v>
      </c>
      <c r="C2601" s="286" t="s">
        <v>610</v>
      </c>
      <c r="D2601" s="287">
        <v>399.4</v>
      </c>
      <c r="E2601" s="304" t="s">
        <v>633</v>
      </c>
      <c r="F2601" s="304">
        <v>2</v>
      </c>
      <c r="G2601" s="270" t="s">
        <v>71</v>
      </c>
      <c r="H2601" s="136" t="s">
        <v>72</v>
      </c>
      <c r="I2601" s="181">
        <f>I2602</f>
        <v>103444.6</v>
      </c>
      <c r="J2601" s="181">
        <f>J2602</f>
        <v>259</v>
      </c>
      <c r="K2601" s="181">
        <f>K2602</f>
        <v>259</v>
      </c>
      <c r="L2601" s="145"/>
      <c r="M2601" s="145"/>
      <c r="N2601" s="145"/>
      <c r="O2601" s="145"/>
      <c r="P2601" s="145"/>
      <c r="Q2601" s="145"/>
      <c r="R2601" s="145"/>
      <c r="S2601" s="145"/>
      <c r="T2601" s="145"/>
      <c r="U2601" s="145"/>
      <c r="V2601" s="145"/>
      <c r="W2601" s="145"/>
      <c r="X2601" s="145"/>
      <c r="Y2601" s="145"/>
      <c r="Z2601" s="145"/>
      <c r="AA2601" s="145"/>
      <c r="AB2601" s="145"/>
      <c r="AC2601" s="145"/>
      <c r="AD2601" s="145"/>
      <c r="AE2601" s="145"/>
      <c r="AF2601" s="145"/>
      <c r="AG2601" s="145"/>
      <c r="AH2601" s="145"/>
      <c r="AI2601" s="145"/>
      <c r="AJ2601" s="145"/>
      <c r="AK2601" s="145"/>
      <c r="AL2601" s="145"/>
      <c r="AM2601" s="145"/>
      <c r="AN2601" s="145"/>
      <c r="AO2601" s="145"/>
      <c r="AP2601" s="145"/>
      <c r="AQ2601" s="145"/>
      <c r="AR2601" s="145"/>
      <c r="AS2601" s="145"/>
      <c r="AT2601" s="145"/>
      <c r="AU2601" s="145"/>
      <c r="AV2601" s="145"/>
      <c r="AW2601" s="145"/>
      <c r="AX2601" s="145"/>
      <c r="AY2601" s="145"/>
      <c r="AZ2601" s="145"/>
      <c r="BA2601" s="145"/>
      <c r="BB2601" s="145"/>
      <c r="BC2601" s="145"/>
      <c r="BD2601" s="145"/>
      <c r="BE2601" s="145"/>
      <c r="BF2601" s="145"/>
      <c r="BG2601" s="145"/>
      <c r="BH2601" s="145"/>
      <c r="BI2601" s="145"/>
      <c r="BJ2601" s="145"/>
      <c r="BK2601" s="145"/>
      <c r="BL2601" s="145"/>
      <c r="BM2601" s="145"/>
      <c r="BN2601" s="145"/>
      <c r="BO2601" s="145"/>
      <c r="BP2601" s="145"/>
      <c r="BQ2601" s="145"/>
      <c r="BR2601" s="145"/>
      <c r="BS2601" s="145"/>
      <c r="BT2601" s="145"/>
      <c r="BU2601" s="145"/>
      <c r="BV2601" s="145"/>
      <c r="BW2601" s="145"/>
      <c r="BX2601" s="145"/>
      <c r="BY2601" s="145"/>
      <c r="BZ2601" s="145"/>
      <c r="CA2601" s="145"/>
      <c r="CB2601" s="145"/>
      <c r="CC2601" s="145"/>
      <c r="CD2601" s="145"/>
      <c r="CE2601" s="145"/>
      <c r="CF2601" s="145"/>
      <c r="CG2601" s="145"/>
      <c r="CH2601" s="145"/>
      <c r="CI2601" s="145"/>
      <c r="CJ2601" s="145"/>
      <c r="CK2601" s="145"/>
      <c r="CL2601" s="145"/>
      <c r="CM2601" s="145"/>
      <c r="CN2601" s="145"/>
      <c r="CO2601" s="145"/>
      <c r="CP2601" s="145"/>
      <c r="CQ2601" s="145"/>
      <c r="CR2601" s="145"/>
      <c r="CS2601" s="145"/>
      <c r="CT2601" s="145"/>
      <c r="CU2601" s="145"/>
      <c r="CV2601" s="145"/>
      <c r="CW2601" s="145"/>
      <c r="CX2601" s="145"/>
      <c r="CY2601" s="145"/>
      <c r="CZ2601" s="145"/>
      <c r="DA2601" s="145"/>
      <c r="DB2601" s="145"/>
      <c r="DC2601" s="145"/>
      <c r="DD2601" s="145"/>
      <c r="DE2601" s="145"/>
      <c r="DF2601" s="145"/>
      <c r="DG2601" s="145"/>
      <c r="DH2601" s="145"/>
      <c r="DI2601" s="145"/>
      <c r="DJ2601" s="145"/>
      <c r="DK2601" s="145"/>
      <c r="DL2601" s="145"/>
      <c r="DM2601" s="145"/>
      <c r="DN2601" s="145"/>
      <c r="DO2601" s="145"/>
      <c r="DP2601" s="145"/>
      <c r="DQ2601" s="145"/>
      <c r="DR2601" s="145"/>
      <c r="DS2601" s="145"/>
      <c r="DT2601" s="145"/>
      <c r="DU2601" s="145"/>
      <c r="DV2601" s="145"/>
      <c r="DW2601" s="145"/>
      <c r="DX2601" s="145"/>
      <c r="DY2601" s="145"/>
      <c r="DZ2601" s="145"/>
      <c r="EA2601" s="145"/>
      <c r="EB2601" s="145"/>
      <c r="EC2601" s="145"/>
      <c r="ED2601" s="145"/>
      <c r="EE2601" s="145"/>
      <c r="EF2601" s="145"/>
      <c r="EG2601" s="145"/>
      <c r="EH2601" s="145"/>
      <c r="EI2601" s="145"/>
      <c r="EJ2601" s="145"/>
      <c r="EK2601" s="145"/>
      <c r="EL2601" s="145"/>
      <c r="EM2601" s="145"/>
      <c r="EN2601" s="145"/>
      <c r="EO2601" s="145"/>
      <c r="EP2601" s="145"/>
      <c r="EQ2601" s="145"/>
      <c r="ER2601" s="145"/>
      <c r="ES2601" s="145"/>
      <c r="ET2601" s="145"/>
      <c r="EU2601" s="145"/>
      <c r="EV2601" s="145"/>
      <c r="EW2601" s="145"/>
      <c r="EX2601" s="145"/>
      <c r="EY2601" s="145"/>
      <c r="EZ2601" s="145"/>
      <c r="FA2601" s="145"/>
      <c r="FB2601" s="145"/>
      <c r="FC2601" s="145"/>
      <c r="FD2601" s="145"/>
      <c r="FE2601" s="145"/>
      <c r="FF2601" s="145"/>
      <c r="FG2601" s="145"/>
      <c r="FH2601" s="145"/>
      <c r="FI2601" s="145"/>
      <c r="FJ2601" s="145"/>
      <c r="FK2601" s="145"/>
      <c r="FL2601" s="145"/>
      <c r="FM2601" s="145"/>
      <c r="FN2601" s="145"/>
      <c r="FO2601" s="145"/>
      <c r="FP2601" s="145"/>
      <c r="FQ2601" s="145"/>
      <c r="FR2601" s="145"/>
      <c r="FS2601" s="145"/>
      <c r="FT2601" s="145"/>
      <c r="FU2601" s="145"/>
      <c r="FV2601" s="145"/>
      <c r="FW2601" s="145"/>
      <c r="FX2601" s="145"/>
      <c r="FY2601" s="145"/>
      <c r="FZ2601" s="145"/>
      <c r="GA2601" s="145"/>
      <c r="GB2601" s="145"/>
      <c r="GC2601" s="145"/>
      <c r="GD2601" s="145"/>
      <c r="GE2601" s="145"/>
      <c r="GF2601" s="145"/>
      <c r="GG2601" s="145"/>
      <c r="GH2601" s="145"/>
      <c r="GI2601" s="145"/>
      <c r="GJ2601" s="145"/>
      <c r="GK2601" s="145"/>
      <c r="GL2601" s="145"/>
      <c r="GM2601" s="145"/>
      <c r="GN2601" s="145"/>
      <c r="GO2601" s="145"/>
      <c r="GP2601" s="145"/>
      <c r="GQ2601" s="145"/>
      <c r="GR2601" s="145"/>
      <c r="GS2601" s="145"/>
      <c r="GT2601" s="145"/>
      <c r="GU2601" s="145"/>
      <c r="GV2601" s="145"/>
      <c r="GW2601" s="145"/>
      <c r="GX2601" s="145"/>
      <c r="GY2601" s="145"/>
      <c r="GZ2601" s="145"/>
      <c r="HA2601" s="145"/>
      <c r="HB2601" s="145"/>
      <c r="HC2601" s="145"/>
      <c r="HD2601" s="145"/>
      <c r="HE2601" s="145"/>
      <c r="HF2601" s="145"/>
      <c r="HG2601" s="145"/>
    </row>
    <row r="2602" spans="1:215" ht="46.5" x14ac:dyDescent="0.35">
      <c r="A2602" s="277"/>
      <c r="B2602" s="286"/>
      <c r="C2602" s="286"/>
      <c r="D2602" s="287"/>
      <c r="E2602" s="304"/>
      <c r="F2602" s="304"/>
      <c r="G2602" s="272"/>
      <c r="H2602" s="136" t="s">
        <v>673</v>
      </c>
      <c r="I2602" s="181">
        <f>65102.2+D2601*96</f>
        <v>103444.6</v>
      </c>
      <c r="J2602" s="181">
        <f>I2602/D2601</f>
        <v>259</v>
      </c>
      <c r="K2602" s="181">
        <f>163+96</f>
        <v>259</v>
      </c>
      <c r="L2602" s="145"/>
      <c r="M2602" s="145"/>
      <c r="N2602" s="145"/>
      <c r="O2602" s="145"/>
      <c r="P2602" s="145"/>
      <c r="Q2602" s="145"/>
      <c r="R2602" s="145"/>
      <c r="S2602" s="145"/>
      <c r="T2602" s="145"/>
      <c r="U2602" s="145"/>
      <c r="V2602" s="145"/>
      <c r="W2602" s="145"/>
      <c r="X2602" s="145"/>
      <c r="Y2602" s="145"/>
      <c r="Z2602" s="145"/>
      <c r="AA2602" s="145"/>
      <c r="AB2602" s="145"/>
      <c r="AC2602" s="145"/>
      <c r="AD2602" s="145"/>
      <c r="AE2602" s="145"/>
      <c r="AF2602" s="145"/>
      <c r="AG2602" s="145"/>
      <c r="AH2602" s="145"/>
      <c r="AI2602" s="145"/>
      <c r="AJ2602" s="145"/>
      <c r="AK2602" s="145"/>
      <c r="AL2602" s="145"/>
      <c r="AM2602" s="145"/>
      <c r="AN2602" s="145"/>
      <c r="AO2602" s="145"/>
      <c r="AP2602" s="145"/>
      <c r="AQ2602" s="145"/>
      <c r="AR2602" s="145"/>
      <c r="AS2602" s="145"/>
      <c r="AT2602" s="145"/>
      <c r="AU2602" s="145"/>
      <c r="AV2602" s="145"/>
      <c r="AW2602" s="145"/>
      <c r="AX2602" s="145"/>
      <c r="AY2602" s="145"/>
      <c r="AZ2602" s="145"/>
      <c r="BA2602" s="145"/>
      <c r="BB2602" s="145"/>
      <c r="BC2602" s="145"/>
      <c r="BD2602" s="145"/>
      <c r="BE2602" s="145"/>
      <c r="BF2602" s="145"/>
      <c r="BG2602" s="145"/>
      <c r="BH2602" s="145"/>
      <c r="BI2602" s="145"/>
      <c r="BJ2602" s="145"/>
      <c r="BK2602" s="145"/>
      <c r="BL2602" s="145"/>
      <c r="BM2602" s="145"/>
      <c r="BN2602" s="145"/>
      <c r="BO2602" s="145"/>
      <c r="BP2602" s="145"/>
      <c r="BQ2602" s="145"/>
      <c r="BR2602" s="145"/>
      <c r="BS2602" s="145"/>
      <c r="BT2602" s="145"/>
      <c r="BU2602" s="145"/>
      <c r="BV2602" s="145"/>
      <c r="BW2602" s="145"/>
      <c r="BX2602" s="145"/>
      <c r="BY2602" s="145"/>
      <c r="BZ2602" s="145"/>
      <c r="CA2602" s="145"/>
      <c r="CB2602" s="145"/>
      <c r="CC2602" s="145"/>
      <c r="CD2602" s="145"/>
      <c r="CE2602" s="145"/>
      <c r="CF2602" s="145"/>
      <c r="CG2602" s="145"/>
      <c r="CH2602" s="145"/>
      <c r="CI2602" s="145"/>
      <c r="CJ2602" s="145"/>
      <c r="CK2602" s="145"/>
      <c r="CL2602" s="145"/>
      <c r="CM2602" s="145"/>
      <c r="CN2602" s="145"/>
      <c r="CO2602" s="145"/>
      <c r="CP2602" s="145"/>
      <c r="CQ2602" s="145"/>
      <c r="CR2602" s="145"/>
      <c r="CS2602" s="145"/>
      <c r="CT2602" s="145"/>
      <c r="CU2602" s="145"/>
      <c r="CV2602" s="145"/>
      <c r="CW2602" s="145"/>
      <c r="CX2602" s="145"/>
      <c r="CY2602" s="145"/>
      <c r="CZ2602" s="145"/>
      <c r="DA2602" s="145"/>
      <c r="DB2602" s="145"/>
      <c r="DC2602" s="145"/>
      <c r="DD2602" s="145"/>
      <c r="DE2602" s="145"/>
      <c r="DF2602" s="145"/>
      <c r="DG2602" s="145"/>
      <c r="DH2602" s="145"/>
      <c r="DI2602" s="145"/>
      <c r="DJ2602" s="145"/>
      <c r="DK2602" s="145"/>
      <c r="DL2602" s="145"/>
      <c r="DM2602" s="145"/>
      <c r="DN2602" s="145"/>
      <c r="DO2602" s="145"/>
      <c r="DP2602" s="145"/>
      <c r="DQ2602" s="145"/>
      <c r="DR2602" s="145"/>
      <c r="DS2602" s="145"/>
      <c r="DT2602" s="145"/>
      <c r="DU2602" s="145"/>
      <c r="DV2602" s="145"/>
      <c r="DW2602" s="145"/>
      <c r="DX2602" s="145"/>
      <c r="DY2602" s="145"/>
      <c r="DZ2602" s="145"/>
      <c r="EA2602" s="145"/>
      <c r="EB2602" s="145"/>
      <c r="EC2602" s="145"/>
      <c r="ED2602" s="145"/>
      <c r="EE2602" s="145"/>
      <c r="EF2602" s="145"/>
      <c r="EG2602" s="145"/>
      <c r="EH2602" s="145"/>
      <c r="EI2602" s="145"/>
      <c r="EJ2602" s="145"/>
      <c r="EK2602" s="145"/>
      <c r="EL2602" s="145"/>
      <c r="EM2602" s="145"/>
      <c r="EN2602" s="145"/>
      <c r="EO2602" s="145"/>
      <c r="EP2602" s="145"/>
      <c r="EQ2602" s="145"/>
      <c r="ER2602" s="145"/>
      <c r="ES2602" s="145"/>
      <c r="ET2602" s="145"/>
      <c r="EU2602" s="145"/>
      <c r="EV2602" s="145"/>
      <c r="EW2602" s="145"/>
      <c r="EX2602" s="145"/>
      <c r="EY2602" s="145"/>
      <c r="EZ2602" s="145"/>
      <c r="FA2602" s="145"/>
      <c r="FB2602" s="145"/>
      <c r="FC2602" s="145"/>
      <c r="FD2602" s="145"/>
      <c r="FE2602" s="145"/>
      <c r="FF2602" s="145"/>
      <c r="FG2602" s="145"/>
      <c r="FH2602" s="145"/>
      <c r="FI2602" s="145"/>
      <c r="FJ2602" s="145"/>
      <c r="FK2602" s="145"/>
      <c r="FL2602" s="145"/>
      <c r="FM2602" s="145"/>
      <c r="FN2602" s="145"/>
      <c r="FO2602" s="145"/>
      <c r="FP2602" s="145"/>
      <c r="FQ2602" s="145"/>
      <c r="FR2602" s="145"/>
      <c r="FS2602" s="145"/>
      <c r="FT2602" s="145"/>
      <c r="FU2602" s="145"/>
      <c r="FV2602" s="145"/>
      <c r="FW2602" s="145"/>
      <c r="FX2602" s="145"/>
      <c r="FY2602" s="145"/>
      <c r="FZ2602" s="145"/>
      <c r="GA2602" s="145"/>
      <c r="GB2602" s="145"/>
      <c r="GC2602" s="145"/>
      <c r="GD2602" s="145"/>
      <c r="GE2602" s="145"/>
      <c r="GF2602" s="145"/>
      <c r="GG2602" s="145"/>
      <c r="GH2602" s="145"/>
      <c r="GI2602" s="145"/>
      <c r="GJ2602" s="145"/>
      <c r="GK2602" s="145"/>
      <c r="GL2602" s="145"/>
      <c r="GM2602" s="145"/>
      <c r="GN2602" s="145"/>
      <c r="GO2602" s="145"/>
      <c r="GP2602" s="145"/>
      <c r="GQ2602" s="145"/>
      <c r="GR2602" s="145"/>
      <c r="GS2602" s="145"/>
      <c r="GT2602" s="145"/>
      <c r="GU2602" s="145"/>
      <c r="GV2602" s="145"/>
      <c r="GW2602" s="145"/>
      <c r="GX2602" s="145"/>
      <c r="GY2602" s="145"/>
      <c r="GZ2602" s="145"/>
      <c r="HA2602" s="145"/>
      <c r="HB2602" s="145"/>
      <c r="HC2602" s="145"/>
      <c r="HD2602" s="145"/>
      <c r="HE2602" s="145"/>
      <c r="HF2602" s="152"/>
      <c r="HG2602" s="152"/>
    </row>
    <row r="2603" spans="1:215" x14ac:dyDescent="0.35">
      <c r="A2603" s="168" t="s">
        <v>43</v>
      </c>
      <c r="B2603" s="168"/>
      <c r="C2603" s="170"/>
      <c r="D2603" s="181">
        <f>D2604+D2607</f>
        <v>788.4</v>
      </c>
      <c r="E2603" s="174"/>
      <c r="F2603" s="174"/>
      <c r="G2603" s="166"/>
      <c r="H2603" s="164"/>
      <c r="I2603" s="181">
        <f>I2604+I2607</f>
        <v>2370952.36</v>
      </c>
      <c r="J2603" s="181"/>
      <c r="K2603" s="181"/>
      <c r="L2603" s="145"/>
      <c r="M2603" s="145"/>
      <c r="N2603" s="145"/>
      <c r="O2603" s="145"/>
      <c r="P2603" s="145"/>
      <c r="Q2603" s="145"/>
      <c r="R2603" s="145"/>
      <c r="S2603" s="145"/>
      <c r="T2603" s="145"/>
      <c r="U2603" s="145"/>
      <c r="V2603" s="145"/>
      <c r="W2603" s="145"/>
      <c r="X2603" s="145"/>
      <c r="Y2603" s="145"/>
      <c r="Z2603" s="145"/>
      <c r="AA2603" s="145"/>
      <c r="AB2603" s="145"/>
      <c r="AC2603" s="145"/>
      <c r="AD2603" s="145"/>
      <c r="AE2603" s="145"/>
      <c r="AF2603" s="145"/>
      <c r="AG2603" s="145"/>
      <c r="AH2603" s="145"/>
      <c r="AI2603" s="145"/>
      <c r="AJ2603" s="145"/>
      <c r="AK2603" s="145"/>
      <c r="AL2603" s="145"/>
      <c r="AM2603" s="145"/>
      <c r="AN2603" s="145"/>
      <c r="AO2603" s="145"/>
      <c r="AP2603" s="145"/>
      <c r="AQ2603" s="145"/>
      <c r="AR2603" s="145"/>
      <c r="AS2603" s="145"/>
      <c r="AT2603" s="145"/>
      <c r="AU2603" s="145"/>
      <c r="AV2603" s="145"/>
      <c r="AW2603" s="145"/>
      <c r="AX2603" s="145"/>
      <c r="AY2603" s="145"/>
      <c r="AZ2603" s="145"/>
      <c r="BA2603" s="145"/>
      <c r="BB2603" s="145"/>
      <c r="BC2603" s="145"/>
      <c r="BD2603" s="145"/>
      <c r="BE2603" s="145"/>
      <c r="BF2603" s="145"/>
      <c r="BG2603" s="145"/>
      <c r="BH2603" s="145"/>
      <c r="BI2603" s="145"/>
      <c r="BJ2603" s="145"/>
      <c r="BK2603" s="145"/>
      <c r="BL2603" s="145"/>
      <c r="BM2603" s="145"/>
      <c r="BN2603" s="145"/>
      <c r="BO2603" s="145"/>
      <c r="BP2603" s="145"/>
      <c r="BQ2603" s="145"/>
      <c r="BR2603" s="145"/>
      <c r="BS2603" s="145"/>
      <c r="BT2603" s="145"/>
      <c r="BU2603" s="145"/>
      <c r="BV2603" s="145"/>
      <c r="BW2603" s="145"/>
      <c r="BX2603" s="145"/>
      <c r="BY2603" s="145"/>
      <c r="BZ2603" s="145"/>
      <c r="CA2603" s="145"/>
      <c r="CB2603" s="145"/>
      <c r="CC2603" s="145"/>
      <c r="CD2603" s="145"/>
      <c r="CE2603" s="145"/>
      <c r="CF2603" s="145"/>
      <c r="CG2603" s="145"/>
      <c r="CH2603" s="145"/>
      <c r="CI2603" s="145"/>
      <c r="CJ2603" s="145"/>
      <c r="CK2603" s="145"/>
      <c r="CL2603" s="145"/>
      <c r="CM2603" s="145"/>
      <c r="CN2603" s="145"/>
      <c r="CO2603" s="145"/>
      <c r="CP2603" s="145"/>
      <c r="CQ2603" s="145"/>
      <c r="CR2603" s="145"/>
      <c r="CS2603" s="145"/>
      <c r="CT2603" s="145"/>
      <c r="CU2603" s="145"/>
      <c r="CV2603" s="145"/>
      <c r="CW2603" s="145"/>
      <c r="CX2603" s="145"/>
      <c r="CY2603" s="145"/>
      <c r="CZ2603" s="145"/>
      <c r="DA2603" s="145"/>
      <c r="DB2603" s="145"/>
      <c r="DC2603" s="145"/>
      <c r="DD2603" s="145"/>
      <c r="DE2603" s="145"/>
      <c r="DF2603" s="145"/>
      <c r="DG2603" s="145"/>
      <c r="DH2603" s="145"/>
      <c r="DI2603" s="145"/>
      <c r="DJ2603" s="145"/>
      <c r="DK2603" s="145"/>
      <c r="DL2603" s="145"/>
      <c r="DM2603" s="145"/>
      <c r="DN2603" s="145"/>
      <c r="DO2603" s="145"/>
      <c r="DP2603" s="145"/>
      <c r="DQ2603" s="145"/>
      <c r="DR2603" s="145"/>
      <c r="DS2603" s="145"/>
      <c r="DT2603" s="145"/>
      <c r="DU2603" s="145"/>
      <c r="DV2603" s="145"/>
      <c r="DW2603" s="145"/>
      <c r="DX2603" s="145"/>
      <c r="DY2603" s="145"/>
      <c r="DZ2603" s="145"/>
      <c r="EA2603" s="145"/>
      <c r="EB2603" s="145"/>
      <c r="EC2603" s="145"/>
      <c r="ED2603" s="145"/>
      <c r="EE2603" s="145"/>
      <c r="EF2603" s="145"/>
      <c r="EG2603" s="145"/>
      <c r="EH2603" s="145"/>
      <c r="EI2603" s="145"/>
      <c r="EJ2603" s="145"/>
      <c r="EK2603" s="145"/>
      <c r="EL2603" s="145"/>
      <c r="EM2603" s="145"/>
      <c r="EN2603" s="145"/>
      <c r="EO2603" s="145"/>
      <c r="EP2603" s="145"/>
      <c r="EQ2603" s="145"/>
      <c r="ER2603" s="145"/>
      <c r="ES2603" s="145"/>
      <c r="ET2603" s="145"/>
      <c r="EU2603" s="145"/>
      <c r="EV2603" s="145"/>
      <c r="EW2603" s="145"/>
      <c r="EX2603" s="145"/>
      <c r="EY2603" s="145"/>
      <c r="EZ2603" s="145"/>
      <c r="FA2603" s="145"/>
      <c r="FB2603" s="145"/>
      <c r="FC2603" s="145"/>
      <c r="FD2603" s="145"/>
      <c r="FE2603" s="145"/>
      <c r="FF2603" s="145"/>
      <c r="FG2603" s="145"/>
      <c r="FH2603" s="145"/>
      <c r="FI2603" s="145"/>
      <c r="FJ2603" s="145"/>
      <c r="FK2603" s="145"/>
      <c r="FL2603" s="145"/>
      <c r="FM2603" s="145"/>
      <c r="FN2603" s="145"/>
      <c r="FO2603" s="145"/>
      <c r="FP2603" s="145"/>
      <c r="FQ2603" s="145"/>
      <c r="FR2603" s="145"/>
      <c r="FS2603" s="145"/>
      <c r="FT2603" s="145"/>
      <c r="FU2603" s="145"/>
      <c r="FV2603" s="145"/>
      <c r="FW2603" s="145"/>
      <c r="FX2603" s="145"/>
      <c r="FY2603" s="145"/>
      <c r="FZ2603" s="145"/>
      <c r="GA2603" s="145"/>
      <c r="GB2603" s="145"/>
      <c r="GC2603" s="145"/>
      <c r="GD2603" s="145"/>
      <c r="GE2603" s="145"/>
      <c r="GF2603" s="145"/>
      <c r="GG2603" s="145"/>
      <c r="GH2603" s="145"/>
      <c r="GI2603" s="145"/>
      <c r="GJ2603" s="145"/>
      <c r="GK2603" s="145"/>
      <c r="GL2603" s="145"/>
      <c r="GM2603" s="145"/>
      <c r="GN2603" s="145"/>
      <c r="GO2603" s="145"/>
      <c r="GP2603" s="145"/>
      <c r="GQ2603" s="145"/>
      <c r="GR2603" s="145"/>
      <c r="GS2603" s="145"/>
      <c r="GT2603" s="145"/>
      <c r="GU2603" s="145"/>
      <c r="GV2603" s="145"/>
      <c r="GW2603" s="145"/>
      <c r="GX2603" s="145"/>
      <c r="GY2603" s="145"/>
      <c r="GZ2603" s="145"/>
      <c r="HA2603" s="145"/>
      <c r="HB2603" s="145"/>
      <c r="HC2603" s="145"/>
      <c r="HD2603" s="145"/>
      <c r="HE2603" s="145"/>
      <c r="HF2603" s="145"/>
      <c r="HG2603" s="145"/>
    </row>
    <row r="2604" spans="1:215" x14ac:dyDescent="0.35">
      <c r="A2604" s="270">
        <v>1</v>
      </c>
      <c r="B2604" s="270">
        <v>4967</v>
      </c>
      <c r="C2604" s="278" t="s">
        <v>460</v>
      </c>
      <c r="D2604" s="273">
        <v>351.8</v>
      </c>
      <c r="E2604" s="282" t="s">
        <v>74</v>
      </c>
      <c r="F2604" s="282">
        <v>2</v>
      </c>
      <c r="G2604" s="270" t="s">
        <v>71</v>
      </c>
      <c r="H2604" s="136" t="s">
        <v>72</v>
      </c>
      <c r="I2604" s="181">
        <f>I2605+I2606</f>
        <v>2230367.16</v>
      </c>
      <c r="J2604" s="181">
        <f>J2605+J2606</f>
        <v>6339.87</v>
      </c>
      <c r="K2604" s="181">
        <f>K2605+K2606</f>
        <v>7539</v>
      </c>
      <c r="L2604" s="145"/>
      <c r="M2604" s="145"/>
      <c r="N2604" s="145"/>
      <c r="O2604" s="145"/>
      <c r="P2604" s="145"/>
      <c r="Q2604" s="145"/>
      <c r="R2604" s="145"/>
      <c r="S2604" s="145"/>
      <c r="T2604" s="145"/>
      <c r="U2604" s="145"/>
      <c r="V2604" s="145"/>
      <c r="W2604" s="145"/>
      <c r="X2604" s="145"/>
      <c r="Y2604" s="145"/>
      <c r="Z2604" s="145"/>
      <c r="AA2604" s="145"/>
      <c r="AB2604" s="145"/>
      <c r="AC2604" s="145"/>
      <c r="AD2604" s="145"/>
      <c r="AE2604" s="145"/>
      <c r="AF2604" s="145"/>
      <c r="AG2604" s="145"/>
      <c r="AH2604" s="145"/>
      <c r="AI2604" s="145"/>
      <c r="AJ2604" s="145"/>
      <c r="AK2604" s="145"/>
      <c r="AL2604" s="145"/>
      <c r="AM2604" s="145"/>
      <c r="AN2604" s="145"/>
      <c r="AO2604" s="145"/>
      <c r="AP2604" s="145"/>
      <c r="AQ2604" s="145"/>
      <c r="AR2604" s="145"/>
      <c r="AS2604" s="145"/>
      <c r="AT2604" s="145"/>
      <c r="AU2604" s="145"/>
      <c r="AV2604" s="145"/>
      <c r="AW2604" s="145"/>
      <c r="AX2604" s="145"/>
      <c r="AY2604" s="145"/>
      <c r="AZ2604" s="145"/>
      <c r="BA2604" s="145"/>
      <c r="BB2604" s="145"/>
      <c r="BC2604" s="145"/>
      <c r="BD2604" s="145"/>
      <c r="BE2604" s="145"/>
      <c r="BF2604" s="145"/>
      <c r="BG2604" s="145"/>
      <c r="BH2604" s="145"/>
      <c r="BI2604" s="145"/>
      <c r="BJ2604" s="145"/>
      <c r="BK2604" s="145"/>
      <c r="BL2604" s="145"/>
      <c r="BM2604" s="145"/>
      <c r="BN2604" s="145"/>
      <c r="BO2604" s="145"/>
      <c r="BP2604" s="145"/>
      <c r="BQ2604" s="145"/>
      <c r="BR2604" s="145"/>
      <c r="BS2604" s="145"/>
      <c r="BT2604" s="145"/>
      <c r="BU2604" s="145"/>
      <c r="BV2604" s="145"/>
      <c r="BW2604" s="145"/>
      <c r="BX2604" s="145"/>
      <c r="BY2604" s="145"/>
      <c r="BZ2604" s="145"/>
      <c r="CA2604" s="145"/>
      <c r="CB2604" s="145"/>
      <c r="CC2604" s="145"/>
      <c r="CD2604" s="145"/>
      <c r="CE2604" s="145"/>
      <c r="CF2604" s="145"/>
      <c r="CG2604" s="145"/>
      <c r="CH2604" s="145"/>
      <c r="CI2604" s="145"/>
      <c r="CJ2604" s="145"/>
      <c r="CK2604" s="145"/>
      <c r="CL2604" s="145"/>
      <c r="CM2604" s="145"/>
      <c r="CN2604" s="145"/>
      <c r="CO2604" s="145"/>
      <c r="CP2604" s="145"/>
      <c r="CQ2604" s="145"/>
      <c r="CR2604" s="145"/>
      <c r="CS2604" s="145"/>
      <c r="CT2604" s="145"/>
      <c r="CU2604" s="145"/>
      <c r="CV2604" s="145"/>
      <c r="CW2604" s="145"/>
      <c r="CX2604" s="145"/>
      <c r="CY2604" s="145"/>
      <c r="CZ2604" s="145"/>
      <c r="DA2604" s="145"/>
      <c r="DB2604" s="145"/>
      <c r="DC2604" s="145"/>
      <c r="DD2604" s="145"/>
      <c r="DE2604" s="145"/>
      <c r="DF2604" s="145"/>
      <c r="DG2604" s="145"/>
      <c r="DH2604" s="145"/>
      <c r="DI2604" s="145"/>
      <c r="DJ2604" s="145"/>
      <c r="DK2604" s="145"/>
      <c r="DL2604" s="145"/>
      <c r="DM2604" s="145"/>
      <c r="DN2604" s="145"/>
      <c r="DO2604" s="145"/>
      <c r="DP2604" s="145"/>
      <c r="DQ2604" s="145"/>
      <c r="DR2604" s="145"/>
      <c r="DS2604" s="145"/>
      <c r="DT2604" s="145"/>
      <c r="DU2604" s="145"/>
      <c r="DV2604" s="145"/>
      <c r="DW2604" s="145"/>
      <c r="DX2604" s="145"/>
      <c r="DY2604" s="145"/>
      <c r="DZ2604" s="145"/>
      <c r="EA2604" s="145"/>
      <c r="EB2604" s="145"/>
      <c r="EC2604" s="145"/>
      <c r="ED2604" s="145"/>
      <c r="EE2604" s="145"/>
      <c r="EF2604" s="145"/>
      <c r="EG2604" s="145"/>
      <c r="EH2604" s="145"/>
      <c r="EI2604" s="145"/>
      <c r="EJ2604" s="145"/>
      <c r="EK2604" s="145"/>
      <c r="EL2604" s="145"/>
      <c r="EM2604" s="145"/>
      <c r="EN2604" s="145"/>
      <c r="EO2604" s="145"/>
      <c r="EP2604" s="145"/>
      <c r="EQ2604" s="145"/>
      <c r="ER2604" s="145"/>
      <c r="ES2604" s="145"/>
      <c r="ET2604" s="145"/>
      <c r="EU2604" s="145"/>
      <c r="EV2604" s="145"/>
      <c r="EW2604" s="145"/>
      <c r="EX2604" s="145"/>
      <c r="EY2604" s="145"/>
      <c r="EZ2604" s="145"/>
      <c r="FA2604" s="145"/>
      <c r="FB2604" s="145"/>
      <c r="FC2604" s="145"/>
      <c r="FD2604" s="145"/>
      <c r="FE2604" s="145"/>
      <c r="FF2604" s="145"/>
      <c r="FG2604" s="145"/>
      <c r="FH2604" s="145"/>
      <c r="FI2604" s="145"/>
      <c r="FJ2604" s="145"/>
      <c r="FK2604" s="145"/>
      <c r="FL2604" s="145"/>
      <c r="FM2604" s="145"/>
      <c r="FN2604" s="145"/>
      <c r="FO2604" s="145"/>
      <c r="FP2604" s="145"/>
      <c r="FQ2604" s="145"/>
      <c r="FR2604" s="145"/>
      <c r="FS2604" s="145"/>
      <c r="FT2604" s="145"/>
      <c r="FU2604" s="145"/>
      <c r="FV2604" s="145"/>
      <c r="FW2604" s="145"/>
      <c r="FX2604" s="145"/>
      <c r="FY2604" s="145"/>
      <c r="FZ2604" s="145"/>
      <c r="GA2604" s="145"/>
      <c r="GB2604" s="145"/>
      <c r="GC2604" s="145"/>
      <c r="GD2604" s="145"/>
      <c r="GE2604" s="145"/>
      <c r="GF2604" s="145"/>
      <c r="GG2604" s="145"/>
      <c r="GH2604" s="145"/>
      <c r="GI2604" s="145"/>
      <c r="GJ2604" s="145"/>
      <c r="GK2604" s="145"/>
      <c r="GL2604" s="145"/>
      <c r="GM2604" s="145"/>
      <c r="GN2604" s="145"/>
      <c r="GO2604" s="145"/>
      <c r="GP2604" s="145"/>
      <c r="GQ2604" s="145"/>
      <c r="GR2604" s="145"/>
      <c r="GS2604" s="145"/>
      <c r="GT2604" s="145"/>
      <c r="GU2604" s="145"/>
      <c r="GV2604" s="145"/>
      <c r="GW2604" s="145"/>
      <c r="GX2604" s="145"/>
      <c r="GY2604" s="145"/>
      <c r="GZ2604" s="145"/>
      <c r="HA2604" s="145"/>
      <c r="HB2604" s="145"/>
      <c r="HC2604" s="145"/>
      <c r="HD2604" s="145"/>
      <c r="HE2604" s="145"/>
      <c r="HF2604" s="145"/>
      <c r="HG2604" s="145"/>
    </row>
    <row r="2605" spans="1:215" x14ac:dyDescent="0.35">
      <c r="A2605" s="271">
        <v>1142</v>
      </c>
      <c r="B2605" s="271"/>
      <c r="C2605" s="279"/>
      <c r="D2605" s="274"/>
      <c r="E2605" s="283"/>
      <c r="F2605" s="283"/>
      <c r="G2605" s="271"/>
      <c r="H2605" s="136" t="s">
        <v>73</v>
      </c>
      <c r="I2605" s="181">
        <v>2183637.3199999998</v>
      </c>
      <c r="J2605" s="181">
        <f>I2605/D2604</f>
        <v>6207.04</v>
      </c>
      <c r="K2605" s="181">
        <v>7381</v>
      </c>
      <c r="L2605" s="145"/>
      <c r="M2605" s="145"/>
      <c r="N2605" s="145"/>
      <c r="O2605" s="145"/>
      <c r="P2605" s="145"/>
      <c r="Q2605" s="145"/>
      <c r="R2605" s="145"/>
      <c r="S2605" s="145"/>
      <c r="T2605" s="145"/>
      <c r="U2605" s="145"/>
      <c r="V2605" s="145"/>
      <c r="W2605" s="145"/>
      <c r="X2605" s="145"/>
      <c r="Y2605" s="145"/>
      <c r="Z2605" s="145"/>
      <c r="AA2605" s="145"/>
      <c r="AB2605" s="145"/>
      <c r="AC2605" s="145"/>
      <c r="AD2605" s="145"/>
      <c r="AE2605" s="145"/>
      <c r="AF2605" s="145"/>
      <c r="AG2605" s="145"/>
      <c r="AH2605" s="145"/>
      <c r="AI2605" s="145"/>
      <c r="AJ2605" s="145"/>
      <c r="AK2605" s="145"/>
      <c r="AL2605" s="145"/>
      <c r="AM2605" s="145"/>
      <c r="AN2605" s="145"/>
      <c r="AO2605" s="145"/>
      <c r="AP2605" s="145"/>
      <c r="AQ2605" s="145"/>
      <c r="AR2605" s="145"/>
      <c r="AS2605" s="145"/>
      <c r="AT2605" s="145"/>
      <c r="AU2605" s="145"/>
      <c r="AV2605" s="145"/>
      <c r="AW2605" s="145"/>
      <c r="AX2605" s="145"/>
      <c r="AY2605" s="145"/>
      <c r="AZ2605" s="145"/>
      <c r="BA2605" s="145"/>
      <c r="BB2605" s="145"/>
      <c r="BC2605" s="145"/>
      <c r="BD2605" s="145"/>
      <c r="BE2605" s="145"/>
      <c r="BF2605" s="145"/>
      <c r="BG2605" s="145"/>
      <c r="BH2605" s="145"/>
      <c r="BI2605" s="145"/>
      <c r="BJ2605" s="145"/>
      <c r="BK2605" s="145"/>
      <c r="BL2605" s="145"/>
      <c r="BM2605" s="145"/>
      <c r="BN2605" s="145"/>
      <c r="BO2605" s="145"/>
      <c r="BP2605" s="145"/>
      <c r="BQ2605" s="145"/>
      <c r="BR2605" s="145"/>
      <c r="BS2605" s="145"/>
      <c r="BT2605" s="145"/>
      <c r="BU2605" s="145"/>
      <c r="BV2605" s="145"/>
      <c r="BW2605" s="145"/>
      <c r="BX2605" s="145"/>
      <c r="BY2605" s="145"/>
      <c r="BZ2605" s="145"/>
      <c r="CA2605" s="145"/>
      <c r="CB2605" s="145"/>
      <c r="CC2605" s="145"/>
      <c r="CD2605" s="145"/>
      <c r="CE2605" s="145"/>
      <c r="CF2605" s="145"/>
      <c r="CG2605" s="145"/>
      <c r="CH2605" s="145"/>
      <c r="CI2605" s="145"/>
      <c r="CJ2605" s="145"/>
      <c r="CK2605" s="145"/>
      <c r="CL2605" s="145"/>
      <c r="CM2605" s="145"/>
      <c r="CN2605" s="145"/>
      <c r="CO2605" s="145"/>
      <c r="CP2605" s="145"/>
      <c r="CQ2605" s="145"/>
      <c r="CR2605" s="145"/>
      <c r="CS2605" s="145"/>
      <c r="CT2605" s="145"/>
      <c r="CU2605" s="145"/>
      <c r="CV2605" s="145"/>
      <c r="CW2605" s="145"/>
      <c r="CX2605" s="145"/>
      <c r="CY2605" s="145"/>
      <c r="CZ2605" s="145"/>
      <c r="DA2605" s="145"/>
      <c r="DB2605" s="145"/>
      <c r="DC2605" s="145"/>
      <c r="DD2605" s="145"/>
      <c r="DE2605" s="145"/>
      <c r="DF2605" s="145"/>
      <c r="DG2605" s="145"/>
      <c r="DH2605" s="145"/>
      <c r="DI2605" s="145"/>
      <c r="DJ2605" s="145"/>
      <c r="DK2605" s="145"/>
      <c r="DL2605" s="145"/>
      <c r="DM2605" s="145"/>
      <c r="DN2605" s="145"/>
      <c r="DO2605" s="145"/>
      <c r="DP2605" s="145"/>
      <c r="DQ2605" s="145"/>
      <c r="DR2605" s="145"/>
      <c r="DS2605" s="145"/>
      <c r="DT2605" s="145"/>
      <c r="DU2605" s="145"/>
      <c r="DV2605" s="145"/>
      <c r="DW2605" s="145"/>
      <c r="DX2605" s="145"/>
      <c r="DY2605" s="145"/>
      <c r="DZ2605" s="145"/>
      <c r="EA2605" s="145"/>
      <c r="EB2605" s="145"/>
      <c r="EC2605" s="145"/>
      <c r="ED2605" s="145"/>
      <c r="EE2605" s="145"/>
      <c r="EF2605" s="145"/>
      <c r="EG2605" s="145"/>
      <c r="EH2605" s="145"/>
      <c r="EI2605" s="145"/>
      <c r="EJ2605" s="145"/>
      <c r="EK2605" s="145"/>
      <c r="EL2605" s="145"/>
      <c r="EM2605" s="145"/>
      <c r="EN2605" s="145"/>
      <c r="EO2605" s="145"/>
      <c r="EP2605" s="145"/>
      <c r="EQ2605" s="145"/>
      <c r="ER2605" s="145"/>
      <c r="ES2605" s="145"/>
      <c r="ET2605" s="145"/>
      <c r="EU2605" s="145"/>
      <c r="EV2605" s="145"/>
      <c r="EW2605" s="145"/>
      <c r="EX2605" s="145"/>
      <c r="EY2605" s="145"/>
      <c r="EZ2605" s="145"/>
      <c r="FA2605" s="145"/>
      <c r="FB2605" s="145"/>
      <c r="FC2605" s="145"/>
      <c r="FD2605" s="145"/>
      <c r="FE2605" s="145"/>
      <c r="FF2605" s="145"/>
      <c r="FG2605" s="145"/>
      <c r="FH2605" s="145"/>
      <c r="FI2605" s="145"/>
      <c r="FJ2605" s="145"/>
      <c r="FK2605" s="145"/>
      <c r="FL2605" s="145"/>
      <c r="FM2605" s="145"/>
      <c r="FN2605" s="145"/>
      <c r="FO2605" s="145"/>
      <c r="FP2605" s="145"/>
      <c r="FQ2605" s="145"/>
      <c r="FR2605" s="145"/>
      <c r="FS2605" s="145"/>
      <c r="FT2605" s="145"/>
      <c r="FU2605" s="145"/>
      <c r="FV2605" s="145"/>
      <c r="FW2605" s="145"/>
      <c r="FX2605" s="145"/>
      <c r="FY2605" s="145"/>
      <c r="FZ2605" s="145"/>
      <c r="GA2605" s="145"/>
      <c r="GB2605" s="145"/>
      <c r="GC2605" s="145"/>
      <c r="GD2605" s="145"/>
      <c r="GE2605" s="145"/>
      <c r="GF2605" s="145"/>
      <c r="GG2605" s="145"/>
      <c r="GH2605" s="145"/>
      <c r="GI2605" s="145"/>
      <c r="GJ2605" s="145"/>
      <c r="GK2605" s="145"/>
      <c r="GL2605" s="145"/>
      <c r="GM2605" s="145"/>
      <c r="GN2605" s="145"/>
      <c r="GO2605" s="145"/>
      <c r="GP2605" s="145"/>
      <c r="GQ2605" s="145"/>
      <c r="GR2605" s="145"/>
      <c r="GS2605" s="145"/>
      <c r="GT2605" s="145"/>
      <c r="GU2605" s="145"/>
      <c r="GV2605" s="145"/>
      <c r="GW2605" s="145"/>
      <c r="GX2605" s="145"/>
      <c r="GY2605" s="145"/>
      <c r="GZ2605" s="145"/>
      <c r="HA2605" s="145"/>
      <c r="HB2605" s="145"/>
      <c r="HC2605" s="145"/>
      <c r="HD2605" s="145"/>
      <c r="HE2605" s="145"/>
      <c r="HF2605" s="152"/>
      <c r="HG2605" s="152"/>
    </row>
    <row r="2606" spans="1:215" x14ac:dyDescent="0.35">
      <c r="A2606" s="272">
        <v>1143</v>
      </c>
      <c r="B2606" s="272"/>
      <c r="C2606" s="285"/>
      <c r="D2606" s="275"/>
      <c r="E2606" s="284"/>
      <c r="F2606" s="284"/>
      <c r="G2606" s="272"/>
      <c r="H2606" s="136" t="s">
        <v>75</v>
      </c>
      <c r="I2606" s="181">
        <f>I2605*0.0214</f>
        <v>46729.84</v>
      </c>
      <c r="J2606" s="181">
        <f>I2606/D2604</f>
        <v>132.83000000000001</v>
      </c>
      <c r="K2606" s="181">
        <v>158</v>
      </c>
      <c r="L2606" s="145"/>
      <c r="M2606" s="145"/>
      <c r="N2606" s="145"/>
      <c r="O2606" s="145"/>
      <c r="P2606" s="145"/>
      <c r="Q2606" s="145"/>
      <c r="R2606" s="145"/>
      <c r="S2606" s="145"/>
      <c r="T2606" s="145"/>
      <c r="U2606" s="145"/>
      <c r="V2606" s="145"/>
      <c r="W2606" s="145"/>
      <c r="X2606" s="145"/>
      <c r="Y2606" s="145"/>
      <c r="Z2606" s="145"/>
      <c r="AA2606" s="145"/>
      <c r="AB2606" s="145"/>
      <c r="AC2606" s="145"/>
      <c r="AD2606" s="145"/>
      <c r="AE2606" s="145"/>
      <c r="AF2606" s="145"/>
      <c r="AG2606" s="145"/>
      <c r="AH2606" s="145"/>
      <c r="AI2606" s="145"/>
      <c r="AJ2606" s="145"/>
      <c r="AK2606" s="145"/>
      <c r="AL2606" s="145"/>
      <c r="AM2606" s="145"/>
      <c r="AN2606" s="145"/>
      <c r="AO2606" s="145"/>
      <c r="AP2606" s="145"/>
      <c r="AQ2606" s="145"/>
      <c r="AR2606" s="145"/>
      <c r="AS2606" s="145"/>
      <c r="AT2606" s="145"/>
      <c r="AU2606" s="145"/>
      <c r="AV2606" s="145"/>
      <c r="AW2606" s="145"/>
      <c r="AX2606" s="145"/>
      <c r="AY2606" s="145"/>
      <c r="AZ2606" s="145"/>
      <c r="BA2606" s="145"/>
      <c r="BB2606" s="145"/>
      <c r="BC2606" s="145"/>
      <c r="BD2606" s="145"/>
      <c r="BE2606" s="145"/>
      <c r="BF2606" s="145"/>
      <c r="BG2606" s="145"/>
      <c r="BH2606" s="145"/>
      <c r="BI2606" s="145"/>
      <c r="BJ2606" s="145"/>
      <c r="BK2606" s="145"/>
      <c r="BL2606" s="145"/>
      <c r="BM2606" s="145"/>
      <c r="BN2606" s="145"/>
      <c r="BO2606" s="145"/>
      <c r="BP2606" s="145"/>
      <c r="BQ2606" s="145"/>
      <c r="BR2606" s="145"/>
      <c r="BS2606" s="145"/>
      <c r="BT2606" s="145"/>
      <c r="BU2606" s="145"/>
      <c r="BV2606" s="145"/>
      <c r="BW2606" s="145"/>
      <c r="BX2606" s="145"/>
      <c r="BY2606" s="145"/>
      <c r="BZ2606" s="145"/>
      <c r="CA2606" s="145"/>
      <c r="CB2606" s="145"/>
      <c r="CC2606" s="145"/>
      <c r="CD2606" s="145"/>
      <c r="CE2606" s="145"/>
      <c r="CF2606" s="145"/>
      <c r="CG2606" s="145"/>
      <c r="CH2606" s="145"/>
      <c r="CI2606" s="145"/>
      <c r="CJ2606" s="145"/>
      <c r="CK2606" s="145"/>
      <c r="CL2606" s="145"/>
      <c r="CM2606" s="145"/>
      <c r="CN2606" s="145"/>
      <c r="CO2606" s="145"/>
      <c r="CP2606" s="145"/>
      <c r="CQ2606" s="145"/>
      <c r="CR2606" s="145"/>
      <c r="CS2606" s="145"/>
      <c r="CT2606" s="145"/>
      <c r="CU2606" s="145"/>
      <c r="CV2606" s="145"/>
      <c r="CW2606" s="145"/>
      <c r="CX2606" s="145"/>
      <c r="CY2606" s="145"/>
      <c r="CZ2606" s="145"/>
      <c r="DA2606" s="145"/>
      <c r="DB2606" s="145"/>
      <c r="DC2606" s="145"/>
      <c r="DD2606" s="145"/>
      <c r="DE2606" s="145"/>
      <c r="DF2606" s="145"/>
      <c r="DG2606" s="145"/>
      <c r="DH2606" s="145"/>
      <c r="DI2606" s="145"/>
      <c r="DJ2606" s="145"/>
      <c r="DK2606" s="145"/>
      <c r="DL2606" s="145"/>
      <c r="DM2606" s="145"/>
      <c r="DN2606" s="145"/>
      <c r="DO2606" s="145"/>
      <c r="DP2606" s="145"/>
      <c r="DQ2606" s="145"/>
      <c r="DR2606" s="145"/>
      <c r="DS2606" s="145"/>
      <c r="DT2606" s="145"/>
      <c r="DU2606" s="145"/>
      <c r="DV2606" s="145"/>
      <c r="DW2606" s="145"/>
      <c r="DX2606" s="145"/>
      <c r="DY2606" s="145"/>
      <c r="DZ2606" s="145"/>
      <c r="EA2606" s="145"/>
      <c r="EB2606" s="145"/>
      <c r="EC2606" s="145"/>
      <c r="ED2606" s="145"/>
      <c r="EE2606" s="145"/>
      <c r="EF2606" s="145"/>
      <c r="EG2606" s="145"/>
      <c r="EH2606" s="145"/>
      <c r="EI2606" s="145"/>
      <c r="EJ2606" s="145"/>
      <c r="EK2606" s="145"/>
      <c r="EL2606" s="145"/>
      <c r="EM2606" s="145"/>
      <c r="EN2606" s="145"/>
      <c r="EO2606" s="145"/>
      <c r="EP2606" s="145"/>
      <c r="EQ2606" s="145"/>
      <c r="ER2606" s="145"/>
      <c r="ES2606" s="145"/>
      <c r="ET2606" s="145"/>
      <c r="EU2606" s="145"/>
      <c r="EV2606" s="145"/>
      <c r="EW2606" s="145"/>
      <c r="EX2606" s="145"/>
      <c r="EY2606" s="145"/>
      <c r="EZ2606" s="145"/>
      <c r="FA2606" s="145"/>
      <c r="FB2606" s="145"/>
      <c r="FC2606" s="145"/>
      <c r="FD2606" s="145"/>
      <c r="FE2606" s="145"/>
      <c r="FF2606" s="145"/>
      <c r="FG2606" s="145"/>
      <c r="FH2606" s="145"/>
      <c r="FI2606" s="145"/>
      <c r="FJ2606" s="145"/>
      <c r="FK2606" s="145"/>
      <c r="FL2606" s="145"/>
      <c r="FM2606" s="145"/>
      <c r="FN2606" s="145"/>
      <c r="FO2606" s="145"/>
      <c r="FP2606" s="145"/>
      <c r="FQ2606" s="145"/>
      <c r="FR2606" s="145"/>
      <c r="FS2606" s="145"/>
      <c r="FT2606" s="145"/>
      <c r="FU2606" s="145"/>
      <c r="FV2606" s="145"/>
      <c r="FW2606" s="145"/>
      <c r="FX2606" s="145"/>
      <c r="FY2606" s="145"/>
      <c r="FZ2606" s="145"/>
      <c r="GA2606" s="145"/>
      <c r="GB2606" s="145"/>
      <c r="GC2606" s="145"/>
      <c r="GD2606" s="145"/>
      <c r="GE2606" s="145"/>
      <c r="GF2606" s="145"/>
      <c r="GG2606" s="145"/>
      <c r="GH2606" s="145"/>
      <c r="GI2606" s="145"/>
      <c r="GJ2606" s="145"/>
      <c r="GK2606" s="145"/>
      <c r="GL2606" s="145"/>
      <c r="GM2606" s="145"/>
      <c r="GN2606" s="145"/>
      <c r="GO2606" s="145"/>
      <c r="GP2606" s="145"/>
      <c r="GQ2606" s="145"/>
      <c r="GR2606" s="145"/>
      <c r="GS2606" s="145"/>
      <c r="GT2606" s="145"/>
      <c r="GU2606" s="145"/>
      <c r="GV2606" s="145"/>
      <c r="GW2606" s="145"/>
      <c r="GX2606" s="145"/>
      <c r="GY2606" s="145"/>
      <c r="GZ2606" s="145"/>
      <c r="HA2606" s="145"/>
      <c r="HB2606" s="145"/>
      <c r="HC2606" s="145"/>
      <c r="HD2606" s="145"/>
      <c r="HE2606" s="145"/>
      <c r="HF2606" s="145"/>
      <c r="HG2606" s="145"/>
    </row>
    <row r="2607" spans="1:215" x14ac:dyDescent="0.35">
      <c r="A2607" s="270">
        <f>A2604+1</f>
        <v>2</v>
      </c>
      <c r="B2607" s="270">
        <v>4971</v>
      </c>
      <c r="C2607" s="278" t="s">
        <v>611</v>
      </c>
      <c r="D2607" s="273">
        <v>436.6</v>
      </c>
      <c r="E2607" s="282" t="s">
        <v>74</v>
      </c>
      <c r="F2607" s="282">
        <v>2</v>
      </c>
      <c r="G2607" s="270" t="s">
        <v>84</v>
      </c>
      <c r="H2607" s="136" t="s">
        <v>72</v>
      </c>
      <c r="I2607" s="181">
        <f>I2609+I2608</f>
        <v>140585.20000000001</v>
      </c>
      <c r="J2607" s="181">
        <f>J2609+J2608</f>
        <v>322</v>
      </c>
      <c r="K2607" s="181">
        <f>K2609+K2608</f>
        <v>322</v>
      </c>
      <c r="L2607" s="145"/>
      <c r="M2607" s="145"/>
      <c r="N2607" s="145"/>
      <c r="O2607" s="145"/>
      <c r="P2607" s="145"/>
      <c r="Q2607" s="145"/>
      <c r="R2607" s="145"/>
      <c r="S2607" s="145"/>
      <c r="T2607" s="145"/>
      <c r="U2607" s="145"/>
      <c r="V2607" s="145"/>
      <c r="W2607" s="145"/>
      <c r="X2607" s="145"/>
      <c r="Y2607" s="145"/>
      <c r="Z2607" s="145"/>
      <c r="AA2607" s="145"/>
      <c r="AB2607" s="145"/>
      <c r="AC2607" s="145"/>
      <c r="AD2607" s="145"/>
      <c r="AE2607" s="145"/>
      <c r="AF2607" s="145"/>
      <c r="AG2607" s="145"/>
      <c r="AH2607" s="145"/>
      <c r="AI2607" s="145"/>
      <c r="AJ2607" s="145"/>
      <c r="AK2607" s="145"/>
      <c r="AL2607" s="145"/>
      <c r="AM2607" s="145"/>
      <c r="AN2607" s="145"/>
      <c r="AO2607" s="145"/>
      <c r="AP2607" s="145"/>
      <c r="AQ2607" s="145"/>
      <c r="AR2607" s="145"/>
      <c r="AS2607" s="145"/>
      <c r="AT2607" s="145"/>
      <c r="AU2607" s="145"/>
      <c r="AV2607" s="145"/>
      <c r="AW2607" s="145"/>
      <c r="AX2607" s="145"/>
      <c r="AY2607" s="145"/>
      <c r="AZ2607" s="145"/>
      <c r="BA2607" s="145"/>
      <c r="BB2607" s="145"/>
      <c r="BC2607" s="145"/>
      <c r="BD2607" s="145"/>
      <c r="BE2607" s="145"/>
      <c r="BF2607" s="145"/>
      <c r="BG2607" s="145"/>
      <c r="BH2607" s="145"/>
      <c r="BI2607" s="145"/>
      <c r="BJ2607" s="145"/>
      <c r="BK2607" s="145"/>
      <c r="BL2607" s="145"/>
      <c r="BM2607" s="145"/>
      <c r="BN2607" s="145"/>
      <c r="BO2607" s="145"/>
      <c r="BP2607" s="145"/>
      <c r="BQ2607" s="145"/>
      <c r="BR2607" s="145"/>
      <c r="BS2607" s="145"/>
      <c r="BT2607" s="145"/>
      <c r="BU2607" s="145"/>
      <c r="BV2607" s="145"/>
      <c r="BW2607" s="145"/>
      <c r="BX2607" s="145"/>
      <c r="BY2607" s="145"/>
      <c r="BZ2607" s="145"/>
      <c r="CA2607" s="145"/>
      <c r="CB2607" s="145"/>
      <c r="CC2607" s="145"/>
      <c r="CD2607" s="145"/>
      <c r="CE2607" s="145"/>
      <c r="CF2607" s="145"/>
      <c r="CG2607" s="145"/>
      <c r="CH2607" s="145"/>
      <c r="CI2607" s="145"/>
      <c r="CJ2607" s="145"/>
      <c r="CK2607" s="145"/>
      <c r="CL2607" s="145"/>
      <c r="CM2607" s="145"/>
      <c r="CN2607" s="145"/>
      <c r="CO2607" s="145"/>
      <c r="CP2607" s="145"/>
      <c r="CQ2607" s="145"/>
      <c r="CR2607" s="145"/>
      <c r="CS2607" s="145"/>
      <c r="CT2607" s="145"/>
      <c r="CU2607" s="145"/>
      <c r="CV2607" s="145"/>
      <c r="CW2607" s="145"/>
      <c r="CX2607" s="145"/>
      <c r="CY2607" s="145"/>
      <c r="CZ2607" s="145"/>
      <c r="DA2607" s="145"/>
      <c r="DB2607" s="145"/>
      <c r="DC2607" s="145"/>
      <c r="DD2607" s="145"/>
      <c r="DE2607" s="145"/>
      <c r="DF2607" s="145"/>
      <c r="DG2607" s="145"/>
      <c r="DH2607" s="145"/>
      <c r="DI2607" s="145"/>
      <c r="DJ2607" s="145"/>
      <c r="DK2607" s="145"/>
      <c r="DL2607" s="145"/>
      <c r="DM2607" s="145"/>
      <c r="DN2607" s="145"/>
      <c r="DO2607" s="145"/>
      <c r="DP2607" s="145"/>
      <c r="DQ2607" s="145"/>
      <c r="DR2607" s="145"/>
      <c r="DS2607" s="145"/>
      <c r="DT2607" s="145"/>
      <c r="DU2607" s="145"/>
      <c r="DV2607" s="145"/>
      <c r="DW2607" s="145"/>
      <c r="DX2607" s="145"/>
      <c r="DY2607" s="145"/>
      <c r="DZ2607" s="145"/>
      <c r="EA2607" s="145"/>
      <c r="EB2607" s="145"/>
      <c r="EC2607" s="145"/>
      <c r="ED2607" s="145"/>
      <c r="EE2607" s="145"/>
      <c r="EF2607" s="145"/>
      <c r="EG2607" s="145"/>
      <c r="EH2607" s="145"/>
      <c r="EI2607" s="145"/>
      <c r="EJ2607" s="145"/>
      <c r="EK2607" s="145"/>
      <c r="EL2607" s="145"/>
      <c r="EM2607" s="145"/>
      <c r="EN2607" s="145"/>
      <c r="EO2607" s="145"/>
      <c r="EP2607" s="145"/>
      <c r="EQ2607" s="145"/>
      <c r="ER2607" s="145"/>
      <c r="ES2607" s="145"/>
      <c r="ET2607" s="145"/>
      <c r="EU2607" s="145"/>
      <c r="EV2607" s="145"/>
      <c r="EW2607" s="145"/>
      <c r="EX2607" s="145"/>
      <c r="EY2607" s="145"/>
      <c r="EZ2607" s="145"/>
      <c r="FA2607" s="145"/>
      <c r="FB2607" s="145"/>
      <c r="FC2607" s="145"/>
      <c r="FD2607" s="145"/>
      <c r="FE2607" s="145"/>
      <c r="FF2607" s="145"/>
      <c r="FG2607" s="145"/>
      <c r="FH2607" s="145"/>
      <c r="FI2607" s="145"/>
      <c r="FJ2607" s="145"/>
      <c r="FK2607" s="145"/>
      <c r="FL2607" s="145"/>
      <c r="FM2607" s="145"/>
      <c r="FN2607" s="145"/>
      <c r="FO2607" s="145"/>
      <c r="FP2607" s="145"/>
      <c r="FQ2607" s="145"/>
      <c r="FR2607" s="145"/>
      <c r="FS2607" s="145"/>
      <c r="FT2607" s="145"/>
      <c r="FU2607" s="145"/>
      <c r="FV2607" s="145"/>
      <c r="FW2607" s="145"/>
      <c r="FX2607" s="145"/>
      <c r="FY2607" s="145"/>
      <c r="FZ2607" s="145"/>
      <c r="GA2607" s="145"/>
      <c r="GB2607" s="145"/>
      <c r="GC2607" s="145"/>
      <c r="GD2607" s="145"/>
      <c r="GE2607" s="145"/>
      <c r="GF2607" s="145"/>
      <c r="GG2607" s="145"/>
      <c r="GH2607" s="145"/>
      <c r="GI2607" s="145"/>
      <c r="GJ2607" s="145"/>
      <c r="GK2607" s="145"/>
      <c r="GL2607" s="145"/>
      <c r="GM2607" s="145"/>
      <c r="GN2607" s="145"/>
      <c r="GO2607" s="145"/>
      <c r="GP2607" s="145"/>
      <c r="GQ2607" s="145"/>
      <c r="GR2607" s="145"/>
      <c r="GS2607" s="145"/>
      <c r="GT2607" s="145"/>
      <c r="GU2607" s="145"/>
      <c r="GV2607" s="145"/>
      <c r="GW2607" s="145"/>
      <c r="GX2607" s="145"/>
      <c r="GY2607" s="145"/>
      <c r="GZ2607" s="145"/>
      <c r="HA2607" s="145"/>
      <c r="HB2607" s="145"/>
      <c r="HC2607" s="145"/>
      <c r="HD2607" s="145"/>
      <c r="HE2607" s="145"/>
      <c r="HF2607" s="145"/>
      <c r="HG2607" s="145"/>
    </row>
    <row r="2608" spans="1:215" ht="46.5" x14ac:dyDescent="0.35">
      <c r="A2608" s="271"/>
      <c r="B2608" s="271"/>
      <c r="C2608" s="279"/>
      <c r="D2608" s="274"/>
      <c r="E2608" s="283"/>
      <c r="F2608" s="283"/>
      <c r="G2608" s="271"/>
      <c r="H2608" s="136" t="s">
        <v>673</v>
      </c>
      <c r="I2608" s="181">
        <f>D2607*K2608</f>
        <v>57631.199999999997</v>
      </c>
      <c r="J2608" s="181">
        <f>I2608/D2607</f>
        <v>132</v>
      </c>
      <c r="K2608" s="181">
        <f>105+27</f>
        <v>132</v>
      </c>
      <c r="L2608" s="145"/>
      <c r="M2608" s="145"/>
      <c r="N2608" s="145"/>
      <c r="O2608" s="145"/>
      <c r="P2608" s="145"/>
      <c r="Q2608" s="145"/>
      <c r="R2608" s="145"/>
      <c r="S2608" s="145"/>
      <c r="T2608" s="145"/>
      <c r="U2608" s="145"/>
      <c r="V2608" s="145"/>
      <c r="W2608" s="145"/>
      <c r="X2608" s="145"/>
      <c r="Y2608" s="145"/>
      <c r="Z2608" s="145"/>
      <c r="AA2608" s="145"/>
      <c r="AB2608" s="145"/>
      <c r="AC2608" s="145"/>
      <c r="AD2608" s="145"/>
      <c r="AE2608" s="145"/>
      <c r="AF2608" s="145"/>
      <c r="AG2608" s="145"/>
      <c r="AH2608" s="145"/>
      <c r="AI2608" s="145"/>
      <c r="AJ2608" s="145"/>
      <c r="AK2608" s="145"/>
      <c r="AL2608" s="145"/>
      <c r="AM2608" s="145"/>
      <c r="AN2608" s="145"/>
      <c r="AO2608" s="145"/>
      <c r="AP2608" s="145"/>
      <c r="AQ2608" s="145"/>
      <c r="AR2608" s="145"/>
      <c r="AS2608" s="145"/>
      <c r="AT2608" s="145"/>
      <c r="AU2608" s="145"/>
      <c r="AV2608" s="145"/>
      <c r="AW2608" s="145"/>
      <c r="AX2608" s="145"/>
      <c r="AY2608" s="145"/>
      <c r="AZ2608" s="145"/>
      <c r="BA2608" s="145"/>
      <c r="BB2608" s="145"/>
      <c r="BC2608" s="145"/>
      <c r="BD2608" s="145"/>
      <c r="BE2608" s="145"/>
      <c r="BF2608" s="145"/>
      <c r="BG2608" s="145"/>
      <c r="BH2608" s="145"/>
      <c r="BI2608" s="145"/>
      <c r="BJ2608" s="145"/>
      <c r="BK2608" s="145"/>
      <c r="BL2608" s="145"/>
      <c r="BM2608" s="145"/>
      <c r="BN2608" s="145"/>
      <c r="BO2608" s="145"/>
      <c r="BP2608" s="145"/>
      <c r="BQ2608" s="145"/>
      <c r="BR2608" s="145"/>
      <c r="BS2608" s="145"/>
      <c r="BT2608" s="145"/>
      <c r="BU2608" s="145"/>
      <c r="BV2608" s="145"/>
      <c r="BW2608" s="145"/>
      <c r="BX2608" s="145"/>
      <c r="BY2608" s="145"/>
      <c r="BZ2608" s="145"/>
      <c r="CA2608" s="145"/>
      <c r="CB2608" s="145"/>
      <c r="CC2608" s="145"/>
      <c r="CD2608" s="145"/>
      <c r="CE2608" s="145"/>
      <c r="CF2608" s="145"/>
      <c r="CG2608" s="145"/>
      <c r="CH2608" s="145"/>
      <c r="CI2608" s="145"/>
      <c r="CJ2608" s="145"/>
      <c r="CK2608" s="145"/>
      <c r="CL2608" s="145"/>
      <c r="CM2608" s="145"/>
      <c r="CN2608" s="145"/>
      <c r="CO2608" s="145"/>
      <c r="CP2608" s="145"/>
      <c r="CQ2608" s="145"/>
      <c r="CR2608" s="145"/>
      <c r="CS2608" s="145"/>
      <c r="CT2608" s="145"/>
      <c r="CU2608" s="145"/>
      <c r="CV2608" s="145"/>
      <c r="CW2608" s="145"/>
      <c r="CX2608" s="145"/>
      <c r="CY2608" s="145"/>
      <c r="CZ2608" s="145"/>
      <c r="DA2608" s="145"/>
      <c r="DB2608" s="145"/>
      <c r="DC2608" s="145"/>
      <c r="DD2608" s="145"/>
      <c r="DE2608" s="145"/>
      <c r="DF2608" s="145"/>
      <c r="DG2608" s="145"/>
      <c r="DH2608" s="145"/>
      <c r="DI2608" s="145"/>
      <c r="DJ2608" s="145"/>
      <c r="DK2608" s="145"/>
      <c r="DL2608" s="145"/>
      <c r="DM2608" s="145"/>
      <c r="DN2608" s="145"/>
      <c r="DO2608" s="145"/>
      <c r="DP2608" s="145"/>
      <c r="DQ2608" s="145"/>
      <c r="DR2608" s="145"/>
      <c r="DS2608" s="145"/>
      <c r="DT2608" s="145"/>
      <c r="DU2608" s="145"/>
      <c r="DV2608" s="145"/>
      <c r="DW2608" s="145"/>
      <c r="DX2608" s="145"/>
      <c r="DY2608" s="145"/>
      <c r="DZ2608" s="145"/>
      <c r="EA2608" s="145"/>
      <c r="EB2608" s="145"/>
      <c r="EC2608" s="145"/>
      <c r="ED2608" s="145"/>
      <c r="EE2608" s="145"/>
      <c r="EF2608" s="145"/>
      <c r="EG2608" s="145"/>
      <c r="EH2608" s="145"/>
      <c r="EI2608" s="145"/>
      <c r="EJ2608" s="145"/>
      <c r="EK2608" s="145"/>
      <c r="EL2608" s="145"/>
      <c r="EM2608" s="145"/>
      <c r="EN2608" s="145"/>
      <c r="EO2608" s="145"/>
      <c r="EP2608" s="145"/>
      <c r="EQ2608" s="145"/>
      <c r="ER2608" s="145"/>
      <c r="ES2608" s="145"/>
      <c r="ET2608" s="145"/>
      <c r="EU2608" s="145"/>
      <c r="EV2608" s="145"/>
      <c r="EW2608" s="145"/>
      <c r="EX2608" s="145"/>
      <c r="EY2608" s="145"/>
      <c r="EZ2608" s="145"/>
      <c r="FA2608" s="145"/>
      <c r="FB2608" s="145"/>
      <c r="FC2608" s="145"/>
      <c r="FD2608" s="145"/>
      <c r="FE2608" s="145"/>
      <c r="FF2608" s="145"/>
      <c r="FG2608" s="145"/>
      <c r="FH2608" s="145"/>
      <c r="FI2608" s="145"/>
      <c r="FJ2608" s="145"/>
      <c r="FK2608" s="145"/>
      <c r="FL2608" s="145"/>
      <c r="FM2608" s="145"/>
      <c r="FN2608" s="145"/>
      <c r="FO2608" s="145"/>
      <c r="FP2608" s="145"/>
      <c r="FQ2608" s="145"/>
      <c r="FR2608" s="145"/>
      <c r="FS2608" s="145"/>
      <c r="FT2608" s="145"/>
      <c r="FU2608" s="145"/>
      <c r="FV2608" s="145"/>
      <c r="FW2608" s="145"/>
      <c r="FX2608" s="145"/>
      <c r="FY2608" s="145"/>
      <c r="FZ2608" s="145"/>
      <c r="GA2608" s="145"/>
      <c r="GB2608" s="145"/>
      <c r="GC2608" s="145"/>
      <c r="GD2608" s="145"/>
      <c r="GE2608" s="145"/>
      <c r="GF2608" s="145"/>
      <c r="GG2608" s="145"/>
      <c r="GH2608" s="145"/>
      <c r="GI2608" s="145"/>
      <c r="GJ2608" s="145"/>
      <c r="GK2608" s="145"/>
      <c r="GL2608" s="145"/>
      <c r="GM2608" s="145"/>
      <c r="GN2608" s="145"/>
      <c r="GO2608" s="145"/>
      <c r="GP2608" s="145"/>
      <c r="GQ2608" s="145"/>
      <c r="GR2608" s="145"/>
      <c r="GS2608" s="145"/>
      <c r="GT2608" s="145"/>
      <c r="GU2608" s="145"/>
      <c r="GV2608" s="145"/>
      <c r="GW2608" s="145"/>
      <c r="GX2608" s="145"/>
      <c r="GY2608" s="145"/>
      <c r="GZ2608" s="145"/>
      <c r="HA2608" s="145"/>
      <c r="HB2608" s="145"/>
      <c r="HC2608" s="145"/>
      <c r="HD2608" s="145"/>
      <c r="HE2608" s="145"/>
      <c r="HF2608" s="145"/>
      <c r="HG2608" s="145"/>
    </row>
    <row r="2609" spans="1:215" ht="46.5" x14ac:dyDescent="0.35">
      <c r="A2609" s="272"/>
      <c r="B2609" s="272"/>
      <c r="C2609" s="285"/>
      <c r="D2609" s="275"/>
      <c r="E2609" s="284"/>
      <c r="F2609" s="284"/>
      <c r="G2609" s="272"/>
      <c r="H2609" s="136" t="s">
        <v>674</v>
      </c>
      <c r="I2609" s="181">
        <f>D2607*K2609</f>
        <v>82954</v>
      </c>
      <c r="J2609" s="181">
        <f>I2609/D2607</f>
        <v>190</v>
      </c>
      <c r="K2609" s="181">
        <f>162+28</f>
        <v>190</v>
      </c>
      <c r="L2609" s="145"/>
      <c r="M2609" s="145"/>
      <c r="N2609" s="145"/>
      <c r="O2609" s="145"/>
      <c r="P2609" s="145"/>
      <c r="Q2609" s="145"/>
      <c r="R2609" s="145"/>
      <c r="S2609" s="145"/>
      <c r="T2609" s="145"/>
      <c r="U2609" s="145"/>
      <c r="V2609" s="145"/>
      <c r="W2609" s="145"/>
      <c r="X2609" s="145"/>
      <c r="Y2609" s="145"/>
      <c r="Z2609" s="145"/>
      <c r="AA2609" s="145"/>
      <c r="AB2609" s="145"/>
      <c r="AC2609" s="145"/>
      <c r="AD2609" s="145"/>
      <c r="AE2609" s="145"/>
      <c r="AF2609" s="145"/>
      <c r="AG2609" s="145"/>
      <c r="AH2609" s="145"/>
      <c r="AI2609" s="145"/>
      <c r="AJ2609" s="145"/>
      <c r="AK2609" s="145"/>
      <c r="AL2609" s="145"/>
      <c r="AM2609" s="145"/>
      <c r="AN2609" s="145"/>
      <c r="AO2609" s="145"/>
      <c r="AP2609" s="145"/>
      <c r="AQ2609" s="145"/>
      <c r="AR2609" s="145"/>
      <c r="AS2609" s="145"/>
      <c r="AT2609" s="145"/>
      <c r="AU2609" s="145"/>
      <c r="AV2609" s="145"/>
      <c r="AW2609" s="145"/>
      <c r="AX2609" s="145"/>
      <c r="AY2609" s="145"/>
      <c r="AZ2609" s="145"/>
      <c r="BA2609" s="145"/>
      <c r="BB2609" s="145"/>
      <c r="BC2609" s="145"/>
      <c r="BD2609" s="145"/>
      <c r="BE2609" s="145"/>
      <c r="BF2609" s="145"/>
      <c r="BG2609" s="145"/>
      <c r="BH2609" s="145"/>
      <c r="BI2609" s="145"/>
      <c r="BJ2609" s="145"/>
      <c r="BK2609" s="145"/>
      <c r="BL2609" s="145"/>
      <c r="BM2609" s="145"/>
      <c r="BN2609" s="145"/>
      <c r="BO2609" s="145"/>
      <c r="BP2609" s="145"/>
      <c r="BQ2609" s="145"/>
      <c r="BR2609" s="145"/>
      <c r="BS2609" s="145"/>
      <c r="BT2609" s="145"/>
      <c r="BU2609" s="145"/>
      <c r="BV2609" s="145"/>
      <c r="BW2609" s="145"/>
      <c r="BX2609" s="145"/>
      <c r="BY2609" s="145"/>
      <c r="BZ2609" s="145"/>
      <c r="CA2609" s="145"/>
      <c r="CB2609" s="145"/>
      <c r="CC2609" s="145"/>
      <c r="CD2609" s="145"/>
      <c r="CE2609" s="145"/>
      <c r="CF2609" s="145"/>
      <c r="CG2609" s="145"/>
      <c r="CH2609" s="145"/>
      <c r="CI2609" s="145"/>
      <c r="CJ2609" s="145"/>
      <c r="CK2609" s="145"/>
      <c r="CL2609" s="145"/>
      <c r="CM2609" s="145"/>
      <c r="CN2609" s="145"/>
      <c r="CO2609" s="145"/>
      <c r="CP2609" s="145"/>
      <c r="CQ2609" s="145"/>
      <c r="CR2609" s="145"/>
      <c r="CS2609" s="145"/>
      <c r="CT2609" s="145"/>
      <c r="CU2609" s="145"/>
      <c r="CV2609" s="145"/>
      <c r="CW2609" s="145"/>
      <c r="CX2609" s="145"/>
      <c r="CY2609" s="145"/>
      <c r="CZ2609" s="145"/>
      <c r="DA2609" s="145"/>
      <c r="DB2609" s="145"/>
      <c r="DC2609" s="145"/>
      <c r="DD2609" s="145"/>
      <c r="DE2609" s="145"/>
      <c r="DF2609" s="145"/>
      <c r="DG2609" s="145"/>
      <c r="DH2609" s="145"/>
      <c r="DI2609" s="145"/>
      <c r="DJ2609" s="145"/>
      <c r="DK2609" s="145"/>
      <c r="DL2609" s="145"/>
      <c r="DM2609" s="145"/>
      <c r="DN2609" s="145"/>
      <c r="DO2609" s="145"/>
      <c r="DP2609" s="145"/>
      <c r="DQ2609" s="145"/>
      <c r="DR2609" s="145"/>
      <c r="DS2609" s="145"/>
      <c r="DT2609" s="145"/>
      <c r="DU2609" s="145"/>
      <c r="DV2609" s="145"/>
      <c r="DW2609" s="145"/>
      <c r="DX2609" s="145"/>
      <c r="DY2609" s="145"/>
      <c r="DZ2609" s="145"/>
      <c r="EA2609" s="145"/>
      <c r="EB2609" s="145"/>
      <c r="EC2609" s="145"/>
      <c r="ED2609" s="145"/>
      <c r="EE2609" s="145"/>
      <c r="EF2609" s="145"/>
      <c r="EG2609" s="145"/>
      <c r="EH2609" s="145"/>
      <c r="EI2609" s="145"/>
      <c r="EJ2609" s="145"/>
      <c r="EK2609" s="145"/>
      <c r="EL2609" s="145"/>
      <c r="EM2609" s="145"/>
      <c r="EN2609" s="145"/>
      <c r="EO2609" s="145"/>
      <c r="EP2609" s="145"/>
      <c r="EQ2609" s="145"/>
      <c r="ER2609" s="145"/>
      <c r="ES2609" s="145"/>
      <c r="ET2609" s="145"/>
      <c r="EU2609" s="145"/>
      <c r="EV2609" s="145"/>
      <c r="EW2609" s="145"/>
      <c r="EX2609" s="145"/>
      <c r="EY2609" s="145"/>
      <c r="EZ2609" s="145"/>
      <c r="FA2609" s="145"/>
      <c r="FB2609" s="145"/>
      <c r="FC2609" s="145"/>
      <c r="FD2609" s="145"/>
      <c r="FE2609" s="145"/>
      <c r="FF2609" s="145"/>
      <c r="FG2609" s="145"/>
      <c r="FH2609" s="145"/>
      <c r="FI2609" s="145"/>
      <c r="FJ2609" s="145"/>
      <c r="FK2609" s="145"/>
      <c r="FL2609" s="145"/>
      <c r="FM2609" s="145"/>
      <c r="FN2609" s="145"/>
      <c r="FO2609" s="145"/>
      <c r="FP2609" s="145"/>
      <c r="FQ2609" s="145"/>
      <c r="FR2609" s="145"/>
      <c r="FS2609" s="145"/>
      <c r="FT2609" s="145"/>
      <c r="FU2609" s="145"/>
      <c r="FV2609" s="145"/>
      <c r="FW2609" s="145"/>
      <c r="FX2609" s="145"/>
      <c r="FY2609" s="145"/>
      <c r="FZ2609" s="145"/>
      <c r="GA2609" s="145"/>
      <c r="GB2609" s="145"/>
      <c r="GC2609" s="145"/>
      <c r="GD2609" s="145"/>
      <c r="GE2609" s="145"/>
      <c r="GF2609" s="145"/>
      <c r="GG2609" s="145"/>
      <c r="GH2609" s="145"/>
      <c r="GI2609" s="145"/>
      <c r="GJ2609" s="145"/>
      <c r="GK2609" s="145"/>
      <c r="GL2609" s="145"/>
      <c r="GM2609" s="145"/>
      <c r="GN2609" s="145"/>
      <c r="GO2609" s="145"/>
      <c r="GP2609" s="145"/>
      <c r="GQ2609" s="145"/>
      <c r="GR2609" s="145"/>
      <c r="GS2609" s="145"/>
      <c r="GT2609" s="145"/>
      <c r="GU2609" s="145"/>
      <c r="GV2609" s="145"/>
      <c r="GW2609" s="145"/>
      <c r="GX2609" s="145"/>
      <c r="GY2609" s="145"/>
      <c r="GZ2609" s="145"/>
      <c r="HA2609" s="145"/>
      <c r="HB2609" s="145"/>
      <c r="HC2609" s="145"/>
      <c r="HD2609" s="145"/>
      <c r="HE2609" s="145"/>
      <c r="HF2609" s="145"/>
      <c r="HG2609" s="145"/>
    </row>
    <row r="2610" spans="1:215" x14ac:dyDescent="0.35">
      <c r="A2610" s="168" t="s">
        <v>48</v>
      </c>
      <c r="B2610" s="173"/>
      <c r="C2610" s="170"/>
      <c r="D2610" s="181">
        <f>D2611+D2614+D2616+D2619+D2622+D2624+D2627+D2629+D2631+D2634+D2636+D2638+D2641+D2644+D2653</f>
        <v>29656.06</v>
      </c>
      <c r="E2610" s="181"/>
      <c r="F2610" s="174"/>
      <c r="G2610" s="166"/>
      <c r="H2610" s="164"/>
      <c r="I2610" s="181">
        <f>I2611+I2614+I2616+I2619+I2622+I2624+I2627+I2629+I2631+I2634+I2636+I2638+I2641+I2644+I2653</f>
        <v>39172047.030000001</v>
      </c>
      <c r="J2610" s="181"/>
      <c r="K2610" s="181"/>
      <c r="L2610" s="145"/>
      <c r="M2610" s="145"/>
      <c r="N2610" s="145"/>
      <c r="O2610" s="145"/>
      <c r="P2610" s="145"/>
      <c r="Q2610" s="145"/>
      <c r="R2610" s="145"/>
      <c r="S2610" s="145"/>
      <c r="T2610" s="145"/>
      <c r="U2610" s="145"/>
      <c r="V2610" s="145"/>
      <c r="W2610" s="145"/>
      <c r="X2610" s="145"/>
      <c r="Y2610" s="145"/>
      <c r="Z2610" s="145"/>
      <c r="AA2610" s="145"/>
      <c r="AB2610" s="145"/>
      <c r="AC2610" s="145"/>
      <c r="AD2610" s="145"/>
      <c r="AE2610" s="145"/>
      <c r="AF2610" s="145"/>
      <c r="AG2610" s="145"/>
      <c r="AH2610" s="145"/>
      <c r="AI2610" s="145"/>
      <c r="AJ2610" s="145"/>
      <c r="AK2610" s="145"/>
      <c r="AL2610" s="145"/>
      <c r="AM2610" s="145"/>
      <c r="AN2610" s="145"/>
      <c r="AO2610" s="145"/>
      <c r="AP2610" s="145"/>
      <c r="AQ2610" s="145"/>
      <c r="AR2610" s="145"/>
      <c r="AS2610" s="145"/>
      <c r="AT2610" s="145"/>
      <c r="AU2610" s="145"/>
      <c r="AV2610" s="145"/>
      <c r="AW2610" s="145"/>
      <c r="AX2610" s="145"/>
      <c r="AY2610" s="145"/>
      <c r="AZ2610" s="145"/>
      <c r="BA2610" s="145"/>
      <c r="BB2610" s="145"/>
      <c r="BC2610" s="145"/>
      <c r="BD2610" s="145"/>
      <c r="BE2610" s="145"/>
      <c r="BF2610" s="145"/>
      <c r="BG2610" s="145"/>
      <c r="BH2610" s="145"/>
      <c r="BI2610" s="145"/>
      <c r="BJ2610" s="145"/>
      <c r="BK2610" s="145"/>
      <c r="BL2610" s="145"/>
      <c r="BM2610" s="145"/>
      <c r="BN2610" s="145"/>
      <c r="BO2610" s="145"/>
      <c r="BP2610" s="145"/>
      <c r="BQ2610" s="145"/>
      <c r="BR2610" s="145"/>
      <c r="BS2610" s="145"/>
      <c r="BT2610" s="145"/>
      <c r="BU2610" s="145"/>
      <c r="BV2610" s="145"/>
      <c r="BW2610" s="145"/>
      <c r="BX2610" s="145"/>
      <c r="BY2610" s="145"/>
      <c r="BZ2610" s="145"/>
      <c r="CA2610" s="145"/>
      <c r="CB2610" s="145"/>
      <c r="CC2610" s="145"/>
      <c r="CD2610" s="145"/>
      <c r="CE2610" s="145"/>
      <c r="CF2610" s="145"/>
      <c r="CG2610" s="145"/>
      <c r="CH2610" s="145"/>
      <c r="CI2610" s="145"/>
      <c r="CJ2610" s="145"/>
      <c r="CK2610" s="145"/>
      <c r="CL2610" s="145"/>
      <c r="CM2610" s="145"/>
      <c r="CN2610" s="145"/>
      <c r="CO2610" s="145"/>
      <c r="CP2610" s="145"/>
      <c r="CQ2610" s="145"/>
      <c r="CR2610" s="145"/>
      <c r="CS2610" s="145"/>
      <c r="CT2610" s="145"/>
      <c r="CU2610" s="145"/>
      <c r="CV2610" s="145"/>
      <c r="CW2610" s="145"/>
      <c r="CX2610" s="145"/>
      <c r="CY2610" s="145"/>
      <c r="CZ2610" s="145"/>
      <c r="DA2610" s="145"/>
      <c r="DB2610" s="145"/>
      <c r="DC2610" s="145"/>
      <c r="DD2610" s="145"/>
      <c r="DE2610" s="145"/>
      <c r="DF2610" s="145"/>
      <c r="DG2610" s="145"/>
      <c r="DH2610" s="145"/>
      <c r="DI2610" s="145"/>
      <c r="DJ2610" s="145"/>
      <c r="DK2610" s="145"/>
      <c r="DL2610" s="145"/>
      <c r="DM2610" s="145"/>
      <c r="DN2610" s="145"/>
      <c r="DO2610" s="145"/>
      <c r="DP2610" s="145"/>
      <c r="DQ2610" s="145"/>
      <c r="DR2610" s="145"/>
      <c r="DS2610" s="145"/>
      <c r="DT2610" s="145"/>
      <c r="DU2610" s="145"/>
      <c r="DV2610" s="145"/>
      <c r="DW2610" s="145"/>
      <c r="DX2610" s="145"/>
      <c r="DY2610" s="145"/>
      <c r="DZ2610" s="145"/>
      <c r="EA2610" s="145"/>
      <c r="EB2610" s="145"/>
      <c r="EC2610" s="145"/>
      <c r="ED2610" s="145"/>
      <c r="EE2610" s="145"/>
      <c r="EF2610" s="145"/>
      <c r="EG2610" s="145"/>
      <c r="EH2610" s="145"/>
      <c r="EI2610" s="145"/>
      <c r="EJ2610" s="145"/>
      <c r="EK2610" s="145"/>
      <c r="EL2610" s="145"/>
      <c r="EM2610" s="145"/>
      <c r="EN2610" s="145"/>
      <c r="EO2610" s="145"/>
      <c r="EP2610" s="145"/>
      <c r="EQ2610" s="145"/>
      <c r="ER2610" s="145"/>
      <c r="ES2610" s="145"/>
      <c r="ET2610" s="145"/>
      <c r="EU2610" s="145"/>
      <c r="EV2610" s="145"/>
      <c r="EW2610" s="145"/>
      <c r="EX2610" s="145"/>
      <c r="EY2610" s="145"/>
      <c r="EZ2610" s="145"/>
      <c r="FA2610" s="145"/>
      <c r="FB2610" s="145"/>
      <c r="FC2610" s="145"/>
      <c r="FD2610" s="145"/>
      <c r="FE2610" s="145"/>
      <c r="FF2610" s="145"/>
      <c r="FG2610" s="145"/>
      <c r="FH2610" s="145"/>
      <c r="FI2610" s="145"/>
      <c r="FJ2610" s="145"/>
      <c r="FK2610" s="145"/>
      <c r="FL2610" s="145"/>
      <c r="FM2610" s="145"/>
      <c r="FN2610" s="145"/>
      <c r="FO2610" s="145"/>
      <c r="FP2610" s="145"/>
      <c r="FQ2610" s="145"/>
      <c r="FR2610" s="145"/>
      <c r="FS2610" s="145"/>
      <c r="FT2610" s="145"/>
      <c r="FU2610" s="145"/>
      <c r="FV2610" s="145"/>
      <c r="FW2610" s="145"/>
      <c r="FX2610" s="145"/>
      <c r="FY2610" s="145"/>
      <c r="FZ2610" s="145"/>
      <c r="GA2610" s="145"/>
      <c r="GB2610" s="145"/>
      <c r="GC2610" s="145"/>
      <c r="GD2610" s="145"/>
      <c r="GE2610" s="145"/>
      <c r="GF2610" s="145"/>
      <c r="GG2610" s="145"/>
      <c r="GH2610" s="145"/>
      <c r="GI2610" s="145"/>
      <c r="GJ2610" s="145"/>
      <c r="GK2610" s="145"/>
      <c r="GL2610" s="145"/>
      <c r="GM2610" s="145"/>
      <c r="GN2610" s="145"/>
      <c r="GO2610" s="145"/>
      <c r="GP2610" s="145"/>
      <c r="GQ2610" s="145"/>
      <c r="GR2610" s="145"/>
      <c r="GS2610" s="145"/>
      <c r="GT2610" s="145"/>
      <c r="GU2610" s="145"/>
      <c r="GV2610" s="145"/>
      <c r="GW2610" s="145"/>
      <c r="GX2610" s="145"/>
      <c r="GY2610" s="145"/>
      <c r="GZ2610" s="145"/>
      <c r="HA2610" s="145"/>
      <c r="HB2610" s="145"/>
      <c r="HC2610" s="145"/>
      <c r="HD2610" s="145"/>
      <c r="HE2610" s="145"/>
      <c r="HF2610" s="145"/>
      <c r="HG2610" s="145"/>
    </row>
    <row r="2611" spans="1:215" x14ac:dyDescent="0.35">
      <c r="A2611" s="288">
        <v>1</v>
      </c>
      <c r="B2611" s="314">
        <v>6890</v>
      </c>
      <c r="C2611" s="315" t="s">
        <v>762</v>
      </c>
      <c r="D2611" s="273">
        <v>2688.38</v>
      </c>
      <c r="E2611" s="273" t="s">
        <v>74</v>
      </c>
      <c r="F2611" s="282">
        <v>5</v>
      </c>
      <c r="G2611" s="165"/>
      <c r="H2611" s="136" t="s">
        <v>72</v>
      </c>
      <c r="I2611" s="181">
        <f>SUM(I2612:I2613)</f>
        <v>479324.19</v>
      </c>
      <c r="J2611" s="181">
        <f>SUM(J2612:J2613)</f>
        <v>178.29</v>
      </c>
      <c r="K2611" s="181">
        <f>SUM(K2612:K2613)</f>
        <v>259</v>
      </c>
      <c r="L2611" s="145"/>
      <c r="M2611" s="145"/>
      <c r="N2611" s="145"/>
      <c r="O2611" s="145"/>
      <c r="P2611" s="145"/>
      <c r="Q2611" s="145"/>
      <c r="R2611" s="145"/>
      <c r="S2611" s="145"/>
      <c r="T2611" s="145"/>
      <c r="U2611" s="145"/>
      <c r="V2611" s="145"/>
      <c r="W2611" s="145"/>
      <c r="X2611" s="145"/>
      <c r="Y2611" s="145"/>
      <c r="Z2611" s="145"/>
      <c r="AA2611" s="145"/>
      <c r="AB2611" s="145"/>
      <c r="AC2611" s="145"/>
      <c r="AD2611" s="145"/>
      <c r="AE2611" s="145"/>
      <c r="AF2611" s="145"/>
      <c r="AG2611" s="145"/>
      <c r="AH2611" s="145"/>
      <c r="AI2611" s="145"/>
      <c r="AJ2611" s="145"/>
      <c r="AK2611" s="145"/>
      <c r="AL2611" s="145"/>
      <c r="AM2611" s="145"/>
      <c r="AN2611" s="145"/>
      <c r="AO2611" s="145"/>
      <c r="AP2611" s="145"/>
      <c r="AQ2611" s="145"/>
      <c r="AR2611" s="145"/>
      <c r="AS2611" s="145"/>
      <c r="AT2611" s="145"/>
      <c r="AU2611" s="145"/>
      <c r="AV2611" s="145"/>
      <c r="AW2611" s="145"/>
      <c r="AX2611" s="145"/>
      <c r="AY2611" s="145"/>
      <c r="AZ2611" s="145"/>
      <c r="BA2611" s="145"/>
      <c r="BB2611" s="145"/>
      <c r="BC2611" s="145"/>
      <c r="BD2611" s="145"/>
      <c r="BE2611" s="145"/>
      <c r="BF2611" s="145"/>
      <c r="BG2611" s="145"/>
      <c r="BH2611" s="145"/>
      <c r="BI2611" s="145"/>
      <c r="BJ2611" s="145"/>
      <c r="BK2611" s="145"/>
      <c r="BL2611" s="145"/>
      <c r="BM2611" s="145"/>
      <c r="BN2611" s="145"/>
      <c r="BO2611" s="145"/>
      <c r="BP2611" s="145"/>
      <c r="BQ2611" s="145"/>
      <c r="BR2611" s="145"/>
      <c r="BS2611" s="145"/>
      <c r="BT2611" s="145"/>
      <c r="BU2611" s="145"/>
      <c r="BV2611" s="145"/>
      <c r="BW2611" s="145"/>
      <c r="BX2611" s="145"/>
      <c r="BY2611" s="145"/>
      <c r="BZ2611" s="145"/>
      <c r="CA2611" s="145"/>
      <c r="CB2611" s="145"/>
      <c r="CC2611" s="145"/>
      <c r="CD2611" s="145"/>
      <c r="CE2611" s="145"/>
      <c r="CF2611" s="145"/>
      <c r="CG2611" s="145"/>
      <c r="CH2611" s="145"/>
      <c r="CI2611" s="145"/>
      <c r="CJ2611" s="145"/>
      <c r="CK2611" s="145"/>
      <c r="CL2611" s="145"/>
      <c r="CM2611" s="145"/>
      <c r="CN2611" s="145"/>
      <c r="CO2611" s="145"/>
      <c r="CP2611" s="145"/>
      <c r="CQ2611" s="145"/>
      <c r="CR2611" s="145"/>
      <c r="CS2611" s="145"/>
      <c r="CT2611" s="145"/>
      <c r="CU2611" s="145"/>
      <c r="CV2611" s="145"/>
      <c r="CW2611" s="145"/>
      <c r="CX2611" s="145"/>
      <c r="CY2611" s="145"/>
      <c r="CZ2611" s="145"/>
      <c r="DA2611" s="145"/>
      <c r="DB2611" s="145"/>
      <c r="DC2611" s="145"/>
      <c r="DD2611" s="145"/>
      <c r="DE2611" s="145"/>
      <c r="DF2611" s="145"/>
      <c r="DG2611" s="145"/>
      <c r="DH2611" s="145"/>
      <c r="DI2611" s="145"/>
      <c r="DJ2611" s="145"/>
      <c r="DK2611" s="145"/>
      <c r="DL2611" s="145"/>
      <c r="DM2611" s="145"/>
      <c r="DN2611" s="145"/>
      <c r="DO2611" s="145"/>
      <c r="DP2611" s="145"/>
      <c r="DQ2611" s="145"/>
      <c r="DR2611" s="145"/>
      <c r="DS2611" s="145"/>
      <c r="DT2611" s="145"/>
      <c r="DU2611" s="145"/>
      <c r="DV2611" s="145"/>
      <c r="DW2611" s="145"/>
      <c r="DX2611" s="145"/>
      <c r="DY2611" s="145"/>
      <c r="DZ2611" s="145"/>
      <c r="EA2611" s="145"/>
      <c r="EB2611" s="145"/>
      <c r="EC2611" s="145"/>
      <c r="ED2611" s="145"/>
      <c r="EE2611" s="145"/>
      <c r="EF2611" s="145"/>
      <c r="EG2611" s="145"/>
      <c r="EH2611" s="145"/>
      <c r="EI2611" s="145"/>
      <c r="EJ2611" s="145"/>
      <c r="EK2611" s="145"/>
      <c r="EL2611" s="145"/>
      <c r="EM2611" s="145"/>
      <c r="EN2611" s="145"/>
      <c r="EO2611" s="145"/>
      <c r="EP2611" s="145"/>
      <c r="EQ2611" s="145"/>
      <c r="ER2611" s="145"/>
      <c r="ES2611" s="145"/>
      <c r="ET2611" s="145"/>
      <c r="EU2611" s="145"/>
      <c r="EV2611" s="145"/>
      <c r="EW2611" s="145"/>
      <c r="EX2611" s="145"/>
      <c r="EY2611" s="145"/>
      <c r="EZ2611" s="145"/>
      <c r="FA2611" s="145"/>
      <c r="FB2611" s="145"/>
      <c r="FC2611" s="145"/>
      <c r="FD2611" s="145"/>
      <c r="FE2611" s="145"/>
      <c r="FF2611" s="145"/>
      <c r="FG2611" s="145"/>
      <c r="FH2611" s="145"/>
      <c r="FI2611" s="145"/>
      <c r="FJ2611" s="145"/>
      <c r="FK2611" s="145"/>
      <c r="FL2611" s="145"/>
      <c r="FM2611" s="145"/>
      <c r="FN2611" s="145"/>
      <c r="FO2611" s="145"/>
      <c r="FP2611" s="145"/>
      <c r="FQ2611" s="145"/>
      <c r="FR2611" s="145"/>
      <c r="FS2611" s="145"/>
      <c r="FT2611" s="145"/>
      <c r="FU2611" s="145"/>
      <c r="FV2611" s="145"/>
      <c r="FW2611" s="145"/>
      <c r="FX2611" s="145"/>
      <c r="FY2611" s="145"/>
      <c r="FZ2611" s="145"/>
      <c r="GA2611" s="145"/>
      <c r="GB2611" s="145"/>
      <c r="GC2611" s="145"/>
      <c r="GD2611" s="145"/>
      <c r="GE2611" s="145"/>
      <c r="GF2611" s="145"/>
      <c r="GG2611" s="145"/>
      <c r="GH2611" s="145"/>
      <c r="GI2611" s="145"/>
      <c r="GJ2611" s="145"/>
      <c r="GK2611" s="145"/>
      <c r="GL2611" s="145"/>
      <c r="GM2611" s="145"/>
      <c r="GN2611" s="145"/>
      <c r="GO2611" s="145"/>
      <c r="GP2611" s="145"/>
      <c r="GQ2611" s="145"/>
      <c r="GR2611" s="145"/>
      <c r="GS2611" s="145"/>
      <c r="GT2611" s="145"/>
      <c r="GU2611" s="145"/>
      <c r="GV2611" s="145"/>
      <c r="GW2611" s="145"/>
      <c r="GX2611" s="145"/>
      <c r="GY2611" s="145"/>
      <c r="GZ2611" s="145"/>
      <c r="HA2611" s="145"/>
      <c r="HB2611" s="145"/>
      <c r="HC2611" s="145"/>
      <c r="HD2611" s="145"/>
      <c r="HE2611" s="145"/>
      <c r="HF2611" s="145"/>
      <c r="HG2611" s="145"/>
    </row>
    <row r="2612" spans="1:215" ht="46.5" x14ac:dyDescent="0.35">
      <c r="A2612" s="313"/>
      <c r="B2612" s="313"/>
      <c r="C2612" s="316"/>
      <c r="D2612" s="274"/>
      <c r="E2612" s="274"/>
      <c r="F2612" s="283"/>
      <c r="G2612" s="270" t="s">
        <v>84</v>
      </c>
      <c r="H2612" s="136" t="s">
        <v>673</v>
      </c>
      <c r="I2612" s="181">
        <v>118288.72</v>
      </c>
      <c r="J2612" s="181">
        <f>I2612/D2611</f>
        <v>44</v>
      </c>
      <c r="K2612" s="181">
        <f>63+12</f>
        <v>75</v>
      </c>
      <c r="L2612" s="145"/>
      <c r="M2612" s="145"/>
      <c r="N2612" s="145"/>
      <c r="O2612" s="145"/>
      <c r="P2612" s="145"/>
      <c r="Q2612" s="145"/>
      <c r="R2612" s="145"/>
      <c r="S2612" s="145"/>
      <c r="T2612" s="145"/>
      <c r="U2612" s="145"/>
      <c r="V2612" s="145"/>
      <c r="W2612" s="145"/>
      <c r="X2612" s="145"/>
      <c r="Y2612" s="145"/>
      <c r="Z2612" s="145"/>
      <c r="AA2612" s="145"/>
      <c r="AB2612" s="145"/>
      <c r="AC2612" s="145"/>
      <c r="AD2612" s="145"/>
      <c r="AE2612" s="145"/>
      <c r="AF2612" s="145"/>
      <c r="AG2612" s="145"/>
      <c r="AH2612" s="145"/>
      <c r="AI2612" s="145"/>
      <c r="AJ2612" s="145"/>
      <c r="AK2612" s="145"/>
      <c r="AL2612" s="145"/>
      <c r="AM2612" s="145"/>
      <c r="AN2612" s="145"/>
      <c r="AO2612" s="145"/>
      <c r="AP2612" s="145"/>
      <c r="AQ2612" s="145"/>
      <c r="AR2612" s="145"/>
      <c r="AS2612" s="145"/>
      <c r="AT2612" s="145"/>
      <c r="AU2612" s="145"/>
      <c r="AV2612" s="145"/>
      <c r="AW2612" s="145"/>
      <c r="AX2612" s="145"/>
      <c r="AY2612" s="145"/>
      <c r="AZ2612" s="145"/>
      <c r="BA2612" s="145"/>
      <c r="BB2612" s="145"/>
      <c r="BC2612" s="145"/>
      <c r="BD2612" s="145"/>
      <c r="BE2612" s="145"/>
      <c r="BF2612" s="145"/>
      <c r="BG2612" s="145"/>
      <c r="BH2612" s="145"/>
      <c r="BI2612" s="145"/>
      <c r="BJ2612" s="145"/>
      <c r="BK2612" s="145"/>
      <c r="BL2612" s="145"/>
      <c r="BM2612" s="145"/>
      <c r="BN2612" s="145"/>
      <c r="BO2612" s="145"/>
      <c r="BP2612" s="145"/>
      <c r="BQ2612" s="145"/>
      <c r="BR2612" s="145"/>
      <c r="BS2612" s="145"/>
      <c r="BT2612" s="145"/>
      <c r="BU2612" s="145"/>
      <c r="BV2612" s="145"/>
      <c r="BW2612" s="145"/>
      <c r="BX2612" s="145"/>
      <c r="BY2612" s="145"/>
      <c r="BZ2612" s="145"/>
      <c r="CA2612" s="145"/>
      <c r="CB2612" s="145"/>
      <c r="CC2612" s="145"/>
      <c r="CD2612" s="145"/>
      <c r="CE2612" s="145"/>
      <c r="CF2612" s="145"/>
      <c r="CG2612" s="145"/>
      <c r="CH2612" s="145"/>
      <c r="CI2612" s="145"/>
      <c r="CJ2612" s="145"/>
      <c r="CK2612" s="145"/>
      <c r="CL2612" s="145"/>
      <c r="CM2612" s="145"/>
      <c r="CN2612" s="145"/>
      <c r="CO2612" s="145"/>
      <c r="CP2612" s="145"/>
      <c r="CQ2612" s="145"/>
      <c r="CR2612" s="145"/>
      <c r="CS2612" s="145"/>
      <c r="CT2612" s="145"/>
      <c r="CU2612" s="145"/>
      <c r="CV2612" s="145"/>
      <c r="CW2612" s="145"/>
      <c r="CX2612" s="145"/>
      <c r="CY2612" s="145"/>
      <c r="CZ2612" s="145"/>
      <c r="DA2612" s="145"/>
      <c r="DB2612" s="145"/>
      <c r="DC2612" s="145"/>
      <c r="DD2612" s="145"/>
      <c r="DE2612" s="145"/>
      <c r="DF2612" s="145"/>
      <c r="DG2612" s="145"/>
      <c r="DH2612" s="145"/>
      <c r="DI2612" s="145"/>
      <c r="DJ2612" s="145"/>
      <c r="DK2612" s="145"/>
      <c r="DL2612" s="145"/>
      <c r="DM2612" s="145"/>
      <c r="DN2612" s="145"/>
      <c r="DO2612" s="145"/>
      <c r="DP2612" s="145"/>
      <c r="DQ2612" s="145"/>
      <c r="DR2612" s="145"/>
      <c r="DS2612" s="145"/>
      <c r="DT2612" s="145"/>
      <c r="DU2612" s="145"/>
      <c r="DV2612" s="145"/>
      <c r="DW2612" s="145"/>
      <c r="DX2612" s="145"/>
      <c r="DY2612" s="145"/>
      <c r="DZ2612" s="145"/>
      <c r="EA2612" s="145"/>
      <c r="EB2612" s="145"/>
      <c r="EC2612" s="145"/>
      <c r="ED2612" s="145"/>
      <c r="EE2612" s="145"/>
      <c r="EF2612" s="145"/>
      <c r="EG2612" s="145"/>
      <c r="EH2612" s="145"/>
      <c r="EI2612" s="145"/>
      <c r="EJ2612" s="145"/>
      <c r="EK2612" s="145"/>
      <c r="EL2612" s="145"/>
      <c r="EM2612" s="145"/>
      <c r="EN2612" s="145"/>
      <c r="EO2612" s="145"/>
      <c r="EP2612" s="145"/>
      <c r="EQ2612" s="145"/>
      <c r="ER2612" s="145"/>
      <c r="ES2612" s="145"/>
      <c r="ET2612" s="145"/>
      <c r="EU2612" s="145"/>
      <c r="EV2612" s="145"/>
      <c r="EW2612" s="145"/>
      <c r="EX2612" s="145"/>
      <c r="EY2612" s="145"/>
      <c r="EZ2612" s="145"/>
      <c r="FA2612" s="145"/>
      <c r="FB2612" s="145"/>
      <c r="FC2612" s="145"/>
      <c r="FD2612" s="145"/>
      <c r="FE2612" s="145"/>
      <c r="FF2612" s="145"/>
      <c r="FG2612" s="145"/>
      <c r="FH2612" s="145"/>
      <c r="FI2612" s="145"/>
      <c r="FJ2612" s="145"/>
      <c r="FK2612" s="145"/>
      <c r="FL2612" s="145"/>
      <c r="FM2612" s="145"/>
      <c r="FN2612" s="145"/>
      <c r="FO2612" s="145"/>
      <c r="FP2612" s="145"/>
      <c r="FQ2612" s="145"/>
      <c r="FR2612" s="145"/>
      <c r="FS2612" s="145"/>
      <c r="FT2612" s="145"/>
      <c r="FU2612" s="145"/>
      <c r="FV2612" s="145"/>
      <c r="FW2612" s="145"/>
      <c r="FX2612" s="145"/>
      <c r="FY2612" s="145"/>
      <c r="FZ2612" s="145"/>
      <c r="GA2612" s="145"/>
      <c r="GB2612" s="145"/>
      <c r="GC2612" s="145"/>
      <c r="GD2612" s="145"/>
      <c r="GE2612" s="145"/>
      <c r="GF2612" s="145"/>
      <c r="GG2612" s="145"/>
      <c r="GH2612" s="145"/>
      <c r="GI2612" s="145"/>
      <c r="GJ2612" s="145"/>
      <c r="GK2612" s="145"/>
      <c r="GL2612" s="145"/>
      <c r="GM2612" s="145"/>
      <c r="GN2612" s="145"/>
      <c r="GO2612" s="145"/>
      <c r="GP2612" s="145"/>
      <c r="GQ2612" s="145"/>
      <c r="GR2612" s="145"/>
      <c r="GS2612" s="145"/>
      <c r="GT2612" s="145"/>
      <c r="GU2612" s="145"/>
      <c r="GV2612" s="145"/>
      <c r="GW2612" s="145"/>
      <c r="GX2612" s="145"/>
      <c r="GY2612" s="145"/>
      <c r="GZ2612" s="145"/>
      <c r="HA2612" s="145"/>
      <c r="HB2612" s="145"/>
      <c r="HC2612" s="145"/>
      <c r="HD2612" s="145"/>
      <c r="HE2612" s="145"/>
    </row>
    <row r="2613" spans="1:215" ht="46.5" x14ac:dyDescent="0.35">
      <c r="A2613" s="313"/>
      <c r="B2613" s="313"/>
      <c r="C2613" s="316"/>
      <c r="D2613" s="274"/>
      <c r="E2613" s="274"/>
      <c r="F2613" s="283"/>
      <c r="G2613" s="272"/>
      <c r="H2613" s="136" t="s">
        <v>674</v>
      </c>
      <c r="I2613" s="199">
        <v>361035.47</v>
      </c>
      <c r="J2613" s="181">
        <f>I2613/D2611</f>
        <v>134.29</v>
      </c>
      <c r="K2613" s="199">
        <f>156+28</f>
        <v>184</v>
      </c>
      <c r="L2613" s="145"/>
      <c r="M2613" s="145"/>
      <c r="N2613" s="145"/>
      <c r="O2613" s="145"/>
      <c r="P2613" s="145"/>
      <c r="Q2613" s="145"/>
      <c r="R2613" s="145"/>
      <c r="S2613" s="145"/>
      <c r="T2613" s="145"/>
      <c r="U2613" s="145"/>
      <c r="V2613" s="145"/>
      <c r="W2613" s="145"/>
      <c r="X2613" s="145"/>
      <c r="Y2613" s="145"/>
      <c r="Z2613" s="145"/>
      <c r="AA2613" s="145"/>
      <c r="AB2613" s="145"/>
      <c r="AC2613" s="145"/>
      <c r="AD2613" s="145"/>
      <c r="AE2613" s="145"/>
      <c r="AF2613" s="145"/>
      <c r="AG2613" s="145"/>
      <c r="AH2613" s="145"/>
      <c r="AI2613" s="145"/>
      <c r="AJ2613" s="145"/>
      <c r="AK2613" s="145"/>
      <c r="AL2613" s="145"/>
      <c r="AM2613" s="145"/>
      <c r="AN2613" s="145"/>
      <c r="AO2613" s="145"/>
      <c r="AP2613" s="145"/>
      <c r="AQ2613" s="145"/>
      <c r="AR2613" s="145"/>
      <c r="AS2613" s="145"/>
      <c r="AT2613" s="145"/>
      <c r="AU2613" s="145"/>
      <c r="AV2613" s="145"/>
      <c r="AW2613" s="145"/>
      <c r="AX2613" s="145"/>
      <c r="AY2613" s="145"/>
      <c r="AZ2613" s="145"/>
      <c r="BA2613" s="145"/>
      <c r="BB2613" s="145"/>
      <c r="BC2613" s="145"/>
      <c r="BD2613" s="145"/>
      <c r="BE2613" s="145"/>
      <c r="BF2613" s="145"/>
      <c r="BG2613" s="145"/>
      <c r="BH2613" s="145"/>
      <c r="BI2613" s="145"/>
      <c r="BJ2613" s="145"/>
      <c r="BK2613" s="145"/>
      <c r="BL2613" s="145"/>
      <c r="BM2613" s="145"/>
      <c r="BN2613" s="145"/>
      <c r="BO2613" s="145"/>
      <c r="BP2613" s="145"/>
      <c r="BQ2613" s="145"/>
      <c r="BR2613" s="145"/>
      <c r="BS2613" s="145"/>
      <c r="BT2613" s="145"/>
      <c r="BU2613" s="145"/>
      <c r="BV2613" s="145"/>
      <c r="BW2613" s="145"/>
      <c r="BX2613" s="145"/>
      <c r="BY2613" s="145"/>
      <c r="BZ2613" s="145"/>
      <c r="CA2613" s="145"/>
      <c r="CB2613" s="145"/>
      <c r="CC2613" s="145"/>
      <c r="CD2613" s="145"/>
      <c r="CE2613" s="145"/>
      <c r="CF2613" s="145"/>
      <c r="CG2613" s="145"/>
      <c r="CH2613" s="145"/>
      <c r="CI2613" s="145"/>
      <c r="CJ2613" s="145"/>
      <c r="CK2613" s="145"/>
      <c r="CL2613" s="145"/>
      <c r="CM2613" s="145"/>
      <c r="CN2613" s="145"/>
      <c r="CO2613" s="145"/>
      <c r="CP2613" s="145"/>
      <c r="CQ2613" s="145"/>
      <c r="CR2613" s="145"/>
      <c r="CS2613" s="145"/>
      <c r="CT2613" s="145"/>
      <c r="CU2613" s="145"/>
      <c r="CV2613" s="145"/>
      <c r="CW2613" s="145"/>
      <c r="CX2613" s="145"/>
      <c r="CY2613" s="145"/>
      <c r="CZ2613" s="145"/>
      <c r="DA2613" s="145"/>
      <c r="DB2613" s="145"/>
      <c r="DC2613" s="145"/>
      <c r="DD2613" s="145"/>
      <c r="DE2613" s="145"/>
      <c r="DF2613" s="145"/>
      <c r="DG2613" s="145"/>
      <c r="DH2613" s="145"/>
      <c r="DI2613" s="145"/>
      <c r="DJ2613" s="145"/>
      <c r="DK2613" s="145"/>
      <c r="DL2613" s="145"/>
      <c r="DM2613" s="145"/>
      <c r="DN2613" s="145"/>
      <c r="DO2613" s="145"/>
      <c r="DP2613" s="145"/>
      <c r="DQ2613" s="145"/>
      <c r="DR2613" s="145"/>
      <c r="DS2613" s="145"/>
      <c r="DT2613" s="145"/>
      <c r="DU2613" s="145"/>
      <c r="DV2613" s="145"/>
      <c r="DW2613" s="145"/>
      <c r="DX2613" s="145"/>
      <c r="DY2613" s="145"/>
      <c r="DZ2613" s="145"/>
      <c r="EA2613" s="145"/>
      <c r="EB2613" s="145"/>
      <c r="EC2613" s="145"/>
      <c r="ED2613" s="145"/>
      <c r="EE2613" s="145"/>
      <c r="EF2613" s="145"/>
      <c r="EG2613" s="145"/>
      <c r="EH2613" s="145"/>
      <c r="EI2613" s="145"/>
      <c r="EJ2613" s="145"/>
      <c r="EK2613" s="145"/>
      <c r="EL2613" s="145"/>
      <c r="EM2613" s="145"/>
      <c r="EN2613" s="145"/>
      <c r="EO2613" s="145"/>
      <c r="EP2613" s="145"/>
      <c r="EQ2613" s="145"/>
      <c r="ER2613" s="145"/>
      <c r="ES2613" s="145"/>
      <c r="ET2613" s="145"/>
      <c r="EU2613" s="145"/>
      <c r="EV2613" s="145"/>
      <c r="EW2613" s="145"/>
      <c r="EX2613" s="145"/>
      <c r="EY2613" s="145"/>
      <c r="EZ2613" s="145"/>
      <c r="FA2613" s="145"/>
      <c r="FB2613" s="145"/>
      <c r="FC2613" s="145"/>
      <c r="FD2613" s="145"/>
      <c r="FE2613" s="145"/>
      <c r="FF2613" s="145"/>
      <c r="FG2613" s="145"/>
      <c r="FH2613" s="145"/>
      <c r="FI2613" s="145"/>
      <c r="FJ2613" s="145"/>
      <c r="FK2613" s="145"/>
      <c r="FL2613" s="145"/>
      <c r="FM2613" s="145"/>
      <c r="FN2613" s="145"/>
      <c r="FO2613" s="145"/>
      <c r="FP2613" s="145"/>
      <c r="FQ2613" s="145"/>
      <c r="FR2613" s="145"/>
      <c r="FS2613" s="145"/>
      <c r="FT2613" s="145"/>
      <c r="FU2613" s="145"/>
      <c r="FV2613" s="145"/>
      <c r="FW2613" s="145"/>
      <c r="FX2613" s="145"/>
      <c r="FY2613" s="145"/>
      <c r="FZ2613" s="145"/>
      <c r="GA2613" s="145"/>
      <c r="GB2613" s="145"/>
      <c r="GC2613" s="145"/>
      <c r="GD2613" s="145"/>
      <c r="GE2613" s="145"/>
      <c r="GF2613" s="145"/>
      <c r="GG2613" s="145"/>
      <c r="GH2613" s="145"/>
      <c r="GI2613" s="145"/>
      <c r="GJ2613" s="145"/>
      <c r="GK2613" s="145"/>
      <c r="GL2613" s="145"/>
      <c r="GM2613" s="145"/>
      <c r="GN2613" s="145"/>
      <c r="GO2613" s="145"/>
      <c r="GP2613" s="145"/>
      <c r="GQ2613" s="145"/>
      <c r="GR2613" s="145"/>
      <c r="GS2613" s="145"/>
      <c r="GT2613" s="145"/>
      <c r="GU2613" s="145"/>
      <c r="GV2613" s="145"/>
      <c r="GW2613" s="145"/>
      <c r="GX2613" s="145"/>
      <c r="GY2613" s="145"/>
      <c r="GZ2613" s="145"/>
      <c r="HA2613" s="145"/>
      <c r="HB2613" s="145"/>
      <c r="HC2613" s="145"/>
      <c r="HD2613" s="145"/>
      <c r="HE2613" s="145"/>
    </row>
    <row r="2614" spans="1:215" x14ac:dyDescent="0.35">
      <c r="A2614" s="329">
        <f>A2611+1</f>
        <v>2</v>
      </c>
      <c r="B2614" s="331">
        <v>6870</v>
      </c>
      <c r="C2614" s="318" t="s">
        <v>612</v>
      </c>
      <c r="D2614" s="273">
        <v>2436</v>
      </c>
      <c r="E2614" s="197" t="s">
        <v>70</v>
      </c>
      <c r="F2614" s="200">
        <v>5</v>
      </c>
      <c r="G2614" s="270" t="s">
        <v>71</v>
      </c>
      <c r="H2614" s="175" t="s">
        <v>72</v>
      </c>
      <c r="I2614" s="199">
        <f>I2615</f>
        <v>229121.02</v>
      </c>
      <c r="J2614" s="199">
        <f>J2615</f>
        <v>94.06</v>
      </c>
      <c r="K2614" s="199">
        <f>K2615</f>
        <v>169</v>
      </c>
      <c r="L2614" s="145"/>
      <c r="M2614" s="145"/>
      <c r="N2614" s="145"/>
      <c r="O2614" s="145"/>
      <c r="P2614" s="145"/>
      <c r="Q2614" s="145"/>
      <c r="R2614" s="145"/>
      <c r="S2614" s="145"/>
      <c r="T2614" s="145"/>
      <c r="U2614" s="145"/>
      <c r="V2614" s="145"/>
      <c r="W2614" s="145"/>
      <c r="X2614" s="145"/>
      <c r="Y2614" s="145"/>
      <c r="Z2614" s="145"/>
      <c r="AA2614" s="145"/>
      <c r="AB2614" s="145"/>
      <c r="AC2614" s="145"/>
      <c r="AD2614" s="145"/>
      <c r="AE2614" s="145"/>
      <c r="AF2614" s="145"/>
      <c r="AG2614" s="145"/>
      <c r="AH2614" s="145"/>
      <c r="AI2614" s="145"/>
      <c r="AJ2614" s="145"/>
      <c r="AK2614" s="145"/>
      <c r="AL2614" s="145"/>
      <c r="AM2614" s="145"/>
      <c r="AN2614" s="145"/>
      <c r="AO2614" s="145"/>
      <c r="AP2614" s="145"/>
      <c r="AQ2614" s="145"/>
      <c r="AR2614" s="145"/>
      <c r="AS2614" s="145"/>
      <c r="AT2614" s="145"/>
      <c r="AU2614" s="145"/>
      <c r="AV2614" s="145"/>
      <c r="AW2614" s="145"/>
      <c r="AX2614" s="145"/>
      <c r="AY2614" s="145"/>
      <c r="AZ2614" s="145"/>
      <c r="BA2614" s="145"/>
      <c r="BB2614" s="145"/>
      <c r="BC2614" s="145"/>
      <c r="BD2614" s="145"/>
      <c r="BE2614" s="145"/>
      <c r="BF2614" s="145"/>
      <c r="BG2614" s="145"/>
      <c r="BH2614" s="145"/>
      <c r="BI2614" s="145"/>
      <c r="BJ2614" s="145"/>
      <c r="BK2614" s="145"/>
      <c r="BL2614" s="145"/>
      <c r="BM2614" s="145"/>
      <c r="BN2614" s="145"/>
      <c r="BO2614" s="145"/>
      <c r="BP2614" s="145"/>
      <c r="BQ2614" s="145"/>
      <c r="BR2614" s="145"/>
      <c r="BS2614" s="145"/>
      <c r="BT2614" s="145"/>
      <c r="BU2614" s="145"/>
      <c r="BV2614" s="145"/>
      <c r="BW2614" s="145"/>
      <c r="BX2614" s="145"/>
      <c r="BY2614" s="145"/>
      <c r="BZ2614" s="145"/>
      <c r="CA2614" s="145"/>
      <c r="CB2614" s="145"/>
      <c r="CC2614" s="145"/>
      <c r="CD2614" s="145"/>
      <c r="CE2614" s="145"/>
      <c r="CF2614" s="145"/>
      <c r="CG2614" s="145"/>
      <c r="CH2614" s="145"/>
      <c r="CI2614" s="145"/>
      <c r="CJ2614" s="145"/>
      <c r="CK2614" s="145"/>
      <c r="CL2614" s="145"/>
      <c r="CM2614" s="145"/>
      <c r="CN2614" s="145"/>
      <c r="CO2614" s="145"/>
      <c r="CP2614" s="145"/>
      <c r="CQ2614" s="145"/>
      <c r="CR2614" s="145"/>
      <c r="CS2614" s="145"/>
      <c r="CT2614" s="145"/>
      <c r="CU2614" s="145"/>
      <c r="CV2614" s="145"/>
      <c r="CW2614" s="145"/>
      <c r="CX2614" s="145"/>
      <c r="CY2614" s="145"/>
      <c r="CZ2614" s="145"/>
      <c r="DA2614" s="145"/>
      <c r="DB2614" s="145"/>
      <c r="DC2614" s="145"/>
      <c r="DD2614" s="145"/>
      <c r="DE2614" s="145"/>
      <c r="DF2614" s="145"/>
      <c r="DG2614" s="145"/>
      <c r="DH2614" s="145"/>
      <c r="DI2614" s="145"/>
      <c r="DJ2614" s="145"/>
      <c r="DK2614" s="145"/>
      <c r="DL2614" s="145"/>
      <c r="DM2614" s="145"/>
      <c r="DN2614" s="145"/>
      <c r="DO2614" s="145"/>
      <c r="DP2614" s="145"/>
      <c r="DQ2614" s="145"/>
      <c r="DR2614" s="145"/>
      <c r="DS2614" s="145"/>
      <c r="DT2614" s="145"/>
      <c r="DU2614" s="145"/>
      <c r="DV2614" s="145"/>
      <c r="DW2614" s="145"/>
      <c r="DX2614" s="145"/>
      <c r="DY2614" s="145"/>
      <c r="DZ2614" s="145"/>
      <c r="EA2614" s="145"/>
      <c r="EB2614" s="145"/>
      <c r="EC2614" s="145"/>
      <c r="ED2614" s="145"/>
      <c r="EE2614" s="145"/>
      <c r="EF2614" s="145"/>
      <c r="EG2614" s="145"/>
      <c r="EH2614" s="145"/>
      <c r="EI2614" s="145"/>
      <c r="EJ2614" s="145"/>
      <c r="EK2614" s="145"/>
      <c r="EL2614" s="145"/>
      <c r="EM2614" s="145"/>
      <c r="EN2614" s="145"/>
      <c r="EO2614" s="145"/>
      <c r="EP2614" s="145"/>
      <c r="EQ2614" s="145"/>
      <c r="ER2614" s="145"/>
      <c r="ES2614" s="145"/>
      <c r="ET2614" s="145"/>
      <c r="EU2614" s="145"/>
      <c r="EV2614" s="145"/>
      <c r="EW2614" s="145"/>
      <c r="EX2614" s="145"/>
      <c r="EY2614" s="145"/>
      <c r="EZ2614" s="145"/>
      <c r="FA2614" s="145"/>
      <c r="FB2614" s="145"/>
      <c r="FC2614" s="145"/>
      <c r="FD2614" s="145"/>
      <c r="FE2614" s="145"/>
      <c r="FF2614" s="145"/>
      <c r="FG2614" s="145"/>
      <c r="FH2614" s="145"/>
      <c r="FI2614" s="145"/>
      <c r="FJ2614" s="145"/>
      <c r="FK2614" s="145"/>
      <c r="FL2614" s="145"/>
      <c r="FM2614" s="145"/>
      <c r="FN2614" s="145"/>
      <c r="FO2614" s="145"/>
      <c r="FP2614" s="145"/>
      <c r="FQ2614" s="145"/>
      <c r="FR2614" s="145"/>
      <c r="FS2614" s="145"/>
      <c r="FT2614" s="145"/>
      <c r="FU2614" s="145"/>
      <c r="FV2614" s="145"/>
      <c r="FW2614" s="145"/>
      <c r="FX2614" s="145"/>
      <c r="FY2614" s="145"/>
      <c r="FZ2614" s="145"/>
      <c r="GA2614" s="145"/>
      <c r="GB2614" s="145"/>
      <c r="GC2614" s="145"/>
      <c r="GD2614" s="145"/>
      <c r="GE2614" s="145"/>
      <c r="GF2614" s="145"/>
      <c r="GG2614" s="145"/>
      <c r="GH2614" s="145"/>
      <c r="GI2614" s="145"/>
      <c r="GJ2614" s="145"/>
      <c r="GK2614" s="145"/>
      <c r="GL2614" s="145"/>
      <c r="GM2614" s="145"/>
      <c r="GN2614" s="145"/>
      <c r="GO2614" s="145"/>
      <c r="GP2614" s="145"/>
      <c r="GQ2614" s="145"/>
      <c r="GR2614" s="145"/>
      <c r="GS2614" s="145"/>
      <c r="GT2614" s="145"/>
      <c r="GU2614" s="145"/>
      <c r="GV2614" s="145"/>
      <c r="GW2614" s="145"/>
      <c r="GX2614" s="145"/>
      <c r="GY2614" s="145"/>
      <c r="GZ2614" s="145"/>
      <c r="HA2614" s="145"/>
      <c r="HB2614" s="145"/>
      <c r="HC2614" s="145"/>
      <c r="HD2614" s="145"/>
      <c r="HE2614" s="145"/>
    </row>
    <row r="2615" spans="1:215" ht="46.5" x14ac:dyDescent="0.35">
      <c r="A2615" s="330"/>
      <c r="B2615" s="330"/>
      <c r="C2615" s="332"/>
      <c r="D2615" s="274"/>
      <c r="E2615" s="201"/>
      <c r="F2615" s="202"/>
      <c r="G2615" s="271"/>
      <c r="H2615" s="136" t="s">
        <v>673</v>
      </c>
      <c r="I2615" s="199">
        <f>185273.02+18*D2614</f>
        <v>229121.02</v>
      </c>
      <c r="J2615" s="199">
        <f>I2615/D2614</f>
        <v>94.06</v>
      </c>
      <c r="K2615" s="199">
        <f>151+18</f>
        <v>169</v>
      </c>
      <c r="L2615" s="145"/>
      <c r="M2615" s="145"/>
      <c r="N2615" s="145"/>
      <c r="O2615" s="145"/>
      <c r="P2615" s="145"/>
      <c r="Q2615" s="145"/>
      <c r="R2615" s="145"/>
      <c r="S2615" s="145"/>
      <c r="T2615" s="145"/>
      <c r="U2615" s="145"/>
      <c r="V2615" s="145"/>
      <c r="W2615" s="145"/>
      <c r="X2615" s="145"/>
      <c r="Y2615" s="145"/>
      <c r="Z2615" s="145"/>
      <c r="AA2615" s="145"/>
      <c r="AB2615" s="145"/>
      <c r="AC2615" s="145"/>
      <c r="AD2615" s="145"/>
      <c r="AE2615" s="145"/>
      <c r="AF2615" s="145"/>
      <c r="AG2615" s="145"/>
      <c r="AH2615" s="145"/>
      <c r="AI2615" s="145"/>
      <c r="AJ2615" s="145"/>
      <c r="AK2615" s="145"/>
      <c r="AL2615" s="145"/>
      <c r="AM2615" s="145"/>
      <c r="AN2615" s="145"/>
      <c r="AO2615" s="145"/>
      <c r="AP2615" s="145"/>
      <c r="AQ2615" s="145"/>
      <c r="AR2615" s="145"/>
      <c r="AS2615" s="145"/>
      <c r="AT2615" s="145"/>
      <c r="AU2615" s="145"/>
      <c r="AV2615" s="145"/>
      <c r="AW2615" s="145"/>
      <c r="AX2615" s="145"/>
      <c r="AY2615" s="145"/>
      <c r="AZ2615" s="145"/>
      <c r="BA2615" s="145"/>
      <c r="BB2615" s="145"/>
      <c r="BC2615" s="145"/>
      <c r="BD2615" s="145"/>
      <c r="BE2615" s="145"/>
      <c r="BF2615" s="145"/>
      <c r="BG2615" s="145"/>
      <c r="BH2615" s="145"/>
      <c r="BI2615" s="145"/>
      <c r="BJ2615" s="145"/>
      <c r="BK2615" s="145"/>
      <c r="BL2615" s="145"/>
      <c r="BM2615" s="145"/>
      <c r="BN2615" s="145"/>
      <c r="BO2615" s="145"/>
      <c r="BP2615" s="145"/>
      <c r="BQ2615" s="145"/>
      <c r="BR2615" s="145"/>
      <c r="BS2615" s="145"/>
      <c r="BT2615" s="145"/>
      <c r="BU2615" s="145"/>
      <c r="BV2615" s="145"/>
      <c r="BW2615" s="145"/>
      <c r="BX2615" s="145"/>
      <c r="BY2615" s="145"/>
      <c r="BZ2615" s="145"/>
      <c r="CA2615" s="145"/>
      <c r="CB2615" s="145"/>
      <c r="CC2615" s="145"/>
      <c r="CD2615" s="145"/>
      <c r="CE2615" s="145"/>
      <c r="CF2615" s="145"/>
      <c r="CG2615" s="145"/>
      <c r="CH2615" s="145"/>
      <c r="CI2615" s="145"/>
      <c r="CJ2615" s="145"/>
      <c r="CK2615" s="145"/>
      <c r="CL2615" s="145"/>
      <c r="CM2615" s="145"/>
      <c r="CN2615" s="145"/>
      <c r="CO2615" s="145"/>
      <c r="CP2615" s="145"/>
      <c r="CQ2615" s="145"/>
      <c r="CR2615" s="145"/>
      <c r="CS2615" s="145"/>
      <c r="CT2615" s="145"/>
      <c r="CU2615" s="145"/>
      <c r="CV2615" s="145"/>
      <c r="CW2615" s="145"/>
      <c r="CX2615" s="145"/>
      <c r="CY2615" s="145"/>
      <c r="CZ2615" s="145"/>
      <c r="DA2615" s="145"/>
      <c r="DB2615" s="145"/>
      <c r="DC2615" s="145"/>
      <c r="DD2615" s="145"/>
      <c r="DE2615" s="145"/>
      <c r="DF2615" s="145"/>
      <c r="DG2615" s="145"/>
      <c r="DH2615" s="145"/>
      <c r="DI2615" s="145"/>
      <c r="DJ2615" s="145"/>
      <c r="DK2615" s="145"/>
      <c r="DL2615" s="145"/>
      <c r="DM2615" s="145"/>
      <c r="DN2615" s="145"/>
      <c r="DO2615" s="145"/>
      <c r="DP2615" s="145"/>
      <c r="DQ2615" s="145"/>
      <c r="DR2615" s="145"/>
      <c r="DS2615" s="145"/>
      <c r="DT2615" s="145"/>
      <c r="DU2615" s="145"/>
      <c r="DV2615" s="145"/>
      <c r="DW2615" s="145"/>
      <c r="DX2615" s="145"/>
      <c r="DY2615" s="145"/>
      <c r="DZ2615" s="145"/>
      <c r="EA2615" s="145"/>
      <c r="EB2615" s="145"/>
      <c r="EC2615" s="145"/>
      <c r="ED2615" s="145"/>
      <c r="EE2615" s="145"/>
      <c r="EF2615" s="145"/>
      <c r="EG2615" s="145"/>
      <c r="EH2615" s="145"/>
      <c r="EI2615" s="145"/>
      <c r="EJ2615" s="145"/>
      <c r="EK2615" s="145"/>
      <c r="EL2615" s="145"/>
      <c r="EM2615" s="145"/>
      <c r="EN2615" s="145"/>
      <c r="EO2615" s="145"/>
      <c r="EP2615" s="145"/>
      <c r="EQ2615" s="145"/>
      <c r="ER2615" s="145"/>
      <c r="ES2615" s="145"/>
      <c r="ET2615" s="145"/>
      <c r="EU2615" s="145"/>
      <c r="EV2615" s="145"/>
      <c r="EW2615" s="145"/>
      <c r="EX2615" s="145"/>
      <c r="EY2615" s="145"/>
      <c r="EZ2615" s="145"/>
      <c r="FA2615" s="145"/>
      <c r="FB2615" s="145"/>
      <c r="FC2615" s="145"/>
      <c r="FD2615" s="145"/>
      <c r="FE2615" s="145"/>
      <c r="FF2615" s="145"/>
      <c r="FG2615" s="145"/>
      <c r="FH2615" s="145"/>
      <c r="FI2615" s="145"/>
      <c r="FJ2615" s="145"/>
      <c r="FK2615" s="145"/>
      <c r="FL2615" s="145"/>
      <c r="FM2615" s="145"/>
      <c r="FN2615" s="145"/>
      <c r="FO2615" s="145"/>
      <c r="FP2615" s="145"/>
      <c r="FQ2615" s="145"/>
      <c r="FR2615" s="145"/>
      <c r="FS2615" s="145"/>
      <c r="FT2615" s="145"/>
      <c r="FU2615" s="145"/>
      <c r="FV2615" s="145"/>
      <c r="FW2615" s="145"/>
      <c r="FX2615" s="145"/>
      <c r="FY2615" s="145"/>
      <c r="FZ2615" s="145"/>
      <c r="GA2615" s="145"/>
      <c r="GB2615" s="145"/>
      <c r="GC2615" s="145"/>
      <c r="GD2615" s="145"/>
      <c r="GE2615" s="145"/>
      <c r="GF2615" s="145"/>
      <c r="GG2615" s="145"/>
      <c r="GH2615" s="145"/>
      <c r="GI2615" s="145"/>
      <c r="GJ2615" s="145"/>
      <c r="GK2615" s="145"/>
      <c r="GL2615" s="145"/>
      <c r="GM2615" s="145"/>
      <c r="GN2615" s="145"/>
      <c r="GO2615" s="145"/>
      <c r="GP2615" s="145"/>
      <c r="GQ2615" s="145"/>
      <c r="GR2615" s="145"/>
      <c r="GS2615" s="145"/>
      <c r="GT2615" s="145"/>
      <c r="GU2615" s="145"/>
      <c r="GV2615" s="145"/>
      <c r="GW2615" s="145"/>
      <c r="GX2615" s="145"/>
      <c r="GY2615" s="145"/>
      <c r="GZ2615" s="145"/>
      <c r="HA2615" s="145"/>
      <c r="HB2615" s="145"/>
      <c r="HC2615" s="145"/>
      <c r="HD2615" s="145"/>
      <c r="HE2615" s="145"/>
    </row>
    <row r="2616" spans="1:215" x14ac:dyDescent="0.35">
      <c r="A2616" s="288">
        <f>A2614+1</f>
        <v>3</v>
      </c>
      <c r="B2616" s="314">
        <v>7002</v>
      </c>
      <c r="C2616" s="278" t="s">
        <v>466</v>
      </c>
      <c r="D2616" s="273">
        <v>2657.4</v>
      </c>
      <c r="E2616" s="273" t="s">
        <v>70</v>
      </c>
      <c r="F2616" s="282">
        <v>5</v>
      </c>
      <c r="G2616" s="270" t="s">
        <v>71</v>
      </c>
      <c r="H2616" s="175" t="s">
        <v>72</v>
      </c>
      <c r="I2616" s="199">
        <f>I2617+I2618</f>
        <v>5312421.63</v>
      </c>
      <c r="J2616" s="199">
        <f>J2617+J2618</f>
        <v>1999.11</v>
      </c>
      <c r="K2616" s="199">
        <f>K2617+K2618</f>
        <v>3242</v>
      </c>
      <c r="L2616" s="145"/>
      <c r="M2616" s="145"/>
      <c r="N2616" s="145"/>
      <c r="O2616" s="145"/>
      <c r="P2616" s="145"/>
      <c r="Q2616" s="145"/>
      <c r="R2616" s="145"/>
      <c r="S2616" s="145"/>
      <c r="T2616" s="145"/>
      <c r="U2616" s="145"/>
      <c r="V2616" s="145"/>
      <c r="W2616" s="145"/>
      <c r="X2616" s="145"/>
      <c r="Y2616" s="145"/>
      <c r="Z2616" s="145"/>
      <c r="AA2616" s="145"/>
      <c r="AB2616" s="145"/>
      <c r="AC2616" s="145"/>
      <c r="AD2616" s="145"/>
      <c r="AE2616" s="145"/>
      <c r="AF2616" s="145"/>
      <c r="AG2616" s="145"/>
      <c r="AH2616" s="145"/>
      <c r="AI2616" s="145"/>
      <c r="AJ2616" s="145"/>
      <c r="AK2616" s="145"/>
      <c r="AL2616" s="145"/>
      <c r="AM2616" s="145"/>
      <c r="AN2616" s="145"/>
      <c r="AO2616" s="145"/>
      <c r="AP2616" s="145"/>
      <c r="AQ2616" s="145"/>
      <c r="AR2616" s="145"/>
      <c r="AS2616" s="145"/>
      <c r="AT2616" s="145"/>
      <c r="AU2616" s="145"/>
      <c r="AV2616" s="145"/>
      <c r="AW2616" s="145"/>
      <c r="AX2616" s="145"/>
      <c r="AY2616" s="145"/>
      <c r="AZ2616" s="145"/>
      <c r="BA2616" s="145"/>
      <c r="BB2616" s="145"/>
      <c r="BC2616" s="145"/>
      <c r="BD2616" s="145"/>
      <c r="BE2616" s="145"/>
      <c r="BF2616" s="145"/>
      <c r="BG2616" s="145"/>
      <c r="BH2616" s="145"/>
      <c r="BI2616" s="145"/>
      <c r="BJ2616" s="145"/>
      <c r="BK2616" s="145"/>
      <c r="BL2616" s="145"/>
      <c r="BM2616" s="145"/>
      <c r="BN2616" s="145"/>
      <c r="BO2616" s="145"/>
      <c r="BP2616" s="145"/>
      <c r="BQ2616" s="145"/>
      <c r="BR2616" s="145"/>
      <c r="BS2616" s="145"/>
      <c r="BT2616" s="145"/>
      <c r="BU2616" s="145"/>
      <c r="BV2616" s="145"/>
      <c r="BW2616" s="145"/>
      <c r="BX2616" s="145"/>
      <c r="BY2616" s="145"/>
      <c r="BZ2616" s="145"/>
      <c r="CA2616" s="145"/>
      <c r="CB2616" s="145"/>
      <c r="CC2616" s="145"/>
      <c r="CD2616" s="145"/>
      <c r="CE2616" s="145"/>
      <c r="CF2616" s="145"/>
      <c r="CG2616" s="145"/>
      <c r="CH2616" s="145"/>
      <c r="CI2616" s="145"/>
      <c r="CJ2616" s="145"/>
      <c r="CK2616" s="145"/>
      <c r="CL2616" s="145"/>
      <c r="CM2616" s="145"/>
      <c r="CN2616" s="145"/>
      <c r="CO2616" s="145"/>
      <c r="CP2616" s="145"/>
      <c r="CQ2616" s="145"/>
      <c r="CR2616" s="145"/>
      <c r="CS2616" s="145"/>
      <c r="CT2616" s="145"/>
      <c r="CU2616" s="145"/>
      <c r="CV2616" s="145"/>
      <c r="CW2616" s="145"/>
      <c r="CX2616" s="145"/>
      <c r="CY2616" s="145"/>
      <c r="CZ2616" s="145"/>
      <c r="DA2616" s="145"/>
      <c r="DB2616" s="145"/>
      <c r="DC2616" s="145"/>
      <c r="DD2616" s="145"/>
      <c r="DE2616" s="145"/>
      <c r="DF2616" s="145"/>
      <c r="DG2616" s="145"/>
      <c r="DH2616" s="145"/>
      <c r="DI2616" s="145"/>
      <c r="DJ2616" s="145"/>
      <c r="DK2616" s="145"/>
      <c r="DL2616" s="145"/>
      <c r="DM2616" s="145"/>
      <c r="DN2616" s="145"/>
      <c r="DO2616" s="145"/>
      <c r="DP2616" s="145"/>
      <c r="DQ2616" s="145"/>
      <c r="DR2616" s="145"/>
      <c r="DS2616" s="145"/>
      <c r="DT2616" s="145"/>
      <c r="DU2616" s="145"/>
      <c r="DV2616" s="145"/>
      <c r="DW2616" s="145"/>
      <c r="DX2616" s="145"/>
      <c r="DY2616" s="145"/>
      <c r="DZ2616" s="145"/>
      <c r="EA2616" s="145"/>
      <c r="EB2616" s="145"/>
      <c r="EC2616" s="145"/>
      <c r="ED2616" s="145"/>
      <c r="EE2616" s="145"/>
      <c r="EF2616" s="145"/>
      <c r="EG2616" s="145"/>
      <c r="EH2616" s="145"/>
      <c r="EI2616" s="145"/>
      <c r="EJ2616" s="145"/>
      <c r="EK2616" s="145"/>
      <c r="EL2616" s="145"/>
      <c r="EM2616" s="145"/>
      <c r="EN2616" s="145"/>
      <c r="EO2616" s="145"/>
      <c r="EP2616" s="145"/>
      <c r="EQ2616" s="145"/>
      <c r="ER2616" s="145"/>
      <c r="ES2616" s="145"/>
      <c r="ET2616" s="145"/>
      <c r="EU2616" s="145"/>
      <c r="EV2616" s="145"/>
      <c r="EW2616" s="145"/>
      <c r="EX2616" s="145"/>
      <c r="EY2616" s="145"/>
      <c r="EZ2616" s="145"/>
      <c r="FA2616" s="145"/>
      <c r="FB2616" s="145"/>
      <c r="FC2616" s="145"/>
      <c r="FD2616" s="145"/>
      <c r="FE2616" s="145"/>
      <c r="FF2616" s="145"/>
      <c r="FG2616" s="145"/>
      <c r="FH2616" s="145"/>
      <c r="FI2616" s="145"/>
      <c r="FJ2616" s="145"/>
      <c r="FK2616" s="145"/>
      <c r="FL2616" s="145"/>
      <c r="FM2616" s="145"/>
      <c r="FN2616" s="145"/>
      <c r="FO2616" s="145"/>
      <c r="FP2616" s="145"/>
      <c r="FQ2616" s="145"/>
      <c r="FR2616" s="145"/>
      <c r="FS2616" s="145"/>
      <c r="FT2616" s="145"/>
      <c r="FU2616" s="145"/>
      <c r="FV2616" s="145"/>
      <c r="FW2616" s="145"/>
      <c r="FX2616" s="145"/>
      <c r="FY2616" s="145"/>
      <c r="FZ2616" s="145"/>
      <c r="GA2616" s="145"/>
      <c r="GB2616" s="145"/>
      <c r="GC2616" s="145"/>
      <c r="GD2616" s="145"/>
      <c r="GE2616" s="145"/>
      <c r="GF2616" s="145"/>
      <c r="GG2616" s="145"/>
      <c r="GH2616" s="145"/>
      <c r="GI2616" s="145"/>
      <c r="GJ2616" s="145"/>
      <c r="GK2616" s="145"/>
      <c r="GL2616" s="145"/>
      <c r="GM2616" s="145"/>
      <c r="GN2616" s="145"/>
      <c r="GO2616" s="145"/>
      <c r="GP2616" s="145"/>
      <c r="GQ2616" s="145"/>
      <c r="GR2616" s="145"/>
      <c r="GS2616" s="145"/>
      <c r="GT2616" s="145"/>
      <c r="GU2616" s="145"/>
      <c r="GV2616" s="145"/>
      <c r="GW2616" s="145"/>
      <c r="GX2616" s="145"/>
      <c r="GY2616" s="145"/>
      <c r="GZ2616" s="145"/>
      <c r="HA2616" s="145"/>
      <c r="HB2616" s="145"/>
      <c r="HC2616" s="145"/>
      <c r="HD2616" s="145"/>
      <c r="HE2616" s="145"/>
    </row>
    <row r="2617" spans="1:215" x14ac:dyDescent="0.35">
      <c r="A2617" s="313"/>
      <c r="B2617" s="313"/>
      <c r="C2617" s="279"/>
      <c r="D2617" s="274"/>
      <c r="E2617" s="274"/>
      <c r="F2617" s="283"/>
      <c r="G2617" s="271"/>
      <c r="H2617" s="175" t="s">
        <v>73</v>
      </c>
      <c r="I2617" s="199">
        <f>7366312.8*0.7</f>
        <v>5156418.96</v>
      </c>
      <c r="J2617" s="199">
        <f>I2617/D2616</f>
        <v>1940.4</v>
      </c>
      <c r="K2617" s="199">
        <v>3174</v>
      </c>
      <c r="L2617" s="145"/>
      <c r="M2617" s="145"/>
      <c r="N2617" s="145"/>
      <c r="O2617" s="145"/>
      <c r="P2617" s="145"/>
      <c r="Q2617" s="145"/>
      <c r="R2617" s="145"/>
      <c r="S2617" s="145"/>
      <c r="T2617" s="145"/>
      <c r="U2617" s="145"/>
      <c r="V2617" s="145"/>
      <c r="W2617" s="145"/>
      <c r="X2617" s="145"/>
      <c r="Y2617" s="145"/>
      <c r="Z2617" s="145"/>
      <c r="AA2617" s="145"/>
      <c r="AB2617" s="145"/>
      <c r="AC2617" s="145"/>
      <c r="AD2617" s="145"/>
      <c r="AE2617" s="145"/>
      <c r="AF2617" s="145"/>
      <c r="AG2617" s="145"/>
      <c r="AH2617" s="145"/>
      <c r="AI2617" s="145"/>
      <c r="AJ2617" s="145"/>
      <c r="AK2617" s="145"/>
      <c r="AL2617" s="145"/>
      <c r="AM2617" s="145"/>
      <c r="AN2617" s="145"/>
      <c r="AO2617" s="145"/>
      <c r="AP2617" s="145"/>
      <c r="AQ2617" s="145"/>
      <c r="AR2617" s="145"/>
      <c r="AS2617" s="145"/>
      <c r="AT2617" s="145"/>
      <c r="AU2617" s="145"/>
      <c r="AV2617" s="145"/>
      <c r="AW2617" s="145"/>
      <c r="AX2617" s="145"/>
      <c r="AY2617" s="145"/>
      <c r="AZ2617" s="145"/>
      <c r="BA2617" s="145"/>
      <c r="BB2617" s="145"/>
      <c r="BC2617" s="145"/>
      <c r="BD2617" s="145"/>
      <c r="BE2617" s="145"/>
      <c r="BF2617" s="145"/>
      <c r="BG2617" s="145"/>
      <c r="BH2617" s="145"/>
      <c r="BI2617" s="145"/>
      <c r="BJ2617" s="145"/>
      <c r="BK2617" s="145"/>
      <c r="BL2617" s="145"/>
      <c r="BM2617" s="145"/>
      <c r="BN2617" s="145"/>
      <c r="BO2617" s="145"/>
      <c r="BP2617" s="145"/>
      <c r="BQ2617" s="145"/>
      <c r="BR2617" s="145"/>
      <c r="BS2617" s="145"/>
      <c r="BT2617" s="145"/>
      <c r="BU2617" s="145"/>
      <c r="BV2617" s="145"/>
      <c r="BW2617" s="145"/>
      <c r="BX2617" s="145"/>
      <c r="BY2617" s="145"/>
      <c r="BZ2617" s="145"/>
      <c r="CA2617" s="145"/>
      <c r="CB2617" s="145"/>
      <c r="CC2617" s="145"/>
      <c r="CD2617" s="145"/>
      <c r="CE2617" s="145"/>
      <c r="CF2617" s="145"/>
      <c r="CG2617" s="145"/>
      <c r="CH2617" s="145"/>
      <c r="CI2617" s="145"/>
      <c r="CJ2617" s="145"/>
      <c r="CK2617" s="145"/>
      <c r="CL2617" s="145"/>
      <c r="CM2617" s="145"/>
      <c r="CN2617" s="145"/>
      <c r="CO2617" s="145"/>
      <c r="CP2617" s="145"/>
      <c r="CQ2617" s="145"/>
      <c r="CR2617" s="145"/>
      <c r="CS2617" s="145"/>
      <c r="CT2617" s="145"/>
      <c r="CU2617" s="145"/>
      <c r="CV2617" s="145"/>
      <c r="CW2617" s="145"/>
      <c r="CX2617" s="145"/>
      <c r="CY2617" s="145"/>
      <c r="CZ2617" s="145"/>
      <c r="DA2617" s="145"/>
      <c r="DB2617" s="145"/>
      <c r="DC2617" s="145"/>
      <c r="DD2617" s="145"/>
      <c r="DE2617" s="145"/>
      <c r="DF2617" s="145"/>
      <c r="DG2617" s="145"/>
      <c r="DH2617" s="145"/>
      <c r="DI2617" s="145"/>
      <c r="DJ2617" s="145"/>
      <c r="DK2617" s="145"/>
      <c r="DL2617" s="145"/>
      <c r="DM2617" s="145"/>
      <c r="DN2617" s="145"/>
      <c r="DO2617" s="145"/>
      <c r="DP2617" s="145"/>
      <c r="DQ2617" s="145"/>
      <c r="DR2617" s="145"/>
      <c r="DS2617" s="145"/>
      <c r="DT2617" s="145"/>
      <c r="DU2617" s="145"/>
      <c r="DV2617" s="145"/>
      <c r="DW2617" s="145"/>
      <c r="DX2617" s="145"/>
      <c r="DY2617" s="145"/>
      <c r="DZ2617" s="145"/>
      <c r="EA2617" s="145"/>
      <c r="EB2617" s="145"/>
      <c r="EC2617" s="145"/>
      <c r="ED2617" s="145"/>
      <c r="EE2617" s="145"/>
      <c r="EF2617" s="145"/>
      <c r="EG2617" s="145"/>
      <c r="EH2617" s="145"/>
      <c r="EI2617" s="145"/>
      <c r="EJ2617" s="145"/>
      <c r="EK2617" s="145"/>
      <c r="EL2617" s="145"/>
      <c r="EM2617" s="145"/>
      <c r="EN2617" s="145"/>
      <c r="EO2617" s="145"/>
      <c r="EP2617" s="145"/>
      <c r="EQ2617" s="145"/>
      <c r="ER2617" s="145"/>
      <c r="ES2617" s="145"/>
      <c r="ET2617" s="145"/>
      <c r="EU2617" s="145"/>
      <c r="EV2617" s="145"/>
      <c r="EW2617" s="145"/>
      <c r="EX2617" s="145"/>
      <c r="EY2617" s="145"/>
      <c r="EZ2617" s="145"/>
      <c r="FA2617" s="145"/>
      <c r="FB2617" s="145"/>
      <c r="FC2617" s="145"/>
      <c r="FD2617" s="145"/>
      <c r="FE2617" s="145"/>
      <c r="FF2617" s="145"/>
      <c r="FG2617" s="145"/>
      <c r="FH2617" s="145"/>
      <c r="FI2617" s="145"/>
      <c r="FJ2617" s="145"/>
      <c r="FK2617" s="145"/>
      <c r="FL2617" s="145"/>
      <c r="FM2617" s="145"/>
      <c r="FN2617" s="145"/>
      <c r="FO2617" s="145"/>
      <c r="FP2617" s="145"/>
      <c r="FQ2617" s="145"/>
      <c r="FR2617" s="145"/>
      <c r="FS2617" s="145"/>
      <c r="FT2617" s="145"/>
      <c r="FU2617" s="145"/>
      <c r="FV2617" s="145"/>
      <c r="FW2617" s="145"/>
      <c r="FX2617" s="145"/>
      <c r="FY2617" s="145"/>
      <c r="FZ2617" s="145"/>
      <c r="GA2617" s="145"/>
      <c r="GB2617" s="145"/>
      <c r="GC2617" s="145"/>
      <c r="GD2617" s="145"/>
      <c r="GE2617" s="145"/>
      <c r="GF2617" s="145"/>
      <c r="GG2617" s="145"/>
      <c r="GH2617" s="145"/>
      <c r="GI2617" s="145"/>
      <c r="GJ2617" s="145"/>
      <c r="GK2617" s="145"/>
      <c r="GL2617" s="145"/>
      <c r="GM2617" s="145"/>
      <c r="GN2617" s="145"/>
      <c r="GO2617" s="145"/>
      <c r="GP2617" s="145"/>
      <c r="GQ2617" s="145"/>
      <c r="GR2617" s="145"/>
      <c r="GS2617" s="145"/>
      <c r="GT2617" s="145"/>
      <c r="GU2617" s="145"/>
      <c r="GV2617" s="145"/>
      <c r="GW2617" s="145"/>
      <c r="GX2617" s="145"/>
      <c r="GY2617" s="145"/>
      <c r="GZ2617" s="145"/>
      <c r="HA2617" s="145"/>
      <c r="HB2617" s="145"/>
      <c r="HC2617" s="145"/>
      <c r="HD2617" s="145"/>
      <c r="HE2617" s="145"/>
    </row>
    <row r="2618" spans="1:215" x14ac:dyDescent="0.35">
      <c r="A2618" s="324"/>
      <c r="B2618" s="324"/>
      <c r="C2618" s="285"/>
      <c r="D2618" s="275"/>
      <c r="E2618" s="275"/>
      <c r="F2618" s="284"/>
      <c r="G2618" s="272"/>
      <c r="H2618" s="175" t="s">
        <v>75</v>
      </c>
      <c r="I2618" s="199">
        <v>156002.67000000001</v>
      </c>
      <c r="J2618" s="199">
        <f>I2618/D2616</f>
        <v>58.71</v>
      </c>
      <c r="K2618" s="199">
        <v>68</v>
      </c>
      <c r="L2618" s="145"/>
      <c r="M2618" s="145"/>
      <c r="N2618" s="145"/>
      <c r="O2618" s="145"/>
      <c r="P2618" s="145"/>
      <c r="Q2618" s="145"/>
      <c r="R2618" s="145"/>
      <c r="S2618" s="145"/>
      <c r="T2618" s="145"/>
      <c r="U2618" s="145"/>
      <c r="V2618" s="145"/>
      <c r="W2618" s="145"/>
      <c r="X2618" s="145"/>
      <c r="Y2618" s="145"/>
      <c r="Z2618" s="145"/>
      <c r="AA2618" s="145"/>
      <c r="AB2618" s="145"/>
      <c r="AC2618" s="145"/>
      <c r="AD2618" s="145"/>
      <c r="AE2618" s="145"/>
      <c r="AF2618" s="145"/>
      <c r="AG2618" s="145"/>
      <c r="AH2618" s="145"/>
      <c r="AI2618" s="145"/>
      <c r="AJ2618" s="145"/>
      <c r="AK2618" s="145"/>
      <c r="AL2618" s="145"/>
      <c r="AM2618" s="145"/>
      <c r="AN2618" s="145"/>
      <c r="AO2618" s="145"/>
      <c r="AP2618" s="145"/>
      <c r="AQ2618" s="145"/>
      <c r="AR2618" s="145"/>
      <c r="AS2618" s="145"/>
      <c r="AT2618" s="145"/>
      <c r="AU2618" s="145"/>
      <c r="AV2618" s="145"/>
      <c r="AW2618" s="145"/>
      <c r="AX2618" s="145"/>
      <c r="AY2618" s="145"/>
      <c r="AZ2618" s="145"/>
      <c r="BA2618" s="145"/>
      <c r="BB2618" s="145"/>
      <c r="BC2618" s="145"/>
      <c r="BD2618" s="145"/>
      <c r="BE2618" s="145"/>
      <c r="BF2618" s="145"/>
      <c r="BG2618" s="145"/>
      <c r="BH2618" s="145"/>
      <c r="BI2618" s="145"/>
      <c r="BJ2618" s="145"/>
      <c r="BK2618" s="145"/>
      <c r="BL2618" s="145"/>
      <c r="BM2618" s="145"/>
      <c r="BN2618" s="145"/>
      <c r="BO2618" s="145"/>
      <c r="BP2618" s="145"/>
      <c r="BQ2618" s="145"/>
      <c r="BR2618" s="145"/>
      <c r="BS2618" s="145"/>
      <c r="BT2618" s="145"/>
      <c r="BU2618" s="145"/>
      <c r="BV2618" s="145"/>
      <c r="BW2618" s="145"/>
      <c r="BX2618" s="145"/>
      <c r="BY2618" s="145"/>
      <c r="BZ2618" s="145"/>
      <c r="CA2618" s="145"/>
      <c r="CB2618" s="145"/>
      <c r="CC2618" s="145"/>
      <c r="CD2618" s="145"/>
      <c r="CE2618" s="145"/>
      <c r="CF2618" s="145"/>
      <c r="CG2618" s="145"/>
      <c r="CH2618" s="145"/>
      <c r="CI2618" s="145"/>
      <c r="CJ2618" s="145"/>
      <c r="CK2618" s="145"/>
      <c r="CL2618" s="145"/>
      <c r="CM2618" s="145"/>
      <c r="CN2618" s="145"/>
      <c r="CO2618" s="145"/>
      <c r="CP2618" s="145"/>
      <c r="CQ2618" s="145"/>
      <c r="CR2618" s="145"/>
      <c r="CS2618" s="145"/>
      <c r="CT2618" s="145"/>
      <c r="CU2618" s="145"/>
      <c r="CV2618" s="145"/>
      <c r="CW2618" s="145"/>
      <c r="CX2618" s="145"/>
      <c r="CY2618" s="145"/>
      <c r="CZ2618" s="145"/>
      <c r="DA2618" s="145"/>
      <c r="DB2618" s="145"/>
      <c r="DC2618" s="145"/>
      <c r="DD2618" s="145"/>
      <c r="DE2618" s="145"/>
      <c r="DF2618" s="145"/>
      <c r="DG2618" s="145"/>
      <c r="DH2618" s="145"/>
      <c r="DI2618" s="145"/>
      <c r="DJ2618" s="145"/>
      <c r="DK2618" s="145"/>
      <c r="DL2618" s="145"/>
      <c r="DM2618" s="145"/>
      <c r="DN2618" s="145"/>
      <c r="DO2618" s="145"/>
      <c r="DP2618" s="145"/>
      <c r="DQ2618" s="145"/>
      <c r="DR2618" s="145"/>
      <c r="DS2618" s="145"/>
      <c r="DT2618" s="145"/>
      <c r="DU2618" s="145"/>
      <c r="DV2618" s="145"/>
      <c r="DW2618" s="145"/>
      <c r="DX2618" s="145"/>
      <c r="DY2618" s="145"/>
      <c r="DZ2618" s="145"/>
      <c r="EA2618" s="145"/>
      <c r="EB2618" s="145"/>
      <c r="EC2618" s="145"/>
      <c r="ED2618" s="145"/>
      <c r="EE2618" s="145"/>
      <c r="EF2618" s="145"/>
      <c r="EG2618" s="145"/>
      <c r="EH2618" s="145"/>
      <c r="EI2618" s="145"/>
      <c r="EJ2618" s="145"/>
      <c r="EK2618" s="145"/>
      <c r="EL2618" s="145"/>
      <c r="EM2618" s="145"/>
      <c r="EN2618" s="145"/>
      <c r="EO2618" s="145"/>
      <c r="EP2618" s="145"/>
      <c r="EQ2618" s="145"/>
      <c r="ER2618" s="145"/>
      <c r="ES2618" s="145"/>
      <c r="ET2618" s="145"/>
      <c r="EU2618" s="145"/>
      <c r="EV2618" s="145"/>
      <c r="EW2618" s="145"/>
      <c r="EX2618" s="145"/>
      <c r="EY2618" s="145"/>
      <c r="EZ2618" s="145"/>
      <c r="FA2618" s="145"/>
      <c r="FB2618" s="145"/>
      <c r="FC2618" s="145"/>
      <c r="FD2618" s="145"/>
      <c r="FE2618" s="145"/>
      <c r="FF2618" s="145"/>
      <c r="FG2618" s="145"/>
      <c r="FH2618" s="145"/>
      <c r="FI2618" s="145"/>
      <c r="FJ2618" s="145"/>
      <c r="FK2618" s="145"/>
      <c r="FL2618" s="145"/>
      <c r="FM2618" s="145"/>
      <c r="FN2618" s="145"/>
      <c r="FO2618" s="145"/>
      <c r="FP2618" s="145"/>
      <c r="FQ2618" s="145"/>
      <c r="FR2618" s="145"/>
      <c r="FS2618" s="145"/>
      <c r="FT2618" s="145"/>
      <c r="FU2618" s="145"/>
      <c r="FV2618" s="145"/>
      <c r="FW2618" s="145"/>
      <c r="FX2618" s="145"/>
      <c r="FY2618" s="145"/>
      <c r="FZ2618" s="145"/>
      <c r="GA2618" s="145"/>
      <c r="GB2618" s="145"/>
      <c r="GC2618" s="145"/>
      <c r="GD2618" s="145"/>
      <c r="GE2618" s="145"/>
      <c r="GF2618" s="145"/>
      <c r="GG2618" s="145"/>
      <c r="GH2618" s="145"/>
      <c r="GI2618" s="145"/>
      <c r="GJ2618" s="145"/>
      <c r="GK2618" s="145"/>
      <c r="GL2618" s="145"/>
      <c r="GM2618" s="145"/>
      <c r="GN2618" s="145"/>
      <c r="GO2618" s="145"/>
      <c r="GP2618" s="145"/>
      <c r="GQ2618" s="145"/>
      <c r="GR2618" s="145"/>
      <c r="GS2618" s="145"/>
      <c r="GT2618" s="145"/>
      <c r="GU2618" s="145"/>
      <c r="GV2618" s="145"/>
      <c r="GW2618" s="145"/>
      <c r="GX2618" s="145"/>
      <c r="GY2618" s="145"/>
      <c r="GZ2618" s="145"/>
      <c r="HA2618" s="145"/>
      <c r="HB2618" s="145"/>
      <c r="HC2618" s="145"/>
      <c r="HD2618" s="145"/>
      <c r="HE2618" s="145"/>
    </row>
    <row r="2619" spans="1:215" x14ac:dyDescent="0.35">
      <c r="A2619" s="288">
        <f>A2616+1</f>
        <v>4</v>
      </c>
      <c r="B2619" s="314">
        <v>7003</v>
      </c>
      <c r="C2619" s="278" t="s">
        <v>467</v>
      </c>
      <c r="D2619" s="273">
        <v>2665.8</v>
      </c>
      <c r="E2619" s="273" t="s">
        <v>70</v>
      </c>
      <c r="F2619" s="282">
        <v>5</v>
      </c>
      <c r="G2619" s="270" t="s">
        <v>71</v>
      </c>
      <c r="H2619" s="175" t="s">
        <v>72</v>
      </c>
      <c r="I2619" s="199">
        <f>I2620+I2621</f>
        <v>5328720.99</v>
      </c>
      <c r="J2619" s="199">
        <f>J2620+J2621</f>
        <v>1998.92</v>
      </c>
      <c r="K2619" s="199">
        <f>K2620+K2621</f>
        <v>3242</v>
      </c>
      <c r="L2619" s="145"/>
      <c r="M2619" s="145"/>
      <c r="N2619" s="145"/>
      <c r="O2619" s="145"/>
      <c r="P2619" s="145"/>
      <c r="Q2619" s="145"/>
      <c r="R2619" s="145"/>
      <c r="S2619" s="145"/>
      <c r="T2619" s="145"/>
      <c r="U2619" s="145"/>
      <c r="V2619" s="145"/>
      <c r="W2619" s="145"/>
      <c r="X2619" s="145"/>
      <c r="Y2619" s="145"/>
      <c r="Z2619" s="145"/>
      <c r="AA2619" s="145"/>
      <c r="AB2619" s="145"/>
      <c r="AC2619" s="145"/>
      <c r="AD2619" s="145"/>
      <c r="AE2619" s="145"/>
      <c r="AF2619" s="145"/>
      <c r="AG2619" s="145"/>
      <c r="AH2619" s="145"/>
      <c r="AI2619" s="145"/>
      <c r="AJ2619" s="145"/>
      <c r="AK2619" s="145"/>
      <c r="AL2619" s="145"/>
      <c r="AM2619" s="145"/>
      <c r="AN2619" s="145"/>
      <c r="AO2619" s="145"/>
      <c r="AP2619" s="145"/>
      <c r="AQ2619" s="145"/>
      <c r="AR2619" s="145"/>
      <c r="AS2619" s="145"/>
      <c r="AT2619" s="145"/>
      <c r="AU2619" s="145"/>
      <c r="AV2619" s="145"/>
      <c r="AW2619" s="145"/>
      <c r="AX2619" s="145"/>
      <c r="AY2619" s="145"/>
      <c r="AZ2619" s="145"/>
      <c r="BA2619" s="145"/>
      <c r="BB2619" s="145"/>
      <c r="BC2619" s="145"/>
      <c r="BD2619" s="145"/>
      <c r="BE2619" s="145"/>
      <c r="BF2619" s="145"/>
      <c r="BG2619" s="145"/>
      <c r="BH2619" s="145"/>
      <c r="BI2619" s="145"/>
      <c r="BJ2619" s="145"/>
      <c r="BK2619" s="145"/>
      <c r="BL2619" s="145"/>
      <c r="BM2619" s="145"/>
      <c r="BN2619" s="145"/>
      <c r="BO2619" s="145"/>
      <c r="BP2619" s="145"/>
      <c r="BQ2619" s="145"/>
      <c r="BR2619" s="145"/>
      <c r="BS2619" s="145"/>
      <c r="BT2619" s="145"/>
      <c r="BU2619" s="145"/>
      <c r="BV2619" s="145"/>
      <c r="BW2619" s="145"/>
      <c r="BX2619" s="145"/>
      <c r="BY2619" s="145"/>
      <c r="BZ2619" s="145"/>
      <c r="CA2619" s="145"/>
      <c r="CB2619" s="145"/>
      <c r="CC2619" s="145"/>
      <c r="CD2619" s="145"/>
      <c r="CE2619" s="145"/>
      <c r="CF2619" s="145"/>
      <c r="CG2619" s="145"/>
      <c r="CH2619" s="145"/>
      <c r="CI2619" s="145"/>
      <c r="CJ2619" s="145"/>
      <c r="CK2619" s="145"/>
      <c r="CL2619" s="145"/>
      <c r="CM2619" s="145"/>
      <c r="CN2619" s="145"/>
      <c r="CO2619" s="145"/>
      <c r="CP2619" s="145"/>
      <c r="CQ2619" s="145"/>
      <c r="CR2619" s="145"/>
      <c r="CS2619" s="145"/>
      <c r="CT2619" s="145"/>
      <c r="CU2619" s="145"/>
      <c r="CV2619" s="145"/>
      <c r="CW2619" s="145"/>
      <c r="CX2619" s="145"/>
      <c r="CY2619" s="145"/>
      <c r="CZ2619" s="145"/>
      <c r="DA2619" s="145"/>
      <c r="DB2619" s="145"/>
      <c r="DC2619" s="145"/>
      <c r="DD2619" s="145"/>
      <c r="DE2619" s="145"/>
      <c r="DF2619" s="145"/>
      <c r="DG2619" s="145"/>
      <c r="DH2619" s="145"/>
      <c r="DI2619" s="145"/>
      <c r="DJ2619" s="145"/>
      <c r="DK2619" s="145"/>
      <c r="DL2619" s="145"/>
      <c r="DM2619" s="145"/>
      <c r="DN2619" s="145"/>
      <c r="DO2619" s="145"/>
      <c r="DP2619" s="145"/>
      <c r="DQ2619" s="145"/>
      <c r="DR2619" s="145"/>
      <c r="DS2619" s="145"/>
      <c r="DT2619" s="145"/>
      <c r="DU2619" s="145"/>
      <c r="DV2619" s="145"/>
      <c r="DW2619" s="145"/>
      <c r="DX2619" s="145"/>
      <c r="DY2619" s="145"/>
      <c r="DZ2619" s="145"/>
      <c r="EA2619" s="145"/>
      <c r="EB2619" s="145"/>
      <c r="EC2619" s="145"/>
      <c r="ED2619" s="145"/>
      <c r="EE2619" s="145"/>
      <c r="EF2619" s="145"/>
      <c r="EG2619" s="145"/>
      <c r="EH2619" s="145"/>
      <c r="EI2619" s="145"/>
      <c r="EJ2619" s="145"/>
      <c r="EK2619" s="145"/>
      <c r="EL2619" s="145"/>
      <c r="EM2619" s="145"/>
      <c r="EN2619" s="145"/>
      <c r="EO2619" s="145"/>
      <c r="EP2619" s="145"/>
      <c r="EQ2619" s="145"/>
      <c r="ER2619" s="145"/>
      <c r="ES2619" s="145"/>
      <c r="ET2619" s="145"/>
      <c r="EU2619" s="145"/>
      <c r="EV2619" s="145"/>
      <c r="EW2619" s="145"/>
      <c r="EX2619" s="145"/>
      <c r="EY2619" s="145"/>
      <c r="EZ2619" s="145"/>
      <c r="FA2619" s="145"/>
      <c r="FB2619" s="145"/>
      <c r="FC2619" s="145"/>
      <c r="FD2619" s="145"/>
      <c r="FE2619" s="145"/>
      <c r="FF2619" s="145"/>
      <c r="FG2619" s="145"/>
      <c r="FH2619" s="145"/>
      <c r="FI2619" s="145"/>
      <c r="FJ2619" s="145"/>
      <c r="FK2619" s="145"/>
      <c r="FL2619" s="145"/>
      <c r="FM2619" s="145"/>
      <c r="FN2619" s="145"/>
      <c r="FO2619" s="145"/>
      <c r="FP2619" s="145"/>
      <c r="FQ2619" s="145"/>
      <c r="FR2619" s="145"/>
      <c r="FS2619" s="145"/>
      <c r="FT2619" s="145"/>
      <c r="FU2619" s="145"/>
      <c r="FV2619" s="145"/>
      <c r="FW2619" s="145"/>
      <c r="FX2619" s="145"/>
      <c r="FY2619" s="145"/>
      <c r="FZ2619" s="145"/>
      <c r="GA2619" s="145"/>
      <c r="GB2619" s="145"/>
      <c r="GC2619" s="145"/>
      <c r="GD2619" s="145"/>
      <c r="GE2619" s="145"/>
      <c r="GF2619" s="145"/>
      <c r="GG2619" s="145"/>
      <c r="GH2619" s="145"/>
      <c r="GI2619" s="145"/>
      <c r="GJ2619" s="145"/>
      <c r="GK2619" s="145"/>
      <c r="GL2619" s="145"/>
      <c r="GM2619" s="145"/>
      <c r="GN2619" s="145"/>
      <c r="GO2619" s="145"/>
      <c r="GP2619" s="145"/>
      <c r="GQ2619" s="145"/>
      <c r="GR2619" s="145"/>
      <c r="GS2619" s="145"/>
      <c r="GT2619" s="145"/>
      <c r="GU2619" s="145"/>
      <c r="GV2619" s="145"/>
      <c r="GW2619" s="145"/>
      <c r="GX2619" s="145"/>
      <c r="GY2619" s="145"/>
      <c r="GZ2619" s="145"/>
      <c r="HA2619" s="145"/>
      <c r="HB2619" s="145"/>
      <c r="HC2619" s="145"/>
      <c r="HD2619" s="145"/>
      <c r="HE2619" s="145"/>
    </row>
    <row r="2620" spans="1:215" x14ac:dyDescent="0.35">
      <c r="A2620" s="313"/>
      <c r="B2620" s="313"/>
      <c r="C2620" s="279"/>
      <c r="D2620" s="274"/>
      <c r="E2620" s="274"/>
      <c r="F2620" s="283"/>
      <c r="G2620" s="271"/>
      <c r="H2620" s="175" t="s">
        <v>73</v>
      </c>
      <c r="I2620" s="199">
        <f>7389597.6*0.7</f>
        <v>5172718.32</v>
      </c>
      <c r="J2620" s="199">
        <f>I2620/D2619</f>
        <v>1940.4</v>
      </c>
      <c r="K2620" s="181">
        <v>3174</v>
      </c>
      <c r="L2620" s="145"/>
      <c r="M2620" s="145"/>
      <c r="N2620" s="145"/>
      <c r="O2620" s="145"/>
      <c r="P2620" s="145"/>
      <c r="Q2620" s="145"/>
      <c r="R2620" s="145"/>
      <c r="S2620" s="145"/>
      <c r="T2620" s="145"/>
      <c r="U2620" s="145"/>
      <c r="V2620" s="145"/>
      <c r="W2620" s="145"/>
      <c r="X2620" s="145"/>
      <c r="Y2620" s="145"/>
      <c r="Z2620" s="145"/>
      <c r="AA2620" s="145"/>
      <c r="AB2620" s="145"/>
      <c r="AC2620" s="145"/>
      <c r="AD2620" s="145"/>
      <c r="AE2620" s="145"/>
      <c r="AF2620" s="145"/>
      <c r="AG2620" s="145"/>
      <c r="AH2620" s="145"/>
      <c r="AI2620" s="145"/>
      <c r="AJ2620" s="145"/>
      <c r="AK2620" s="145"/>
      <c r="AL2620" s="145"/>
      <c r="AM2620" s="145"/>
      <c r="AN2620" s="145"/>
      <c r="AO2620" s="145"/>
      <c r="AP2620" s="145"/>
      <c r="AQ2620" s="145"/>
      <c r="AR2620" s="145"/>
      <c r="AS2620" s="145"/>
      <c r="AT2620" s="145"/>
      <c r="AU2620" s="145"/>
      <c r="AV2620" s="145"/>
      <c r="AW2620" s="145"/>
      <c r="AX2620" s="145"/>
      <c r="AY2620" s="145"/>
      <c r="AZ2620" s="145"/>
      <c r="BA2620" s="145"/>
      <c r="BB2620" s="145"/>
      <c r="BC2620" s="145"/>
      <c r="BD2620" s="145"/>
      <c r="BE2620" s="145"/>
      <c r="BF2620" s="145"/>
      <c r="BG2620" s="145"/>
      <c r="BH2620" s="145"/>
      <c r="BI2620" s="145"/>
      <c r="BJ2620" s="145"/>
      <c r="BK2620" s="145"/>
      <c r="BL2620" s="145"/>
      <c r="BM2620" s="145"/>
      <c r="BN2620" s="145"/>
      <c r="BO2620" s="145"/>
      <c r="BP2620" s="145"/>
      <c r="BQ2620" s="145"/>
      <c r="BR2620" s="145"/>
      <c r="BS2620" s="145"/>
      <c r="BT2620" s="145"/>
      <c r="BU2620" s="145"/>
      <c r="BV2620" s="145"/>
      <c r="BW2620" s="145"/>
      <c r="BX2620" s="145"/>
      <c r="BY2620" s="145"/>
      <c r="BZ2620" s="145"/>
      <c r="CA2620" s="145"/>
      <c r="CB2620" s="145"/>
      <c r="CC2620" s="145"/>
      <c r="CD2620" s="145"/>
      <c r="CE2620" s="145"/>
      <c r="CF2620" s="145"/>
      <c r="CG2620" s="145"/>
      <c r="CH2620" s="145"/>
      <c r="CI2620" s="145"/>
      <c r="CJ2620" s="145"/>
      <c r="CK2620" s="145"/>
      <c r="CL2620" s="145"/>
      <c r="CM2620" s="145"/>
      <c r="CN2620" s="145"/>
      <c r="CO2620" s="145"/>
      <c r="CP2620" s="145"/>
      <c r="CQ2620" s="145"/>
      <c r="CR2620" s="145"/>
      <c r="CS2620" s="145"/>
      <c r="CT2620" s="145"/>
      <c r="CU2620" s="145"/>
      <c r="CV2620" s="145"/>
      <c r="CW2620" s="145"/>
      <c r="CX2620" s="145"/>
      <c r="CY2620" s="145"/>
      <c r="CZ2620" s="145"/>
      <c r="DA2620" s="145"/>
      <c r="DB2620" s="145"/>
      <c r="DC2620" s="145"/>
      <c r="DD2620" s="145"/>
      <c r="DE2620" s="145"/>
      <c r="DF2620" s="145"/>
      <c r="DG2620" s="145"/>
      <c r="DH2620" s="145"/>
      <c r="DI2620" s="145"/>
      <c r="DJ2620" s="145"/>
      <c r="DK2620" s="145"/>
      <c r="DL2620" s="145"/>
      <c r="DM2620" s="145"/>
      <c r="DN2620" s="145"/>
      <c r="DO2620" s="145"/>
      <c r="DP2620" s="145"/>
      <c r="DQ2620" s="145"/>
      <c r="DR2620" s="145"/>
      <c r="DS2620" s="145"/>
      <c r="DT2620" s="145"/>
      <c r="DU2620" s="145"/>
      <c r="DV2620" s="145"/>
      <c r="DW2620" s="145"/>
      <c r="DX2620" s="145"/>
      <c r="DY2620" s="145"/>
      <c r="DZ2620" s="145"/>
      <c r="EA2620" s="145"/>
      <c r="EB2620" s="145"/>
      <c r="EC2620" s="145"/>
      <c r="ED2620" s="145"/>
      <c r="EE2620" s="145"/>
      <c r="EF2620" s="145"/>
      <c r="EG2620" s="145"/>
      <c r="EH2620" s="145"/>
      <c r="EI2620" s="145"/>
      <c r="EJ2620" s="145"/>
      <c r="EK2620" s="145"/>
      <c r="EL2620" s="145"/>
      <c r="EM2620" s="145"/>
      <c r="EN2620" s="145"/>
      <c r="EO2620" s="145"/>
      <c r="EP2620" s="145"/>
      <c r="EQ2620" s="145"/>
      <c r="ER2620" s="145"/>
      <c r="ES2620" s="145"/>
      <c r="ET2620" s="145"/>
      <c r="EU2620" s="145"/>
      <c r="EV2620" s="145"/>
      <c r="EW2620" s="145"/>
      <c r="EX2620" s="145"/>
      <c r="EY2620" s="145"/>
      <c r="EZ2620" s="145"/>
      <c r="FA2620" s="145"/>
      <c r="FB2620" s="145"/>
      <c r="FC2620" s="145"/>
      <c r="FD2620" s="145"/>
      <c r="FE2620" s="145"/>
      <c r="FF2620" s="145"/>
      <c r="FG2620" s="145"/>
      <c r="FH2620" s="145"/>
      <c r="FI2620" s="145"/>
      <c r="FJ2620" s="145"/>
      <c r="FK2620" s="145"/>
      <c r="FL2620" s="145"/>
      <c r="FM2620" s="145"/>
      <c r="FN2620" s="145"/>
      <c r="FO2620" s="145"/>
      <c r="FP2620" s="145"/>
      <c r="FQ2620" s="145"/>
      <c r="FR2620" s="145"/>
      <c r="FS2620" s="145"/>
      <c r="FT2620" s="145"/>
      <c r="FU2620" s="145"/>
      <c r="FV2620" s="145"/>
      <c r="FW2620" s="145"/>
      <c r="FX2620" s="145"/>
      <c r="FY2620" s="145"/>
      <c r="FZ2620" s="145"/>
      <c r="GA2620" s="145"/>
      <c r="GB2620" s="145"/>
      <c r="GC2620" s="145"/>
      <c r="GD2620" s="145"/>
      <c r="GE2620" s="145"/>
      <c r="GF2620" s="145"/>
      <c r="GG2620" s="145"/>
      <c r="GH2620" s="145"/>
      <c r="GI2620" s="145"/>
      <c r="GJ2620" s="145"/>
      <c r="GK2620" s="145"/>
      <c r="GL2620" s="145"/>
      <c r="GM2620" s="145"/>
      <c r="GN2620" s="145"/>
      <c r="GO2620" s="145"/>
      <c r="GP2620" s="145"/>
      <c r="GQ2620" s="145"/>
      <c r="GR2620" s="145"/>
      <c r="GS2620" s="145"/>
      <c r="GT2620" s="145"/>
      <c r="GU2620" s="145"/>
      <c r="GV2620" s="145"/>
      <c r="GW2620" s="145"/>
      <c r="GX2620" s="145"/>
      <c r="GY2620" s="145"/>
      <c r="GZ2620" s="145"/>
      <c r="HA2620" s="145"/>
      <c r="HB2620" s="145"/>
      <c r="HC2620" s="145"/>
      <c r="HD2620" s="145"/>
    </row>
    <row r="2621" spans="1:215" x14ac:dyDescent="0.35">
      <c r="A2621" s="324"/>
      <c r="B2621" s="324"/>
      <c r="C2621" s="279"/>
      <c r="D2621" s="274"/>
      <c r="E2621" s="274"/>
      <c r="F2621" s="283"/>
      <c r="G2621" s="271"/>
      <c r="H2621" s="175" t="s">
        <v>75</v>
      </c>
      <c r="I2621" s="199">
        <v>156002.67000000001</v>
      </c>
      <c r="J2621" s="199">
        <f>I2621/D2619</f>
        <v>58.52</v>
      </c>
      <c r="K2621" s="181">
        <v>68</v>
      </c>
      <c r="L2621" s="145"/>
      <c r="M2621" s="145"/>
      <c r="N2621" s="145"/>
      <c r="O2621" s="145"/>
      <c r="P2621" s="145"/>
      <c r="Q2621" s="145"/>
      <c r="R2621" s="145"/>
      <c r="S2621" s="145"/>
      <c r="T2621" s="145"/>
      <c r="U2621" s="145"/>
      <c r="V2621" s="145"/>
      <c r="W2621" s="145"/>
      <c r="X2621" s="145"/>
      <c r="Y2621" s="145"/>
      <c r="Z2621" s="145"/>
      <c r="AA2621" s="145"/>
      <c r="AB2621" s="145"/>
      <c r="AC2621" s="145"/>
      <c r="AD2621" s="145"/>
      <c r="AE2621" s="145"/>
      <c r="AF2621" s="145"/>
      <c r="AG2621" s="145"/>
      <c r="AH2621" s="145"/>
      <c r="AI2621" s="145"/>
      <c r="AJ2621" s="145"/>
      <c r="AK2621" s="145"/>
      <c r="AL2621" s="145"/>
      <c r="AM2621" s="145"/>
      <c r="AN2621" s="145"/>
      <c r="AO2621" s="145"/>
      <c r="AP2621" s="145"/>
      <c r="AQ2621" s="145"/>
      <c r="AR2621" s="145"/>
      <c r="AS2621" s="145"/>
      <c r="AT2621" s="145"/>
      <c r="AU2621" s="145"/>
      <c r="AV2621" s="145"/>
      <c r="AW2621" s="145"/>
      <c r="AX2621" s="145"/>
      <c r="AY2621" s="145"/>
      <c r="AZ2621" s="145"/>
      <c r="BA2621" s="145"/>
      <c r="BB2621" s="145"/>
      <c r="BC2621" s="145"/>
      <c r="BD2621" s="145"/>
      <c r="BE2621" s="145"/>
      <c r="BF2621" s="145"/>
      <c r="BG2621" s="145"/>
      <c r="BH2621" s="145"/>
      <c r="BI2621" s="145"/>
      <c r="BJ2621" s="145"/>
      <c r="BK2621" s="145"/>
      <c r="BL2621" s="145"/>
      <c r="BM2621" s="145"/>
      <c r="BN2621" s="145"/>
      <c r="BO2621" s="145"/>
      <c r="BP2621" s="145"/>
      <c r="BQ2621" s="145"/>
      <c r="BR2621" s="145"/>
      <c r="BS2621" s="145"/>
      <c r="BT2621" s="145"/>
      <c r="BU2621" s="145"/>
      <c r="BV2621" s="145"/>
      <c r="BW2621" s="145"/>
      <c r="BX2621" s="145"/>
      <c r="BY2621" s="145"/>
      <c r="BZ2621" s="145"/>
      <c r="CA2621" s="145"/>
      <c r="CB2621" s="145"/>
      <c r="CC2621" s="145"/>
      <c r="CD2621" s="145"/>
      <c r="CE2621" s="145"/>
      <c r="CF2621" s="145"/>
      <c r="CG2621" s="145"/>
      <c r="CH2621" s="145"/>
      <c r="CI2621" s="145"/>
      <c r="CJ2621" s="145"/>
      <c r="CK2621" s="145"/>
      <c r="CL2621" s="145"/>
      <c r="CM2621" s="145"/>
      <c r="CN2621" s="145"/>
      <c r="CO2621" s="145"/>
      <c r="CP2621" s="145"/>
      <c r="CQ2621" s="145"/>
      <c r="CR2621" s="145"/>
      <c r="CS2621" s="145"/>
      <c r="CT2621" s="145"/>
      <c r="CU2621" s="145"/>
      <c r="CV2621" s="145"/>
      <c r="CW2621" s="145"/>
      <c r="CX2621" s="145"/>
      <c r="CY2621" s="145"/>
      <c r="CZ2621" s="145"/>
      <c r="DA2621" s="145"/>
      <c r="DB2621" s="145"/>
      <c r="DC2621" s="145"/>
      <c r="DD2621" s="145"/>
      <c r="DE2621" s="145"/>
      <c r="DF2621" s="145"/>
      <c r="DG2621" s="145"/>
      <c r="DH2621" s="145"/>
      <c r="DI2621" s="145"/>
      <c r="DJ2621" s="145"/>
      <c r="DK2621" s="145"/>
      <c r="DL2621" s="145"/>
      <c r="DM2621" s="145"/>
      <c r="DN2621" s="145"/>
      <c r="DO2621" s="145"/>
      <c r="DP2621" s="145"/>
      <c r="DQ2621" s="145"/>
      <c r="DR2621" s="145"/>
      <c r="DS2621" s="145"/>
      <c r="DT2621" s="145"/>
      <c r="DU2621" s="145"/>
      <c r="DV2621" s="145"/>
      <c r="DW2621" s="145"/>
      <c r="DX2621" s="145"/>
      <c r="DY2621" s="145"/>
      <c r="DZ2621" s="145"/>
      <c r="EA2621" s="145"/>
      <c r="EB2621" s="145"/>
      <c r="EC2621" s="145"/>
      <c r="ED2621" s="145"/>
      <c r="EE2621" s="145"/>
      <c r="EF2621" s="145"/>
      <c r="EG2621" s="145"/>
      <c r="EH2621" s="145"/>
      <c r="EI2621" s="145"/>
      <c r="EJ2621" s="145"/>
      <c r="EK2621" s="145"/>
      <c r="EL2621" s="145"/>
      <c r="EM2621" s="145"/>
      <c r="EN2621" s="145"/>
      <c r="EO2621" s="145"/>
      <c r="EP2621" s="145"/>
      <c r="EQ2621" s="145"/>
      <c r="ER2621" s="145"/>
      <c r="ES2621" s="145"/>
      <c r="ET2621" s="145"/>
      <c r="EU2621" s="145"/>
      <c r="EV2621" s="145"/>
      <c r="EW2621" s="145"/>
      <c r="EX2621" s="145"/>
      <c r="EY2621" s="145"/>
      <c r="EZ2621" s="145"/>
      <c r="FA2621" s="145"/>
      <c r="FB2621" s="145"/>
      <c r="FC2621" s="145"/>
      <c r="FD2621" s="145"/>
      <c r="FE2621" s="145"/>
      <c r="FF2621" s="145"/>
      <c r="FG2621" s="145"/>
      <c r="FH2621" s="145"/>
      <c r="FI2621" s="145"/>
      <c r="FJ2621" s="145"/>
      <c r="FK2621" s="145"/>
      <c r="FL2621" s="145"/>
      <c r="FM2621" s="145"/>
      <c r="FN2621" s="145"/>
      <c r="FO2621" s="145"/>
      <c r="FP2621" s="145"/>
      <c r="FQ2621" s="145"/>
      <c r="FR2621" s="145"/>
      <c r="FS2621" s="145"/>
      <c r="FT2621" s="145"/>
      <c r="FU2621" s="145"/>
      <c r="FV2621" s="145"/>
      <c r="FW2621" s="145"/>
      <c r="FX2621" s="145"/>
      <c r="FY2621" s="145"/>
      <c r="FZ2621" s="145"/>
      <c r="GA2621" s="145"/>
      <c r="GB2621" s="145"/>
      <c r="GC2621" s="145"/>
      <c r="GD2621" s="145"/>
      <c r="GE2621" s="145"/>
      <c r="GF2621" s="145"/>
      <c r="GG2621" s="145"/>
      <c r="GH2621" s="145"/>
      <c r="GI2621" s="145"/>
      <c r="GJ2621" s="145"/>
      <c r="GK2621" s="145"/>
      <c r="GL2621" s="145"/>
      <c r="GM2621" s="145"/>
      <c r="GN2621" s="145"/>
      <c r="GO2621" s="145"/>
      <c r="GP2621" s="145"/>
      <c r="GQ2621" s="145"/>
      <c r="GR2621" s="145"/>
      <c r="GS2621" s="145"/>
      <c r="GT2621" s="145"/>
      <c r="GU2621" s="145"/>
      <c r="GV2621" s="145"/>
      <c r="GW2621" s="145"/>
      <c r="GX2621" s="145"/>
      <c r="GY2621" s="145"/>
      <c r="GZ2621" s="145"/>
      <c r="HA2621" s="145"/>
      <c r="HB2621" s="145"/>
      <c r="HC2621" s="145"/>
      <c r="HD2621" s="145"/>
      <c r="HE2621" s="145"/>
      <c r="HF2621" s="145"/>
    </row>
    <row r="2622" spans="1:215" x14ac:dyDescent="0.35">
      <c r="A2622" s="254">
        <f>A2619+1</f>
        <v>5</v>
      </c>
      <c r="B2622" s="254">
        <v>6932</v>
      </c>
      <c r="C2622" s="315" t="s">
        <v>613</v>
      </c>
      <c r="D2622" s="287">
        <v>3583.3</v>
      </c>
      <c r="E2622" s="287" t="s">
        <v>70</v>
      </c>
      <c r="F2622" s="282">
        <v>5</v>
      </c>
      <c r="G2622" s="270" t="s">
        <v>71</v>
      </c>
      <c r="H2622" s="136" t="s">
        <v>72</v>
      </c>
      <c r="I2622" s="181">
        <f>SUM(I2623:I2623)</f>
        <v>605577.69999999995</v>
      </c>
      <c r="J2622" s="181">
        <f>SUM(J2623:J2623)</f>
        <v>169</v>
      </c>
      <c r="K2622" s="181">
        <f>SUM(K2623:K2623)</f>
        <v>169</v>
      </c>
      <c r="L2622" s="145"/>
      <c r="M2622" s="145"/>
      <c r="N2622" s="145"/>
      <c r="O2622" s="145"/>
      <c r="P2622" s="145"/>
      <c r="Q2622" s="145"/>
      <c r="R2622" s="145"/>
      <c r="S2622" s="145"/>
      <c r="T2622" s="145"/>
      <c r="U2622" s="145"/>
      <c r="V2622" s="145"/>
      <c r="W2622" s="145"/>
      <c r="X2622" s="145"/>
      <c r="Y2622" s="145"/>
      <c r="Z2622" s="145"/>
      <c r="AA2622" s="145"/>
      <c r="AB2622" s="145"/>
      <c r="AC2622" s="145"/>
      <c r="AD2622" s="145"/>
      <c r="AE2622" s="145"/>
      <c r="AF2622" s="145"/>
      <c r="AG2622" s="145"/>
      <c r="AH2622" s="145"/>
      <c r="AI2622" s="145"/>
      <c r="AJ2622" s="145"/>
      <c r="AK2622" s="145"/>
      <c r="AL2622" s="145"/>
      <c r="AM2622" s="145"/>
      <c r="AN2622" s="145"/>
      <c r="AO2622" s="145"/>
      <c r="AP2622" s="145"/>
      <c r="AQ2622" s="145"/>
      <c r="AR2622" s="145"/>
      <c r="AS2622" s="145"/>
      <c r="AT2622" s="145"/>
      <c r="AU2622" s="145"/>
      <c r="AV2622" s="145"/>
      <c r="AW2622" s="145"/>
      <c r="AX2622" s="145"/>
      <c r="AY2622" s="145"/>
      <c r="AZ2622" s="145"/>
      <c r="BA2622" s="145"/>
      <c r="BB2622" s="145"/>
      <c r="BC2622" s="145"/>
      <c r="BD2622" s="145"/>
      <c r="BE2622" s="145"/>
      <c r="BF2622" s="145"/>
      <c r="BG2622" s="145"/>
      <c r="BH2622" s="145"/>
      <c r="BI2622" s="145"/>
      <c r="BJ2622" s="145"/>
      <c r="BK2622" s="145"/>
      <c r="BL2622" s="145"/>
      <c r="BM2622" s="145"/>
      <c r="BN2622" s="145"/>
      <c r="BO2622" s="145"/>
      <c r="BP2622" s="145"/>
      <c r="BQ2622" s="145"/>
      <c r="BR2622" s="145"/>
      <c r="BS2622" s="145"/>
      <c r="BT2622" s="145"/>
      <c r="BU2622" s="145"/>
      <c r="BV2622" s="145"/>
      <c r="BW2622" s="145"/>
      <c r="BX2622" s="145"/>
      <c r="BY2622" s="145"/>
      <c r="BZ2622" s="145"/>
      <c r="CA2622" s="145"/>
      <c r="CB2622" s="145"/>
      <c r="CC2622" s="145"/>
      <c r="CD2622" s="145"/>
      <c r="CE2622" s="145"/>
      <c r="CF2622" s="145"/>
      <c r="CG2622" s="145"/>
      <c r="CH2622" s="145"/>
      <c r="CI2622" s="145"/>
      <c r="CJ2622" s="145"/>
      <c r="CK2622" s="145"/>
      <c r="CL2622" s="145"/>
      <c r="CM2622" s="145"/>
      <c r="CN2622" s="145"/>
      <c r="CO2622" s="145"/>
      <c r="CP2622" s="145"/>
      <c r="CQ2622" s="145"/>
      <c r="CR2622" s="145"/>
      <c r="CS2622" s="145"/>
      <c r="CT2622" s="145"/>
      <c r="CU2622" s="145"/>
      <c r="CV2622" s="145"/>
      <c r="CW2622" s="145"/>
      <c r="CX2622" s="145"/>
      <c r="CY2622" s="145"/>
      <c r="CZ2622" s="145"/>
      <c r="DA2622" s="145"/>
      <c r="DB2622" s="145"/>
      <c r="DC2622" s="145"/>
      <c r="DD2622" s="145"/>
      <c r="DE2622" s="145"/>
      <c r="DF2622" s="145"/>
      <c r="DG2622" s="145"/>
      <c r="DH2622" s="145"/>
      <c r="DI2622" s="145"/>
      <c r="DJ2622" s="145"/>
      <c r="DK2622" s="145"/>
      <c r="DL2622" s="145"/>
      <c r="DM2622" s="145"/>
      <c r="DN2622" s="145"/>
      <c r="DO2622" s="145"/>
      <c r="DP2622" s="145"/>
      <c r="DQ2622" s="145"/>
      <c r="DR2622" s="145"/>
      <c r="DS2622" s="145"/>
      <c r="DT2622" s="145"/>
      <c r="DU2622" s="145"/>
      <c r="DV2622" s="145"/>
      <c r="DW2622" s="145"/>
      <c r="DX2622" s="145"/>
      <c r="DY2622" s="145"/>
      <c r="DZ2622" s="145"/>
      <c r="EA2622" s="145"/>
      <c r="EB2622" s="145"/>
      <c r="EC2622" s="145"/>
      <c r="ED2622" s="145"/>
      <c r="EE2622" s="145"/>
      <c r="EF2622" s="145"/>
      <c r="EG2622" s="145"/>
      <c r="EH2622" s="145"/>
      <c r="EI2622" s="145"/>
      <c r="EJ2622" s="145"/>
      <c r="EK2622" s="145"/>
      <c r="EL2622" s="145"/>
      <c r="EM2622" s="145"/>
      <c r="EN2622" s="145"/>
      <c r="EO2622" s="145"/>
      <c r="EP2622" s="145"/>
      <c r="EQ2622" s="145"/>
      <c r="ER2622" s="145"/>
      <c r="ES2622" s="145"/>
      <c r="ET2622" s="145"/>
      <c r="EU2622" s="145"/>
      <c r="EV2622" s="145"/>
      <c r="EW2622" s="145"/>
      <c r="EX2622" s="145"/>
      <c r="EY2622" s="145"/>
      <c r="EZ2622" s="145"/>
      <c r="FA2622" s="145"/>
      <c r="FB2622" s="145"/>
      <c r="FC2622" s="145"/>
      <c r="FD2622" s="145"/>
      <c r="FE2622" s="145"/>
      <c r="FF2622" s="145"/>
      <c r="FG2622" s="145"/>
      <c r="FH2622" s="145"/>
      <c r="FI2622" s="145"/>
      <c r="FJ2622" s="145"/>
      <c r="FK2622" s="145"/>
      <c r="FL2622" s="145"/>
      <c r="FM2622" s="145"/>
      <c r="FN2622" s="145"/>
      <c r="FO2622" s="145"/>
      <c r="FP2622" s="145"/>
      <c r="FQ2622" s="145"/>
      <c r="FR2622" s="145"/>
      <c r="FS2622" s="145"/>
      <c r="FT2622" s="145"/>
      <c r="FU2622" s="145"/>
      <c r="FV2622" s="145"/>
      <c r="FW2622" s="145"/>
      <c r="FX2622" s="145"/>
      <c r="FY2622" s="145"/>
      <c r="FZ2622" s="145"/>
      <c r="GA2622" s="145"/>
      <c r="GB2622" s="145"/>
      <c r="GC2622" s="145"/>
      <c r="GD2622" s="145"/>
      <c r="GE2622" s="145"/>
      <c r="GF2622" s="145"/>
      <c r="GG2622" s="145"/>
      <c r="GH2622" s="145"/>
      <c r="GI2622" s="145"/>
      <c r="GJ2622" s="145"/>
      <c r="GK2622" s="145"/>
      <c r="GL2622" s="145"/>
      <c r="GM2622" s="145"/>
      <c r="GN2622" s="145"/>
      <c r="GO2622" s="145"/>
      <c r="GP2622" s="145"/>
      <c r="GQ2622" s="145"/>
      <c r="GR2622" s="145"/>
      <c r="GS2622" s="145"/>
      <c r="GT2622" s="145"/>
      <c r="GU2622" s="145"/>
      <c r="GV2622" s="145"/>
      <c r="GW2622" s="145"/>
      <c r="GX2622" s="145"/>
      <c r="GY2622" s="145"/>
      <c r="GZ2622" s="145"/>
      <c r="HA2622" s="145"/>
      <c r="HB2622" s="145"/>
      <c r="HC2622" s="145"/>
      <c r="HD2622" s="145"/>
      <c r="HE2622" s="145"/>
      <c r="HF2622" s="145"/>
    </row>
    <row r="2623" spans="1:215" ht="62" customHeight="1" x14ac:dyDescent="0.35">
      <c r="A2623" s="290"/>
      <c r="B2623" s="290"/>
      <c r="C2623" s="326"/>
      <c r="D2623" s="275"/>
      <c r="E2623" s="275"/>
      <c r="F2623" s="284"/>
      <c r="G2623" s="272"/>
      <c r="H2623" s="136" t="s">
        <v>673</v>
      </c>
      <c r="I2623" s="181">
        <f>541078.3+18*D2622</f>
        <v>605577.69999999995</v>
      </c>
      <c r="J2623" s="181">
        <f>I2623/D2622</f>
        <v>169</v>
      </c>
      <c r="K2623" s="181">
        <f>151+18</f>
        <v>169</v>
      </c>
      <c r="L2623" s="145"/>
      <c r="M2623" s="145"/>
      <c r="N2623" s="145"/>
      <c r="O2623" s="145"/>
      <c r="P2623" s="145"/>
      <c r="Q2623" s="145"/>
      <c r="R2623" s="145"/>
      <c r="S2623" s="145"/>
      <c r="T2623" s="145"/>
      <c r="U2623" s="145"/>
      <c r="V2623" s="145"/>
      <c r="W2623" s="145"/>
      <c r="X2623" s="145"/>
      <c r="Y2623" s="145"/>
      <c r="Z2623" s="145"/>
      <c r="AA2623" s="145"/>
      <c r="AB2623" s="145"/>
      <c r="AC2623" s="145"/>
      <c r="AD2623" s="145"/>
      <c r="AE2623" s="145"/>
      <c r="AF2623" s="145"/>
      <c r="AG2623" s="145"/>
      <c r="AH2623" s="145"/>
      <c r="AI2623" s="145"/>
      <c r="AJ2623" s="145"/>
      <c r="AK2623" s="145"/>
      <c r="AL2623" s="145"/>
      <c r="AM2623" s="145"/>
      <c r="AN2623" s="145"/>
      <c r="AO2623" s="145"/>
      <c r="AP2623" s="145"/>
      <c r="AQ2623" s="145"/>
      <c r="AR2623" s="145"/>
      <c r="AS2623" s="145"/>
      <c r="AT2623" s="145"/>
      <c r="AU2623" s="145"/>
      <c r="AV2623" s="145"/>
      <c r="AW2623" s="145"/>
      <c r="AX2623" s="145"/>
      <c r="AY2623" s="145"/>
      <c r="AZ2623" s="145"/>
      <c r="BA2623" s="145"/>
      <c r="BB2623" s="145"/>
      <c r="BC2623" s="145"/>
      <c r="BD2623" s="145"/>
      <c r="BE2623" s="145"/>
      <c r="BF2623" s="145"/>
      <c r="BG2623" s="145"/>
      <c r="BH2623" s="145"/>
      <c r="BI2623" s="145"/>
      <c r="BJ2623" s="145"/>
      <c r="BK2623" s="145"/>
      <c r="BL2623" s="145"/>
      <c r="BM2623" s="145"/>
      <c r="BN2623" s="145"/>
      <c r="BO2623" s="145"/>
      <c r="BP2623" s="145"/>
      <c r="BQ2623" s="145"/>
      <c r="BR2623" s="145"/>
      <c r="BS2623" s="145"/>
      <c r="BT2623" s="145"/>
      <c r="BU2623" s="145"/>
      <c r="BV2623" s="145"/>
      <c r="BW2623" s="145"/>
      <c r="BX2623" s="145"/>
      <c r="BY2623" s="145"/>
      <c r="BZ2623" s="145"/>
      <c r="CA2623" s="145"/>
      <c r="CB2623" s="145"/>
      <c r="CC2623" s="145"/>
      <c r="CD2623" s="145"/>
      <c r="CE2623" s="145"/>
      <c r="CF2623" s="145"/>
      <c r="CG2623" s="145"/>
      <c r="CH2623" s="145"/>
      <c r="CI2623" s="145"/>
      <c r="CJ2623" s="145"/>
      <c r="CK2623" s="145"/>
      <c r="CL2623" s="145"/>
      <c r="CM2623" s="145"/>
      <c r="CN2623" s="145"/>
      <c r="CO2623" s="145"/>
      <c r="CP2623" s="145"/>
      <c r="CQ2623" s="145"/>
      <c r="CR2623" s="145"/>
      <c r="CS2623" s="145"/>
      <c r="CT2623" s="145"/>
      <c r="CU2623" s="145"/>
      <c r="CV2623" s="145"/>
      <c r="CW2623" s="145"/>
      <c r="CX2623" s="145"/>
      <c r="CY2623" s="145"/>
      <c r="CZ2623" s="145"/>
      <c r="DA2623" s="145"/>
      <c r="DB2623" s="145"/>
      <c r="DC2623" s="145"/>
      <c r="DD2623" s="145"/>
      <c r="DE2623" s="145"/>
      <c r="DF2623" s="145"/>
      <c r="DG2623" s="145"/>
      <c r="DH2623" s="145"/>
      <c r="DI2623" s="145"/>
      <c r="DJ2623" s="145"/>
      <c r="DK2623" s="145"/>
      <c r="DL2623" s="145"/>
      <c r="DM2623" s="145"/>
      <c r="DN2623" s="145"/>
      <c r="DO2623" s="145"/>
      <c r="DP2623" s="145"/>
      <c r="DQ2623" s="145"/>
      <c r="DR2623" s="145"/>
      <c r="DS2623" s="145"/>
      <c r="DT2623" s="145"/>
      <c r="DU2623" s="145"/>
      <c r="DV2623" s="145"/>
      <c r="DW2623" s="145"/>
      <c r="DX2623" s="145"/>
      <c r="DY2623" s="145"/>
      <c r="DZ2623" s="145"/>
      <c r="EA2623" s="145"/>
      <c r="EB2623" s="145"/>
      <c r="EC2623" s="145"/>
      <c r="ED2623" s="145"/>
      <c r="EE2623" s="145"/>
      <c r="EF2623" s="145"/>
      <c r="EG2623" s="145"/>
      <c r="EH2623" s="145"/>
      <c r="EI2623" s="145"/>
      <c r="EJ2623" s="145"/>
      <c r="EK2623" s="145"/>
      <c r="EL2623" s="145"/>
      <c r="EM2623" s="145"/>
      <c r="EN2623" s="145"/>
      <c r="EO2623" s="145"/>
      <c r="EP2623" s="145"/>
      <c r="EQ2623" s="145"/>
      <c r="ER2623" s="145"/>
      <c r="ES2623" s="145"/>
      <c r="ET2623" s="145"/>
      <c r="EU2623" s="145"/>
      <c r="EV2623" s="145"/>
      <c r="EW2623" s="145"/>
      <c r="EX2623" s="145"/>
      <c r="EY2623" s="145"/>
      <c r="EZ2623" s="145"/>
      <c r="FA2623" s="145"/>
      <c r="FB2623" s="145"/>
      <c r="FC2623" s="145"/>
      <c r="FD2623" s="145"/>
      <c r="FE2623" s="145"/>
      <c r="FF2623" s="145"/>
      <c r="FG2623" s="145"/>
      <c r="FH2623" s="145"/>
      <c r="FI2623" s="145"/>
      <c r="FJ2623" s="145"/>
      <c r="FK2623" s="145"/>
      <c r="FL2623" s="145"/>
      <c r="FM2623" s="145"/>
      <c r="FN2623" s="145"/>
      <c r="FO2623" s="145"/>
      <c r="FP2623" s="145"/>
      <c r="FQ2623" s="145"/>
      <c r="FR2623" s="145"/>
      <c r="FS2623" s="145"/>
      <c r="FT2623" s="145"/>
      <c r="FU2623" s="145"/>
      <c r="FV2623" s="145"/>
      <c r="FW2623" s="145"/>
      <c r="FX2623" s="145"/>
      <c r="FY2623" s="145"/>
      <c r="FZ2623" s="145"/>
      <c r="GA2623" s="145"/>
      <c r="GB2623" s="145"/>
      <c r="GC2623" s="145"/>
      <c r="GD2623" s="145"/>
      <c r="GE2623" s="145"/>
      <c r="GF2623" s="145"/>
      <c r="GG2623" s="145"/>
      <c r="GH2623" s="145"/>
      <c r="GI2623" s="145"/>
      <c r="GJ2623" s="145"/>
      <c r="GK2623" s="145"/>
      <c r="GL2623" s="145"/>
      <c r="GM2623" s="145"/>
      <c r="GN2623" s="145"/>
      <c r="GO2623" s="145"/>
      <c r="GP2623" s="145"/>
      <c r="GQ2623" s="145"/>
      <c r="GR2623" s="145"/>
      <c r="GS2623" s="145"/>
      <c r="GT2623" s="145"/>
      <c r="GU2623" s="145"/>
      <c r="GV2623" s="145"/>
      <c r="GW2623" s="145"/>
      <c r="GX2623" s="145"/>
      <c r="GY2623" s="145"/>
      <c r="GZ2623" s="145"/>
      <c r="HA2623" s="145"/>
      <c r="HB2623" s="145"/>
      <c r="HC2623" s="145"/>
      <c r="HD2623" s="145"/>
      <c r="HE2623" s="145"/>
      <c r="HF2623" s="145"/>
    </row>
    <row r="2624" spans="1:215" x14ac:dyDescent="0.35">
      <c r="A2624" s="288">
        <f>A2622+1</f>
        <v>6</v>
      </c>
      <c r="B2624" s="314">
        <v>6933</v>
      </c>
      <c r="C2624" s="278" t="s">
        <v>468</v>
      </c>
      <c r="D2624" s="273">
        <v>3603</v>
      </c>
      <c r="E2624" s="273" t="s">
        <v>70</v>
      </c>
      <c r="F2624" s="282">
        <v>5</v>
      </c>
      <c r="G2624" s="270" t="s">
        <v>71</v>
      </c>
      <c r="H2624" s="136" t="s">
        <v>72</v>
      </c>
      <c r="I2624" s="181">
        <f>I2625+I2626</f>
        <v>6778463.3399999999</v>
      </c>
      <c r="J2624" s="181">
        <f>J2625+J2626</f>
        <v>1881.34</v>
      </c>
      <c r="K2624" s="181">
        <f>K2625+K2626</f>
        <v>3242</v>
      </c>
      <c r="L2624" s="145"/>
      <c r="M2624" s="145"/>
      <c r="N2624" s="145"/>
      <c r="O2624" s="145"/>
      <c r="P2624" s="145"/>
      <c r="Q2624" s="145"/>
      <c r="R2624" s="145"/>
      <c r="S2624" s="145"/>
      <c r="T2624" s="145"/>
      <c r="U2624" s="145"/>
      <c r="V2624" s="145"/>
      <c r="W2624" s="145"/>
      <c r="X2624" s="145"/>
      <c r="Y2624" s="145"/>
      <c r="Z2624" s="145"/>
      <c r="AA2624" s="145"/>
      <c r="AB2624" s="145"/>
      <c r="AC2624" s="145"/>
      <c r="AD2624" s="145"/>
      <c r="AE2624" s="145"/>
      <c r="AF2624" s="145"/>
      <c r="AG2624" s="145"/>
      <c r="AH2624" s="145"/>
      <c r="AI2624" s="145"/>
      <c r="AJ2624" s="145"/>
      <c r="AK2624" s="145"/>
      <c r="AL2624" s="145"/>
      <c r="AM2624" s="145"/>
      <c r="AN2624" s="145"/>
      <c r="AO2624" s="145"/>
      <c r="AP2624" s="145"/>
      <c r="AQ2624" s="145"/>
      <c r="AR2624" s="145"/>
      <c r="AS2624" s="145"/>
      <c r="AT2624" s="145"/>
      <c r="AU2624" s="145"/>
      <c r="AV2624" s="145"/>
      <c r="AW2624" s="145"/>
      <c r="AX2624" s="145"/>
      <c r="AY2624" s="145"/>
      <c r="AZ2624" s="145"/>
      <c r="BA2624" s="145"/>
      <c r="BB2624" s="145"/>
      <c r="BC2624" s="145"/>
      <c r="BD2624" s="145"/>
      <c r="BE2624" s="145"/>
      <c r="BF2624" s="145"/>
      <c r="BG2624" s="145"/>
      <c r="BH2624" s="145"/>
      <c r="BI2624" s="145"/>
      <c r="BJ2624" s="145"/>
      <c r="BK2624" s="145"/>
      <c r="BL2624" s="145"/>
      <c r="BM2624" s="145"/>
      <c r="BN2624" s="145"/>
      <c r="BO2624" s="145"/>
      <c r="BP2624" s="145"/>
      <c r="BQ2624" s="145"/>
      <c r="BR2624" s="145"/>
      <c r="BS2624" s="145"/>
      <c r="BT2624" s="145"/>
      <c r="BU2624" s="145"/>
      <c r="BV2624" s="145"/>
      <c r="BW2624" s="145"/>
      <c r="BX2624" s="145"/>
      <c r="BY2624" s="145"/>
      <c r="BZ2624" s="145"/>
      <c r="CA2624" s="145"/>
      <c r="CB2624" s="145"/>
      <c r="CC2624" s="145"/>
      <c r="CD2624" s="145"/>
      <c r="CE2624" s="145"/>
      <c r="CF2624" s="145"/>
      <c r="CG2624" s="145"/>
      <c r="CH2624" s="145"/>
      <c r="CI2624" s="145"/>
      <c r="CJ2624" s="145"/>
      <c r="CK2624" s="145"/>
      <c r="CL2624" s="145"/>
      <c r="CM2624" s="145"/>
      <c r="CN2624" s="145"/>
      <c r="CO2624" s="145"/>
      <c r="CP2624" s="145"/>
      <c r="CQ2624" s="145"/>
      <c r="CR2624" s="145"/>
      <c r="CS2624" s="145"/>
      <c r="CT2624" s="145"/>
      <c r="CU2624" s="145"/>
      <c r="CV2624" s="145"/>
      <c r="CW2624" s="145"/>
      <c r="CX2624" s="145"/>
      <c r="CY2624" s="145"/>
      <c r="CZ2624" s="145"/>
      <c r="DA2624" s="145"/>
      <c r="DB2624" s="145"/>
      <c r="DC2624" s="145"/>
      <c r="DD2624" s="145"/>
      <c r="DE2624" s="145"/>
      <c r="DF2624" s="145"/>
      <c r="DG2624" s="145"/>
      <c r="DH2624" s="145"/>
      <c r="DI2624" s="145"/>
      <c r="DJ2624" s="145"/>
      <c r="DK2624" s="145"/>
      <c r="DL2624" s="145"/>
      <c r="DM2624" s="145"/>
      <c r="DN2624" s="145"/>
      <c r="DO2624" s="145"/>
      <c r="DP2624" s="145"/>
      <c r="DQ2624" s="145"/>
      <c r="DR2624" s="145"/>
      <c r="DS2624" s="145"/>
      <c r="DT2624" s="145"/>
      <c r="DU2624" s="145"/>
      <c r="DV2624" s="145"/>
      <c r="DW2624" s="145"/>
      <c r="DX2624" s="145"/>
      <c r="DY2624" s="145"/>
      <c r="DZ2624" s="145"/>
      <c r="EA2624" s="145"/>
      <c r="EB2624" s="145"/>
      <c r="EC2624" s="145"/>
      <c r="ED2624" s="145"/>
      <c r="EE2624" s="145"/>
      <c r="EF2624" s="145"/>
      <c r="EG2624" s="145"/>
      <c r="EH2624" s="145"/>
      <c r="EI2624" s="145"/>
      <c r="EJ2624" s="145"/>
      <c r="EK2624" s="145"/>
      <c r="EL2624" s="145"/>
      <c r="EM2624" s="145"/>
      <c r="EN2624" s="145"/>
      <c r="EO2624" s="145"/>
      <c r="EP2624" s="145"/>
      <c r="EQ2624" s="145"/>
      <c r="ER2624" s="145"/>
      <c r="ES2624" s="145"/>
      <c r="ET2624" s="145"/>
      <c r="EU2624" s="145"/>
      <c r="EV2624" s="145"/>
      <c r="EW2624" s="145"/>
      <c r="EX2624" s="145"/>
      <c r="EY2624" s="145"/>
      <c r="EZ2624" s="145"/>
      <c r="FA2624" s="145"/>
      <c r="FB2624" s="145"/>
      <c r="FC2624" s="145"/>
      <c r="FD2624" s="145"/>
      <c r="FE2624" s="145"/>
      <c r="FF2624" s="145"/>
      <c r="FG2624" s="145"/>
      <c r="FH2624" s="145"/>
      <c r="FI2624" s="145"/>
      <c r="FJ2624" s="145"/>
      <c r="FK2624" s="145"/>
      <c r="FL2624" s="145"/>
      <c r="FM2624" s="145"/>
      <c r="FN2624" s="145"/>
      <c r="FO2624" s="145"/>
      <c r="FP2624" s="145"/>
      <c r="FQ2624" s="145"/>
      <c r="FR2624" s="145"/>
      <c r="FS2624" s="145"/>
      <c r="FT2624" s="145"/>
      <c r="FU2624" s="145"/>
      <c r="FV2624" s="145"/>
      <c r="FW2624" s="145"/>
      <c r="FX2624" s="145"/>
      <c r="FY2624" s="145"/>
      <c r="FZ2624" s="145"/>
      <c r="GA2624" s="145"/>
      <c r="GB2624" s="145"/>
      <c r="GC2624" s="145"/>
      <c r="GD2624" s="145"/>
      <c r="GE2624" s="145"/>
      <c r="GF2624" s="145"/>
      <c r="GG2624" s="145"/>
      <c r="GH2624" s="145"/>
      <c r="GI2624" s="145"/>
      <c r="GJ2624" s="145"/>
      <c r="GK2624" s="145"/>
      <c r="GL2624" s="145"/>
      <c r="GM2624" s="145"/>
      <c r="GN2624" s="145"/>
      <c r="GO2624" s="145"/>
      <c r="GP2624" s="145"/>
      <c r="GQ2624" s="145"/>
      <c r="GR2624" s="145"/>
      <c r="GS2624" s="145"/>
      <c r="GT2624" s="145"/>
      <c r="GU2624" s="145"/>
      <c r="GV2624" s="145"/>
      <c r="GW2624" s="145"/>
      <c r="GX2624" s="145"/>
      <c r="GY2624" s="145"/>
      <c r="GZ2624" s="145"/>
      <c r="HA2624" s="145"/>
      <c r="HB2624" s="145"/>
      <c r="HC2624" s="145"/>
      <c r="HD2624" s="145"/>
      <c r="HE2624" s="145"/>
      <c r="HF2624" s="145"/>
    </row>
    <row r="2625" spans="1:215" x14ac:dyDescent="0.35">
      <c r="A2625" s="313"/>
      <c r="B2625" s="313"/>
      <c r="C2625" s="279"/>
      <c r="D2625" s="274"/>
      <c r="E2625" s="274"/>
      <c r="F2625" s="283"/>
      <c r="G2625" s="271"/>
      <c r="H2625" s="175" t="s">
        <v>73</v>
      </c>
      <c r="I2625" s="199">
        <f>9396261.91*0.7</f>
        <v>6577383.3399999999</v>
      </c>
      <c r="J2625" s="199">
        <f>I2625/D2624</f>
        <v>1825.53</v>
      </c>
      <c r="K2625" s="181">
        <v>3174</v>
      </c>
      <c r="L2625" s="145"/>
      <c r="M2625" s="145"/>
      <c r="N2625" s="145"/>
      <c r="O2625" s="145"/>
      <c r="P2625" s="145"/>
      <c r="Q2625" s="145"/>
      <c r="R2625" s="145"/>
      <c r="S2625" s="145"/>
      <c r="T2625" s="145"/>
      <c r="U2625" s="145"/>
      <c r="V2625" s="145"/>
      <c r="W2625" s="145"/>
      <c r="X2625" s="145"/>
      <c r="Y2625" s="145"/>
      <c r="Z2625" s="145"/>
      <c r="AA2625" s="145"/>
      <c r="AB2625" s="145"/>
      <c r="AC2625" s="145"/>
      <c r="AD2625" s="145"/>
      <c r="AE2625" s="145"/>
      <c r="AF2625" s="145"/>
      <c r="AG2625" s="145"/>
      <c r="AH2625" s="145"/>
      <c r="AI2625" s="145"/>
      <c r="AJ2625" s="145"/>
      <c r="AK2625" s="145"/>
      <c r="AL2625" s="145"/>
      <c r="AM2625" s="145"/>
      <c r="AN2625" s="145"/>
      <c r="AO2625" s="145"/>
      <c r="AP2625" s="145"/>
      <c r="AQ2625" s="145"/>
      <c r="AR2625" s="145"/>
      <c r="AS2625" s="145"/>
      <c r="AT2625" s="145"/>
      <c r="AU2625" s="145"/>
      <c r="AV2625" s="145"/>
      <c r="AW2625" s="145"/>
      <c r="AX2625" s="145"/>
      <c r="AY2625" s="145"/>
      <c r="AZ2625" s="145"/>
      <c r="BA2625" s="145"/>
      <c r="BB2625" s="145"/>
      <c r="BC2625" s="145"/>
      <c r="BD2625" s="145"/>
      <c r="BE2625" s="145"/>
      <c r="BF2625" s="145"/>
      <c r="BG2625" s="145"/>
      <c r="BH2625" s="145"/>
      <c r="BI2625" s="145"/>
      <c r="BJ2625" s="145"/>
      <c r="BK2625" s="145"/>
      <c r="BL2625" s="145"/>
      <c r="BM2625" s="145"/>
      <c r="BN2625" s="145"/>
      <c r="BO2625" s="145"/>
      <c r="BP2625" s="145"/>
      <c r="BQ2625" s="145"/>
      <c r="BR2625" s="145"/>
      <c r="BS2625" s="145"/>
      <c r="BT2625" s="145"/>
      <c r="BU2625" s="145"/>
      <c r="BV2625" s="145"/>
      <c r="BW2625" s="145"/>
      <c r="BX2625" s="145"/>
      <c r="BY2625" s="145"/>
      <c r="BZ2625" s="145"/>
      <c r="CA2625" s="145"/>
      <c r="CB2625" s="145"/>
      <c r="CC2625" s="145"/>
      <c r="CD2625" s="145"/>
      <c r="CE2625" s="145"/>
      <c r="CF2625" s="145"/>
      <c r="CG2625" s="145"/>
      <c r="CH2625" s="145"/>
      <c r="CI2625" s="145"/>
      <c r="CJ2625" s="145"/>
      <c r="CK2625" s="145"/>
      <c r="CL2625" s="145"/>
      <c r="CM2625" s="145"/>
      <c r="CN2625" s="145"/>
      <c r="CO2625" s="145"/>
      <c r="CP2625" s="145"/>
      <c r="CQ2625" s="145"/>
      <c r="CR2625" s="145"/>
      <c r="CS2625" s="145"/>
      <c r="CT2625" s="145"/>
      <c r="CU2625" s="145"/>
      <c r="CV2625" s="145"/>
      <c r="CW2625" s="145"/>
      <c r="CX2625" s="145"/>
      <c r="CY2625" s="145"/>
      <c r="CZ2625" s="145"/>
      <c r="DA2625" s="145"/>
      <c r="DB2625" s="145"/>
      <c r="DC2625" s="145"/>
      <c r="DD2625" s="145"/>
      <c r="DE2625" s="145"/>
      <c r="DF2625" s="145"/>
      <c r="DG2625" s="145"/>
      <c r="DH2625" s="145"/>
      <c r="DI2625" s="145"/>
      <c r="DJ2625" s="145"/>
      <c r="DK2625" s="145"/>
      <c r="DL2625" s="145"/>
      <c r="DM2625" s="145"/>
      <c r="DN2625" s="145"/>
      <c r="DO2625" s="145"/>
      <c r="DP2625" s="145"/>
      <c r="DQ2625" s="145"/>
      <c r="DR2625" s="145"/>
      <c r="DS2625" s="145"/>
      <c r="DT2625" s="145"/>
      <c r="DU2625" s="145"/>
      <c r="DV2625" s="145"/>
      <c r="DW2625" s="145"/>
      <c r="DX2625" s="145"/>
      <c r="DY2625" s="145"/>
      <c r="DZ2625" s="145"/>
      <c r="EA2625" s="145"/>
      <c r="EB2625" s="145"/>
      <c r="EC2625" s="145"/>
      <c r="ED2625" s="145"/>
      <c r="EE2625" s="145"/>
      <c r="EF2625" s="145"/>
      <c r="EG2625" s="145"/>
      <c r="EH2625" s="145"/>
      <c r="EI2625" s="145"/>
      <c r="EJ2625" s="145"/>
      <c r="EK2625" s="145"/>
      <c r="EL2625" s="145"/>
      <c r="EM2625" s="145"/>
      <c r="EN2625" s="145"/>
      <c r="EO2625" s="145"/>
      <c r="EP2625" s="145"/>
      <c r="EQ2625" s="145"/>
      <c r="ER2625" s="145"/>
      <c r="ES2625" s="145"/>
      <c r="ET2625" s="145"/>
      <c r="EU2625" s="145"/>
      <c r="EV2625" s="145"/>
      <c r="EW2625" s="145"/>
      <c r="EX2625" s="145"/>
      <c r="EY2625" s="145"/>
      <c r="EZ2625" s="145"/>
      <c r="FA2625" s="145"/>
      <c r="FB2625" s="145"/>
      <c r="FC2625" s="145"/>
      <c r="FD2625" s="145"/>
      <c r="FE2625" s="145"/>
      <c r="FF2625" s="145"/>
      <c r="FG2625" s="145"/>
      <c r="FH2625" s="145"/>
      <c r="FI2625" s="145"/>
      <c r="FJ2625" s="145"/>
      <c r="FK2625" s="145"/>
      <c r="FL2625" s="145"/>
      <c r="FM2625" s="145"/>
      <c r="FN2625" s="145"/>
      <c r="FO2625" s="145"/>
      <c r="FP2625" s="145"/>
      <c r="FQ2625" s="145"/>
      <c r="FR2625" s="145"/>
      <c r="FS2625" s="145"/>
      <c r="FT2625" s="145"/>
      <c r="FU2625" s="145"/>
      <c r="FV2625" s="145"/>
      <c r="FW2625" s="145"/>
      <c r="FX2625" s="145"/>
      <c r="FY2625" s="145"/>
      <c r="FZ2625" s="145"/>
      <c r="GA2625" s="145"/>
      <c r="GB2625" s="145"/>
      <c r="GC2625" s="145"/>
      <c r="GD2625" s="145"/>
      <c r="GE2625" s="145"/>
      <c r="GF2625" s="145"/>
      <c r="GG2625" s="145"/>
      <c r="GH2625" s="145"/>
      <c r="GI2625" s="145"/>
      <c r="GJ2625" s="145"/>
      <c r="GK2625" s="145"/>
      <c r="GL2625" s="145"/>
      <c r="GM2625" s="145"/>
      <c r="GN2625" s="145"/>
      <c r="GO2625" s="145"/>
      <c r="GP2625" s="145"/>
      <c r="GQ2625" s="145"/>
      <c r="GR2625" s="145"/>
      <c r="GS2625" s="145"/>
      <c r="GT2625" s="145"/>
      <c r="GU2625" s="145"/>
      <c r="GV2625" s="145"/>
      <c r="GW2625" s="145"/>
      <c r="GX2625" s="145"/>
      <c r="GY2625" s="145"/>
      <c r="GZ2625" s="145"/>
      <c r="HA2625" s="145"/>
      <c r="HB2625" s="145"/>
      <c r="HC2625" s="145"/>
      <c r="HD2625" s="145"/>
      <c r="HE2625" s="145"/>
      <c r="HF2625" s="145"/>
    </row>
    <row r="2626" spans="1:215" x14ac:dyDescent="0.35">
      <c r="A2626" s="324"/>
      <c r="B2626" s="324"/>
      <c r="C2626" s="285"/>
      <c r="D2626" s="275"/>
      <c r="E2626" s="275"/>
      <c r="F2626" s="284"/>
      <c r="G2626" s="272"/>
      <c r="H2626" s="175" t="s">
        <v>75</v>
      </c>
      <c r="I2626" s="199">
        <f>9396261.91*0.0214</f>
        <v>201080</v>
      </c>
      <c r="J2626" s="199">
        <f>I2626/D2624</f>
        <v>55.81</v>
      </c>
      <c r="K2626" s="181">
        <v>68</v>
      </c>
      <c r="L2626" s="145"/>
      <c r="M2626" s="145"/>
      <c r="N2626" s="145"/>
      <c r="O2626" s="145"/>
      <c r="P2626" s="145"/>
      <c r="Q2626" s="145"/>
      <c r="R2626" s="145"/>
      <c r="S2626" s="145"/>
      <c r="T2626" s="145"/>
      <c r="U2626" s="145"/>
      <c r="V2626" s="145"/>
      <c r="W2626" s="145"/>
      <c r="X2626" s="145"/>
      <c r="Y2626" s="145"/>
      <c r="Z2626" s="145"/>
      <c r="AA2626" s="145"/>
      <c r="AB2626" s="145"/>
      <c r="AC2626" s="145"/>
      <c r="AD2626" s="145"/>
      <c r="AE2626" s="145"/>
      <c r="AF2626" s="145"/>
      <c r="AG2626" s="145"/>
      <c r="AH2626" s="145"/>
      <c r="AI2626" s="145"/>
      <c r="AJ2626" s="145"/>
      <c r="AK2626" s="145"/>
      <c r="AL2626" s="145"/>
      <c r="AM2626" s="145"/>
      <c r="AN2626" s="145"/>
      <c r="AO2626" s="145"/>
      <c r="AP2626" s="145"/>
      <c r="AQ2626" s="145"/>
      <c r="AR2626" s="145"/>
      <c r="AS2626" s="145"/>
      <c r="AT2626" s="145"/>
      <c r="AU2626" s="145"/>
      <c r="AV2626" s="145"/>
      <c r="AW2626" s="145"/>
      <c r="AX2626" s="145"/>
      <c r="AY2626" s="145"/>
      <c r="AZ2626" s="145"/>
      <c r="BA2626" s="145"/>
      <c r="BB2626" s="145"/>
      <c r="BC2626" s="145"/>
      <c r="BD2626" s="145"/>
      <c r="BE2626" s="145"/>
      <c r="BF2626" s="145"/>
      <c r="BG2626" s="145"/>
      <c r="BH2626" s="145"/>
      <c r="BI2626" s="145"/>
      <c r="BJ2626" s="145"/>
      <c r="BK2626" s="145"/>
      <c r="BL2626" s="145"/>
      <c r="BM2626" s="145"/>
      <c r="BN2626" s="145"/>
      <c r="BO2626" s="145"/>
      <c r="BP2626" s="145"/>
      <c r="BQ2626" s="145"/>
      <c r="BR2626" s="145"/>
      <c r="BS2626" s="145"/>
      <c r="BT2626" s="145"/>
      <c r="BU2626" s="145"/>
      <c r="BV2626" s="145"/>
      <c r="BW2626" s="145"/>
      <c r="BX2626" s="145"/>
      <c r="BY2626" s="145"/>
      <c r="BZ2626" s="145"/>
      <c r="CA2626" s="145"/>
      <c r="CB2626" s="145"/>
      <c r="CC2626" s="145"/>
      <c r="CD2626" s="145"/>
      <c r="CE2626" s="145"/>
      <c r="CF2626" s="145"/>
      <c r="CG2626" s="145"/>
      <c r="CH2626" s="145"/>
      <c r="CI2626" s="145"/>
      <c r="CJ2626" s="145"/>
      <c r="CK2626" s="145"/>
      <c r="CL2626" s="145"/>
      <c r="CM2626" s="145"/>
      <c r="CN2626" s="145"/>
      <c r="CO2626" s="145"/>
      <c r="CP2626" s="145"/>
      <c r="CQ2626" s="145"/>
      <c r="CR2626" s="145"/>
      <c r="CS2626" s="145"/>
      <c r="CT2626" s="145"/>
      <c r="CU2626" s="145"/>
      <c r="CV2626" s="145"/>
      <c r="CW2626" s="145"/>
      <c r="CX2626" s="145"/>
      <c r="CY2626" s="145"/>
      <c r="CZ2626" s="145"/>
      <c r="DA2626" s="145"/>
      <c r="DB2626" s="145"/>
      <c r="DC2626" s="145"/>
      <c r="DD2626" s="145"/>
      <c r="DE2626" s="145"/>
      <c r="DF2626" s="145"/>
      <c r="DG2626" s="145"/>
      <c r="DH2626" s="145"/>
      <c r="DI2626" s="145"/>
      <c r="DJ2626" s="145"/>
      <c r="DK2626" s="145"/>
      <c r="DL2626" s="145"/>
      <c r="DM2626" s="145"/>
      <c r="DN2626" s="145"/>
      <c r="DO2626" s="145"/>
      <c r="DP2626" s="145"/>
      <c r="DQ2626" s="145"/>
      <c r="DR2626" s="145"/>
      <c r="DS2626" s="145"/>
      <c r="DT2626" s="145"/>
      <c r="DU2626" s="145"/>
      <c r="DV2626" s="145"/>
      <c r="DW2626" s="145"/>
      <c r="DX2626" s="145"/>
      <c r="DY2626" s="145"/>
      <c r="DZ2626" s="145"/>
      <c r="EA2626" s="145"/>
      <c r="EB2626" s="145"/>
      <c r="EC2626" s="145"/>
      <c r="ED2626" s="145"/>
      <c r="EE2626" s="145"/>
      <c r="EF2626" s="145"/>
      <c r="EG2626" s="145"/>
      <c r="EH2626" s="145"/>
      <c r="EI2626" s="145"/>
      <c r="EJ2626" s="145"/>
      <c r="EK2626" s="145"/>
      <c r="EL2626" s="145"/>
      <c r="EM2626" s="145"/>
      <c r="EN2626" s="145"/>
      <c r="EO2626" s="145"/>
      <c r="EP2626" s="145"/>
      <c r="EQ2626" s="145"/>
      <c r="ER2626" s="145"/>
      <c r="ES2626" s="145"/>
      <c r="ET2626" s="145"/>
      <c r="EU2626" s="145"/>
      <c r="EV2626" s="145"/>
      <c r="EW2626" s="145"/>
      <c r="EX2626" s="145"/>
      <c r="EY2626" s="145"/>
      <c r="EZ2626" s="145"/>
      <c r="FA2626" s="145"/>
      <c r="FB2626" s="145"/>
      <c r="FC2626" s="145"/>
      <c r="FD2626" s="145"/>
      <c r="FE2626" s="145"/>
      <c r="FF2626" s="145"/>
      <c r="FG2626" s="145"/>
      <c r="FH2626" s="145"/>
      <c r="FI2626" s="145"/>
      <c r="FJ2626" s="145"/>
      <c r="FK2626" s="145"/>
      <c r="FL2626" s="145"/>
      <c r="FM2626" s="145"/>
      <c r="FN2626" s="145"/>
      <c r="FO2626" s="145"/>
      <c r="FP2626" s="145"/>
      <c r="FQ2626" s="145"/>
      <c r="FR2626" s="145"/>
      <c r="FS2626" s="145"/>
      <c r="FT2626" s="145"/>
      <c r="FU2626" s="145"/>
      <c r="FV2626" s="145"/>
      <c r="FW2626" s="145"/>
      <c r="FX2626" s="145"/>
      <c r="FY2626" s="145"/>
      <c r="FZ2626" s="145"/>
      <c r="GA2626" s="145"/>
      <c r="GB2626" s="145"/>
      <c r="GC2626" s="145"/>
      <c r="GD2626" s="145"/>
      <c r="GE2626" s="145"/>
      <c r="GF2626" s="145"/>
      <c r="GG2626" s="145"/>
      <c r="GH2626" s="145"/>
      <c r="GI2626" s="145"/>
      <c r="GJ2626" s="145"/>
      <c r="GK2626" s="145"/>
      <c r="GL2626" s="145"/>
      <c r="GM2626" s="145"/>
      <c r="GN2626" s="145"/>
      <c r="GO2626" s="145"/>
      <c r="GP2626" s="145"/>
      <c r="GQ2626" s="145"/>
      <c r="GR2626" s="145"/>
      <c r="GS2626" s="145"/>
      <c r="GT2626" s="145"/>
      <c r="GU2626" s="145"/>
      <c r="GV2626" s="145"/>
      <c r="GW2626" s="145"/>
      <c r="GX2626" s="145"/>
      <c r="GY2626" s="145"/>
      <c r="GZ2626" s="145"/>
      <c r="HA2626" s="145"/>
      <c r="HB2626" s="145"/>
      <c r="HC2626" s="145"/>
      <c r="HD2626" s="145"/>
      <c r="HE2626" s="145"/>
      <c r="HF2626" s="145"/>
    </row>
    <row r="2627" spans="1:215" x14ac:dyDescent="0.35">
      <c r="A2627" s="254">
        <f>A2624+1</f>
        <v>7</v>
      </c>
      <c r="B2627" s="254">
        <v>6934</v>
      </c>
      <c r="C2627" s="328" t="s">
        <v>614</v>
      </c>
      <c r="D2627" s="287">
        <v>909.83</v>
      </c>
      <c r="E2627" s="287" t="s">
        <v>74</v>
      </c>
      <c r="F2627" s="304">
        <v>5</v>
      </c>
      <c r="G2627" s="277" t="s">
        <v>71</v>
      </c>
      <c r="H2627" s="136" t="s">
        <v>72</v>
      </c>
      <c r="I2627" s="181">
        <f>I2628</f>
        <v>153761.26999999999</v>
      </c>
      <c r="J2627" s="181">
        <f>J2628</f>
        <v>169</v>
      </c>
      <c r="K2627" s="181">
        <f>K2628</f>
        <v>169</v>
      </c>
      <c r="L2627" s="145"/>
      <c r="M2627" s="145"/>
      <c r="N2627" s="145"/>
      <c r="O2627" s="145"/>
      <c r="P2627" s="145"/>
      <c r="Q2627" s="145"/>
      <c r="R2627" s="145"/>
      <c r="S2627" s="145"/>
      <c r="T2627" s="145"/>
      <c r="U2627" s="145"/>
      <c r="V2627" s="145"/>
      <c r="W2627" s="145"/>
      <c r="X2627" s="145"/>
      <c r="Y2627" s="145"/>
      <c r="Z2627" s="145"/>
      <c r="AA2627" s="145"/>
      <c r="AB2627" s="145"/>
      <c r="AC2627" s="145"/>
      <c r="AD2627" s="145"/>
      <c r="AE2627" s="145"/>
      <c r="AF2627" s="145"/>
      <c r="AG2627" s="145"/>
      <c r="AH2627" s="145"/>
      <c r="AI2627" s="145"/>
      <c r="AJ2627" s="145"/>
      <c r="AK2627" s="145"/>
      <c r="AL2627" s="145"/>
      <c r="AM2627" s="145"/>
      <c r="AN2627" s="145"/>
      <c r="AO2627" s="145"/>
      <c r="AP2627" s="145"/>
      <c r="AQ2627" s="145"/>
      <c r="AR2627" s="145"/>
      <c r="AS2627" s="145"/>
      <c r="AT2627" s="145"/>
      <c r="AU2627" s="145"/>
      <c r="AV2627" s="145"/>
      <c r="AW2627" s="145"/>
      <c r="AX2627" s="145"/>
      <c r="AY2627" s="145"/>
      <c r="AZ2627" s="145"/>
      <c r="BA2627" s="145"/>
      <c r="BB2627" s="145"/>
      <c r="BC2627" s="145"/>
      <c r="BD2627" s="145"/>
      <c r="BE2627" s="145"/>
      <c r="BF2627" s="145"/>
      <c r="BG2627" s="145"/>
      <c r="BH2627" s="145"/>
      <c r="BI2627" s="145"/>
      <c r="BJ2627" s="145"/>
      <c r="BK2627" s="145"/>
      <c r="BL2627" s="145"/>
      <c r="BM2627" s="145"/>
      <c r="BN2627" s="145"/>
      <c r="BO2627" s="145"/>
      <c r="BP2627" s="145"/>
      <c r="BQ2627" s="145"/>
      <c r="BR2627" s="145"/>
      <c r="BS2627" s="145"/>
      <c r="BT2627" s="145"/>
      <c r="BU2627" s="145"/>
      <c r="BV2627" s="145"/>
      <c r="BW2627" s="145"/>
      <c r="BX2627" s="145"/>
      <c r="BY2627" s="145"/>
      <c r="BZ2627" s="145"/>
      <c r="CA2627" s="145"/>
      <c r="CB2627" s="145"/>
      <c r="CC2627" s="145"/>
      <c r="CD2627" s="145"/>
      <c r="CE2627" s="145"/>
      <c r="CF2627" s="145"/>
      <c r="CG2627" s="145"/>
      <c r="CH2627" s="145"/>
      <c r="CI2627" s="145"/>
      <c r="CJ2627" s="145"/>
      <c r="CK2627" s="145"/>
      <c r="CL2627" s="145"/>
      <c r="CM2627" s="145"/>
      <c r="CN2627" s="145"/>
      <c r="CO2627" s="145"/>
      <c r="CP2627" s="145"/>
      <c r="CQ2627" s="145"/>
      <c r="CR2627" s="145"/>
      <c r="CS2627" s="145"/>
      <c r="CT2627" s="145"/>
      <c r="CU2627" s="145"/>
      <c r="CV2627" s="145"/>
      <c r="CW2627" s="145"/>
      <c r="CX2627" s="145"/>
      <c r="CY2627" s="145"/>
      <c r="CZ2627" s="145"/>
      <c r="DA2627" s="145"/>
      <c r="DB2627" s="145"/>
      <c r="DC2627" s="145"/>
      <c r="DD2627" s="145"/>
      <c r="DE2627" s="145"/>
      <c r="DF2627" s="145"/>
      <c r="DG2627" s="145"/>
      <c r="DH2627" s="145"/>
      <c r="DI2627" s="145"/>
      <c r="DJ2627" s="145"/>
      <c r="DK2627" s="145"/>
      <c r="DL2627" s="145"/>
      <c r="DM2627" s="145"/>
      <c r="DN2627" s="145"/>
      <c r="DO2627" s="145"/>
      <c r="DP2627" s="145"/>
      <c r="DQ2627" s="145"/>
      <c r="DR2627" s="145"/>
      <c r="DS2627" s="145"/>
      <c r="DT2627" s="145"/>
      <c r="DU2627" s="145"/>
      <c r="DV2627" s="145"/>
      <c r="DW2627" s="145"/>
      <c r="DX2627" s="145"/>
      <c r="DY2627" s="145"/>
      <c r="DZ2627" s="145"/>
      <c r="EA2627" s="145"/>
      <c r="EB2627" s="145"/>
      <c r="EC2627" s="145"/>
      <c r="ED2627" s="145"/>
      <c r="EE2627" s="145"/>
      <c r="EF2627" s="145"/>
      <c r="EG2627" s="145"/>
      <c r="EH2627" s="145"/>
      <c r="EI2627" s="145"/>
      <c r="EJ2627" s="145"/>
      <c r="EK2627" s="145"/>
      <c r="EL2627" s="145"/>
      <c r="EM2627" s="145"/>
      <c r="EN2627" s="145"/>
      <c r="EO2627" s="145"/>
      <c r="EP2627" s="145"/>
      <c r="EQ2627" s="145"/>
      <c r="ER2627" s="145"/>
      <c r="ES2627" s="145"/>
      <c r="ET2627" s="145"/>
      <c r="EU2627" s="145"/>
      <c r="EV2627" s="145"/>
      <c r="EW2627" s="145"/>
      <c r="EX2627" s="145"/>
      <c r="EY2627" s="145"/>
      <c r="EZ2627" s="145"/>
      <c r="FA2627" s="145"/>
      <c r="FB2627" s="145"/>
      <c r="FC2627" s="145"/>
      <c r="FD2627" s="145"/>
      <c r="FE2627" s="145"/>
      <c r="FF2627" s="145"/>
      <c r="FG2627" s="145"/>
      <c r="FH2627" s="145"/>
      <c r="FI2627" s="145"/>
      <c r="FJ2627" s="145"/>
      <c r="FK2627" s="145"/>
      <c r="FL2627" s="145"/>
      <c r="FM2627" s="145"/>
      <c r="FN2627" s="145"/>
      <c r="FO2627" s="145"/>
      <c r="FP2627" s="145"/>
      <c r="FQ2627" s="145"/>
      <c r="FR2627" s="145"/>
      <c r="FS2627" s="145"/>
      <c r="FT2627" s="145"/>
      <c r="FU2627" s="145"/>
      <c r="FV2627" s="145"/>
      <c r="FW2627" s="145"/>
      <c r="FX2627" s="145"/>
      <c r="FY2627" s="145"/>
      <c r="FZ2627" s="145"/>
      <c r="GA2627" s="145"/>
      <c r="GB2627" s="145"/>
      <c r="GC2627" s="145"/>
      <c r="GD2627" s="145"/>
      <c r="GE2627" s="145"/>
      <c r="GF2627" s="145"/>
      <c r="GG2627" s="145"/>
      <c r="GH2627" s="145"/>
      <c r="GI2627" s="145"/>
      <c r="GJ2627" s="145"/>
      <c r="GK2627" s="145"/>
      <c r="GL2627" s="145"/>
      <c r="GM2627" s="145"/>
      <c r="GN2627" s="145"/>
      <c r="GO2627" s="145"/>
      <c r="GP2627" s="145"/>
      <c r="GQ2627" s="145"/>
      <c r="GR2627" s="145"/>
      <c r="GS2627" s="145"/>
      <c r="GT2627" s="145"/>
      <c r="GU2627" s="145"/>
      <c r="GV2627" s="145"/>
      <c r="GW2627" s="145"/>
      <c r="GX2627" s="145"/>
      <c r="GY2627" s="145"/>
      <c r="GZ2627" s="145"/>
      <c r="HA2627" s="145"/>
      <c r="HB2627" s="145"/>
      <c r="HC2627" s="145"/>
      <c r="HD2627" s="145"/>
      <c r="HE2627" s="145"/>
      <c r="HF2627" s="145"/>
    </row>
    <row r="2628" spans="1:215" ht="46.5" x14ac:dyDescent="0.35">
      <c r="A2628" s="254"/>
      <c r="B2628" s="254"/>
      <c r="C2628" s="328"/>
      <c r="D2628" s="287"/>
      <c r="E2628" s="287"/>
      <c r="F2628" s="304"/>
      <c r="G2628" s="277"/>
      <c r="H2628" s="136" t="s">
        <v>673</v>
      </c>
      <c r="I2628" s="181">
        <f>K2628*D2627</f>
        <v>153761.26999999999</v>
      </c>
      <c r="J2628" s="181">
        <f>I2628/D2627</f>
        <v>169</v>
      </c>
      <c r="K2628" s="181">
        <f>151+18</f>
        <v>169</v>
      </c>
      <c r="L2628" s="145"/>
      <c r="M2628" s="145"/>
      <c r="N2628" s="145"/>
      <c r="O2628" s="145"/>
      <c r="P2628" s="145"/>
      <c r="Q2628" s="145"/>
      <c r="R2628" s="145"/>
      <c r="S2628" s="145"/>
      <c r="T2628" s="145"/>
      <c r="U2628" s="145"/>
      <c r="V2628" s="145"/>
      <c r="W2628" s="145"/>
      <c r="X2628" s="145"/>
      <c r="Y2628" s="145"/>
      <c r="Z2628" s="145"/>
      <c r="AA2628" s="145"/>
      <c r="AB2628" s="145"/>
      <c r="AC2628" s="145"/>
      <c r="AD2628" s="145"/>
      <c r="AE2628" s="145"/>
      <c r="AF2628" s="145"/>
      <c r="AG2628" s="145"/>
      <c r="AH2628" s="145"/>
      <c r="AI2628" s="145"/>
      <c r="AJ2628" s="145"/>
      <c r="AK2628" s="145"/>
      <c r="AL2628" s="145"/>
      <c r="AM2628" s="145"/>
      <c r="AN2628" s="145"/>
      <c r="AO2628" s="145"/>
      <c r="AP2628" s="145"/>
      <c r="AQ2628" s="145"/>
      <c r="AR2628" s="145"/>
      <c r="AS2628" s="145"/>
      <c r="AT2628" s="145"/>
      <c r="AU2628" s="145"/>
      <c r="AV2628" s="145"/>
      <c r="AW2628" s="145"/>
      <c r="AX2628" s="145"/>
      <c r="AY2628" s="145"/>
      <c r="AZ2628" s="145"/>
      <c r="BA2628" s="145"/>
      <c r="BB2628" s="145"/>
      <c r="BC2628" s="145"/>
      <c r="BD2628" s="145"/>
      <c r="BE2628" s="145"/>
      <c r="BF2628" s="145"/>
      <c r="BG2628" s="145"/>
      <c r="BH2628" s="145"/>
      <c r="BI2628" s="145"/>
      <c r="BJ2628" s="145"/>
      <c r="BK2628" s="145"/>
      <c r="BL2628" s="145"/>
      <c r="BM2628" s="145"/>
      <c r="BN2628" s="145"/>
      <c r="BO2628" s="145"/>
      <c r="BP2628" s="145"/>
      <c r="BQ2628" s="145"/>
      <c r="BR2628" s="145"/>
      <c r="BS2628" s="145"/>
      <c r="BT2628" s="145"/>
      <c r="BU2628" s="145"/>
      <c r="BV2628" s="145"/>
      <c r="BW2628" s="145"/>
      <c r="BX2628" s="145"/>
      <c r="BY2628" s="145"/>
      <c r="BZ2628" s="145"/>
      <c r="CA2628" s="145"/>
      <c r="CB2628" s="145"/>
      <c r="CC2628" s="145"/>
      <c r="CD2628" s="145"/>
      <c r="CE2628" s="145"/>
      <c r="CF2628" s="145"/>
      <c r="CG2628" s="145"/>
      <c r="CH2628" s="145"/>
      <c r="CI2628" s="145"/>
      <c r="CJ2628" s="145"/>
      <c r="CK2628" s="145"/>
      <c r="CL2628" s="145"/>
      <c r="CM2628" s="145"/>
      <c r="CN2628" s="145"/>
      <c r="CO2628" s="145"/>
      <c r="CP2628" s="145"/>
      <c r="CQ2628" s="145"/>
      <c r="CR2628" s="145"/>
      <c r="CS2628" s="145"/>
      <c r="CT2628" s="145"/>
      <c r="CU2628" s="145"/>
      <c r="CV2628" s="145"/>
      <c r="CW2628" s="145"/>
      <c r="CX2628" s="145"/>
      <c r="CY2628" s="145"/>
      <c r="CZ2628" s="145"/>
      <c r="DA2628" s="145"/>
      <c r="DB2628" s="145"/>
      <c r="DC2628" s="145"/>
      <c r="DD2628" s="145"/>
      <c r="DE2628" s="145"/>
      <c r="DF2628" s="145"/>
      <c r="DG2628" s="145"/>
      <c r="DH2628" s="145"/>
      <c r="DI2628" s="145"/>
      <c r="DJ2628" s="145"/>
      <c r="DK2628" s="145"/>
      <c r="DL2628" s="145"/>
      <c r="DM2628" s="145"/>
      <c r="DN2628" s="145"/>
      <c r="DO2628" s="145"/>
      <c r="DP2628" s="145"/>
      <c r="DQ2628" s="145"/>
      <c r="DR2628" s="145"/>
      <c r="DS2628" s="145"/>
      <c r="DT2628" s="145"/>
      <c r="DU2628" s="145"/>
      <c r="DV2628" s="145"/>
      <c r="DW2628" s="145"/>
      <c r="DX2628" s="145"/>
      <c r="DY2628" s="145"/>
      <c r="DZ2628" s="145"/>
      <c r="EA2628" s="145"/>
      <c r="EB2628" s="145"/>
      <c r="EC2628" s="145"/>
      <c r="ED2628" s="145"/>
      <c r="EE2628" s="145"/>
      <c r="EF2628" s="145"/>
      <c r="EG2628" s="145"/>
      <c r="EH2628" s="145"/>
      <c r="EI2628" s="145"/>
      <c r="EJ2628" s="145"/>
      <c r="EK2628" s="145"/>
      <c r="EL2628" s="145"/>
      <c r="EM2628" s="145"/>
      <c r="EN2628" s="145"/>
      <c r="EO2628" s="145"/>
      <c r="EP2628" s="145"/>
      <c r="EQ2628" s="145"/>
      <c r="ER2628" s="145"/>
      <c r="ES2628" s="145"/>
      <c r="ET2628" s="145"/>
      <c r="EU2628" s="145"/>
      <c r="EV2628" s="145"/>
      <c r="EW2628" s="145"/>
      <c r="EX2628" s="145"/>
      <c r="EY2628" s="145"/>
      <c r="EZ2628" s="145"/>
      <c r="FA2628" s="145"/>
      <c r="FB2628" s="145"/>
      <c r="FC2628" s="145"/>
      <c r="FD2628" s="145"/>
      <c r="FE2628" s="145"/>
      <c r="FF2628" s="145"/>
      <c r="FG2628" s="145"/>
      <c r="FH2628" s="145"/>
      <c r="FI2628" s="145"/>
      <c r="FJ2628" s="145"/>
      <c r="FK2628" s="145"/>
      <c r="FL2628" s="145"/>
      <c r="FM2628" s="145"/>
      <c r="FN2628" s="145"/>
      <c r="FO2628" s="145"/>
      <c r="FP2628" s="145"/>
      <c r="FQ2628" s="145"/>
      <c r="FR2628" s="145"/>
      <c r="FS2628" s="145"/>
      <c r="FT2628" s="145"/>
      <c r="FU2628" s="145"/>
      <c r="FV2628" s="145"/>
      <c r="FW2628" s="145"/>
      <c r="FX2628" s="145"/>
      <c r="FY2628" s="145"/>
      <c r="FZ2628" s="145"/>
      <c r="GA2628" s="145"/>
      <c r="GB2628" s="145"/>
      <c r="GC2628" s="145"/>
      <c r="GD2628" s="145"/>
      <c r="GE2628" s="145"/>
      <c r="GF2628" s="145"/>
      <c r="GG2628" s="145"/>
      <c r="GH2628" s="145"/>
      <c r="GI2628" s="145"/>
      <c r="GJ2628" s="145"/>
      <c r="GK2628" s="145"/>
      <c r="GL2628" s="145"/>
      <c r="GM2628" s="145"/>
      <c r="GN2628" s="145"/>
      <c r="GO2628" s="145"/>
      <c r="GP2628" s="145"/>
      <c r="GQ2628" s="145"/>
      <c r="GR2628" s="145"/>
      <c r="GS2628" s="145"/>
      <c r="GT2628" s="145"/>
      <c r="GU2628" s="145"/>
      <c r="GV2628" s="145"/>
      <c r="GW2628" s="145"/>
      <c r="GX2628" s="145"/>
      <c r="GY2628" s="145"/>
      <c r="GZ2628" s="145"/>
      <c r="HA2628" s="145"/>
      <c r="HB2628" s="145"/>
      <c r="HC2628" s="145"/>
      <c r="HD2628" s="145"/>
      <c r="HE2628" s="145"/>
      <c r="HF2628" s="145"/>
    </row>
    <row r="2629" spans="1:215" x14ac:dyDescent="0.35">
      <c r="A2629" s="254">
        <f>A2627+1</f>
        <v>8</v>
      </c>
      <c r="B2629" s="254">
        <v>6939</v>
      </c>
      <c r="C2629" s="328" t="s">
        <v>615</v>
      </c>
      <c r="D2629" s="287">
        <v>721</v>
      </c>
      <c r="E2629" s="287" t="s">
        <v>74</v>
      </c>
      <c r="F2629" s="304">
        <v>2</v>
      </c>
      <c r="G2629" s="277" t="s">
        <v>71</v>
      </c>
      <c r="H2629" s="136" t="s">
        <v>72</v>
      </c>
      <c r="I2629" s="181">
        <f>SUM(I2630:I2630)</f>
        <v>158039.70000000001</v>
      </c>
      <c r="J2629" s="181">
        <f>SUM(J2630:J2630)</f>
        <v>219.2</v>
      </c>
      <c r="K2629" s="181">
        <f>SUM(K2630:K2630)</f>
        <v>247</v>
      </c>
      <c r="L2629" s="145"/>
      <c r="M2629" s="145"/>
      <c r="N2629" s="145"/>
      <c r="O2629" s="145"/>
      <c r="P2629" s="145"/>
      <c r="Q2629" s="145"/>
      <c r="R2629" s="145"/>
      <c r="S2629" s="145"/>
      <c r="T2629" s="145"/>
      <c r="U2629" s="145"/>
      <c r="V2629" s="145"/>
      <c r="W2629" s="145"/>
      <c r="X2629" s="145"/>
      <c r="Y2629" s="145"/>
      <c r="Z2629" s="145"/>
      <c r="AA2629" s="145"/>
      <c r="AB2629" s="145"/>
      <c r="AC2629" s="145"/>
      <c r="AD2629" s="145"/>
      <c r="AE2629" s="145"/>
      <c r="AF2629" s="145"/>
      <c r="AG2629" s="145"/>
      <c r="AH2629" s="145"/>
      <c r="AI2629" s="145"/>
      <c r="AJ2629" s="145"/>
      <c r="AK2629" s="145"/>
      <c r="AL2629" s="145"/>
      <c r="AM2629" s="145"/>
      <c r="AN2629" s="145"/>
      <c r="AO2629" s="145"/>
      <c r="AP2629" s="145"/>
      <c r="AQ2629" s="145"/>
      <c r="AR2629" s="145"/>
      <c r="AS2629" s="145"/>
      <c r="AT2629" s="145"/>
      <c r="AU2629" s="145"/>
      <c r="AV2629" s="145"/>
      <c r="AW2629" s="145"/>
      <c r="AX2629" s="145"/>
      <c r="AY2629" s="145"/>
      <c r="AZ2629" s="145"/>
      <c r="BA2629" s="145"/>
      <c r="BB2629" s="145"/>
      <c r="BC2629" s="145"/>
      <c r="BD2629" s="145"/>
      <c r="BE2629" s="145"/>
      <c r="BF2629" s="145"/>
      <c r="BG2629" s="145"/>
      <c r="BH2629" s="145"/>
      <c r="BI2629" s="145"/>
      <c r="BJ2629" s="145"/>
      <c r="BK2629" s="145"/>
      <c r="BL2629" s="145"/>
      <c r="BM2629" s="145"/>
      <c r="BN2629" s="145"/>
      <c r="BO2629" s="145"/>
      <c r="BP2629" s="145"/>
      <c r="BQ2629" s="145"/>
      <c r="BR2629" s="145"/>
      <c r="BS2629" s="145"/>
      <c r="BT2629" s="145"/>
      <c r="BU2629" s="145"/>
      <c r="BV2629" s="145"/>
      <c r="BW2629" s="145"/>
      <c r="BX2629" s="145"/>
      <c r="BY2629" s="145"/>
      <c r="BZ2629" s="145"/>
      <c r="CA2629" s="145"/>
      <c r="CB2629" s="145"/>
      <c r="CC2629" s="145"/>
      <c r="CD2629" s="145"/>
      <c r="CE2629" s="145"/>
      <c r="CF2629" s="145"/>
      <c r="CG2629" s="145"/>
      <c r="CH2629" s="145"/>
      <c r="CI2629" s="145"/>
      <c r="CJ2629" s="145"/>
      <c r="CK2629" s="145"/>
      <c r="CL2629" s="145"/>
      <c r="CM2629" s="145"/>
      <c r="CN2629" s="145"/>
      <c r="CO2629" s="145"/>
      <c r="CP2629" s="145"/>
      <c r="CQ2629" s="145"/>
      <c r="CR2629" s="145"/>
      <c r="CS2629" s="145"/>
      <c r="CT2629" s="145"/>
      <c r="CU2629" s="145"/>
      <c r="CV2629" s="145"/>
      <c r="CW2629" s="145"/>
      <c r="CX2629" s="145"/>
      <c r="CY2629" s="145"/>
      <c r="CZ2629" s="145"/>
      <c r="DA2629" s="145"/>
      <c r="DB2629" s="145"/>
      <c r="DC2629" s="145"/>
      <c r="DD2629" s="145"/>
      <c r="DE2629" s="145"/>
      <c r="DF2629" s="145"/>
      <c r="DG2629" s="145"/>
      <c r="DH2629" s="145"/>
      <c r="DI2629" s="145"/>
      <c r="DJ2629" s="145"/>
      <c r="DK2629" s="145"/>
      <c r="DL2629" s="145"/>
      <c r="DM2629" s="145"/>
      <c r="DN2629" s="145"/>
      <c r="DO2629" s="145"/>
      <c r="DP2629" s="145"/>
      <c r="DQ2629" s="145"/>
      <c r="DR2629" s="145"/>
      <c r="DS2629" s="145"/>
      <c r="DT2629" s="145"/>
      <c r="DU2629" s="145"/>
      <c r="DV2629" s="145"/>
      <c r="DW2629" s="145"/>
      <c r="DX2629" s="145"/>
      <c r="DY2629" s="145"/>
      <c r="DZ2629" s="145"/>
      <c r="EA2629" s="145"/>
      <c r="EB2629" s="145"/>
      <c r="EC2629" s="145"/>
      <c r="ED2629" s="145"/>
      <c r="EE2629" s="145"/>
      <c r="EF2629" s="145"/>
      <c r="EG2629" s="145"/>
      <c r="EH2629" s="145"/>
      <c r="EI2629" s="145"/>
      <c r="EJ2629" s="145"/>
      <c r="EK2629" s="145"/>
      <c r="EL2629" s="145"/>
      <c r="EM2629" s="145"/>
      <c r="EN2629" s="145"/>
      <c r="EO2629" s="145"/>
      <c r="EP2629" s="145"/>
      <c r="EQ2629" s="145"/>
      <c r="ER2629" s="145"/>
      <c r="ES2629" s="145"/>
      <c r="ET2629" s="145"/>
      <c r="EU2629" s="145"/>
      <c r="EV2629" s="145"/>
      <c r="EW2629" s="145"/>
      <c r="EX2629" s="145"/>
      <c r="EY2629" s="145"/>
      <c r="EZ2629" s="145"/>
      <c r="FA2629" s="145"/>
      <c r="FB2629" s="145"/>
      <c r="FC2629" s="145"/>
      <c r="FD2629" s="145"/>
      <c r="FE2629" s="145"/>
      <c r="FF2629" s="145"/>
      <c r="FG2629" s="145"/>
      <c r="FH2629" s="145"/>
      <c r="FI2629" s="145"/>
      <c r="FJ2629" s="145"/>
      <c r="FK2629" s="145"/>
      <c r="FL2629" s="145"/>
      <c r="FM2629" s="145"/>
      <c r="FN2629" s="145"/>
      <c r="FO2629" s="145"/>
      <c r="FP2629" s="145"/>
      <c r="FQ2629" s="145"/>
      <c r="FR2629" s="145"/>
      <c r="FS2629" s="145"/>
      <c r="FT2629" s="145"/>
      <c r="FU2629" s="145"/>
      <c r="FV2629" s="145"/>
      <c r="FW2629" s="145"/>
      <c r="FX2629" s="145"/>
      <c r="FY2629" s="145"/>
      <c r="FZ2629" s="145"/>
      <c r="GA2629" s="145"/>
      <c r="GB2629" s="145"/>
      <c r="GC2629" s="145"/>
      <c r="GD2629" s="145"/>
      <c r="GE2629" s="145"/>
      <c r="GF2629" s="145"/>
      <c r="GG2629" s="145"/>
      <c r="GH2629" s="145"/>
      <c r="GI2629" s="145"/>
      <c r="GJ2629" s="145"/>
      <c r="GK2629" s="145"/>
      <c r="GL2629" s="145"/>
      <c r="GM2629" s="145"/>
      <c r="GN2629" s="145"/>
      <c r="GO2629" s="145"/>
      <c r="GP2629" s="145"/>
      <c r="GQ2629" s="145"/>
      <c r="GR2629" s="145"/>
      <c r="GS2629" s="145"/>
      <c r="GT2629" s="145"/>
      <c r="GU2629" s="145"/>
      <c r="GV2629" s="145"/>
      <c r="GW2629" s="145"/>
      <c r="GX2629" s="145"/>
      <c r="GY2629" s="145"/>
      <c r="GZ2629" s="145"/>
      <c r="HA2629" s="145"/>
      <c r="HB2629" s="145"/>
      <c r="HC2629" s="145"/>
      <c r="HD2629" s="145"/>
      <c r="HE2629" s="145"/>
      <c r="HF2629" s="145"/>
    </row>
    <row r="2630" spans="1:215" ht="46.5" x14ac:dyDescent="0.35">
      <c r="A2630" s="254"/>
      <c r="B2630" s="254"/>
      <c r="C2630" s="328"/>
      <c r="D2630" s="287"/>
      <c r="E2630" s="287"/>
      <c r="F2630" s="304"/>
      <c r="G2630" s="277"/>
      <c r="H2630" s="136" t="s">
        <v>673</v>
      </c>
      <c r="I2630" s="181">
        <f>88823.7+96*D2629</f>
        <v>158039.70000000001</v>
      </c>
      <c r="J2630" s="181">
        <f>I2630/D2629</f>
        <v>219.2</v>
      </c>
      <c r="K2630" s="181">
        <f>151+96</f>
        <v>247</v>
      </c>
      <c r="L2630" s="145"/>
      <c r="M2630" s="145"/>
      <c r="N2630" s="145"/>
      <c r="O2630" s="145"/>
      <c r="P2630" s="145"/>
      <c r="Q2630" s="145"/>
      <c r="R2630" s="145"/>
      <c r="S2630" s="145"/>
      <c r="T2630" s="145"/>
      <c r="U2630" s="145"/>
      <c r="V2630" s="145"/>
      <c r="W2630" s="145"/>
      <c r="X2630" s="145"/>
      <c r="Y2630" s="145"/>
      <c r="Z2630" s="145"/>
      <c r="AA2630" s="145"/>
      <c r="AB2630" s="145"/>
      <c r="AC2630" s="145"/>
      <c r="AD2630" s="145"/>
      <c r="AE2630" s="145"/>
      <c r="AF2630" s="145"/>
      <c r="AG2630" s="145"/>
      <c r="AH2630" s="145"/>
      <c r="AI2630" s="145"/>
      <c r="AJ2630" s="145"/>
      <c r="AK2630" s="145"/>
      <c r="AL2630" s="145"/>
      <c r="AM2630" s="145"/>
      <c r="AN2630" s="145"/>
      <c r="AO2630" s="145"/>
      <c r="AP2630" s="145"/>
      <c r="AQ2630" s="145"/>
      <c r="AR2630" s="145"/>
      <c r="AS2630" s="145"/>
      <c r="AT2630" s="145"/>
      <c r="AU2630" s="145"/>
      <c r="AV2630" s="145"/>
      <c r="AW2630" s="145"/>
      <c r="AX2630" s="145"/>
      <c r="AY2630" s="145"/>
      <c r="AZ2630" s="145"/>
      <c r="BA2630" s="145"/>
      <c r="BB2630" s="145"/>
      <c r="BC2630" s="145"/>
      <c r="BD2630" s="145"/>
      <c r="BE2630" s="145"/>
      <c r="BF2630" s="145"/>
      <c r="BG2630" s="145"/>
      <c r="BH2630" s="145"/>
      <c r="BI2630" s="145"/>
      <c r="BJ2630" s="145"/>
      <c r="BK2630" s="145"/>
      <c r="BL2630" s="145"/>
      <c r="BM2630" s="145"/>
      <c r="BN2630" s="145"/>
      <c r="BO2630" s="145"/>
      <c r="BP2630" s="145"/>
      <c r="BQ2630" s="145"/>
      <c r="BR2630" s="145"/>
      <c r="BS2630" s="145"/>
      <c r="BT2630" s="145"/>
      <c r="BU2630" s="145"/>
      <c r="BV2630" s="145"/>
      <c r="BW2630" s="145"/>
      <c r="BX2630" s="145"/>
      <c r="BY2630" s="145"/>
      <c r="BZ2630" s="145"/>
      <c r="CA2630" s="145"/>
      <c r="CB2630" s="145"/>
      <c r="CC2630" s="145"/>
      <c r="CD2630" s="145"/>
      <c r="CE2630" s="145"/>
      <c r="CF2630" s="145"/>
      <c r="CG2630" s="145"/>
      <c r="CH2630" s="145"/>
      <c r="CI2630" s="145"/>
      <c r="CJ2630" s="145"/>
      <c r="CK2630" s="145"/>
      <c r="CL2630" s="145"/>
      <c r="CM2630" s="145"/>
      <c r="CN2630" s="145"/>
      <c r="CO2630" s="145"/>
      <c r="CP2630" s="145"/>
      <c r="CQ2630" s="145"/>
      <c r="CR2630" s="145"/>
      <c r="CS2630" s="145"/>
      <c r="CT2630" s="145"/>
      <c r="CU2630" s="145"/>
      <c r="CV2630" s="145"/>
      <c r="CW2630" s="145"/>
      <c r="CX2630" s="145"/>
      <c r="CY2630" s="145"/>
      <c r="CZ2630" s="145"/>
      <c r="DA2630" s="145"/>
      <c r="DB2630" s="145"/>
      <c r="DC2630" s="145"/>
      <c r="DD2630" s="145"/>
      <c r="DE2630" s="145"/>
      <c r="DF2630" s="145"/>
      <c r="DG2630" s="145"/>
      <c r="DH2630" s="145"/>
      <c r="DI2630" s="145"/>
      <c r="DJ2630" s="145"/>
      <c r="DK2630" s="145"/>
      <c r="DL2630" s="145"/>
      <c r="DM2630" s="145"/>
      <c r="DN2630" s="145"/>
      <c r="DO2630" s="145"/>
      <c r="DP2630" s="145"/>
      <c r="DQ2630" s="145"/>
      <c r="DR2630" s="145"/>
      <c r="DS2630" s="145"/>
      <c r="DT2630" s="145"/>
      <c r="DU2630" s="145"/>
      <c r="DV2630" s="145"/>
      <c r="DW2630" s="145"/>
      <c r="DX2630" s="145"/>
      <c r="DY2630" s="145"/>
      <c r="DZ2630" s="145"/>
      <c r="EA2630" s="145"/>
      <c r="EB2630" s="145"/>
      <c r="EC2630" s="145"/>
      <c r="ED2630" s="145"/>
      <c r="EE2630" s="145"/>
      <c r="EF2630" s="145"/>
      <c r="EG2630" s="145"/>
      <c r="EH2630" s="145"/>
      <c r="EI2630" s="145"/>
      <c r="EJ2630" s="145"/>
      <c r="EK2630" s="145"/>
      <c r="EL2630" s="145"/>
      <c r="EM2630" s="145"/>
      <c r="EN2630" s="145"/>
      <c r="EO2630" s="145"/>
      <c r="EP2630" s="145"/>
      <c r="EQ2630" s="145"/>
      <c r="ER2630" s="145"/>
      <c r="ES2630" s="145"/>
      <c r="ET2630" s="145"/>
      <c r="EU2630" s="145"/>
      <c r="EV2630" s="145"/>
      <c r="EW2630" s="145"/>
      <c r="EX2630" s="145"/>
      <c r="EY2630" s="145"/>
      <c r="EZ2630" s="145"/>
      <c r="FA2630" s="145"/>
      <c r="FB2630" s="145"/>
      <c r="FC2630" s="145"/>
      <c r="FD2630" s="145"/>
      <c r="FE2630" s="145"/>
      <c r="FF2630" s="145"/>
      <c r="FG2630" s="145"/>
      <c r="FH2630" s="145"/>
      <c r="FI2630" s="145"/>
      <c r="FJ2630" s="145"/>
      <c r="FK2630" s="145"/>
      <c r="FL2630" s="145"/>
      <c r="FM2630" s="145"/>
      <c r="FN2630" s="145"/>
      <c r="FO2630" s="145"/>
      <c r="FP2630" s="145"/>
      <c r="FQ2630" s="145"/>
      <c r="FR2630" s="145"/>
      <c r="FS2630" s="145"/>
      <c r="FT2630" s="145"/>
      <c r="FU2630" s="145"/>
      <c r="FV2630" s="145"/>
      <c r="FW2630" s="145"/>
      <c r="FX2630" s="145"/>
      <c r="FY2630" s="145"/>
      <c r="FZ2630" s="145"/>
      <c r="GA2630" s="145"/>
      <c r="GB2630" s="145"/>
      <c r="GC2630" s="145"/>
      <c r="GD2630" s="145"/>
      <c r="GE2630" s="145"/>
      <c r="GF2630" s="145"/>
      <c r="GG2630" s="145"/>
      <c r="GH2630" s="145"/>
      <c r="GI2630" s="145"/>
      <c r="GJ2630" s="145"/>
      <c r="GK2630" s="145"/>
      <c r="GL2630" s="145"/>
      <c r="GM2630" s="145"/>
      <c r="GN2630" s="145"/>
      <c r="GO2630" s="145"/>
      <c r="GP2630" s="145"/>
      <c r="GQ2630" s="145"/>
      <c r="GR2630" s="145"/>
      <c r="GS2630" s="145"/>
      <c r="GT2630" s="145"/>
      <c r="GU2630" s="145"/>
      <c r="GV2630" s="145"/>
      <c r="GW2630" s="145"/>
      <c r="GX2630" s="145"/>
      <c r="GY2630" s="145"/>
      <c r="GZ2630" s="145"/>
      <c r="HA2630" s="145"/>
      <c r="HB2630" s="145"/>
      <c r="HC2630" s="145"/>
      <c r="HD2630" s="145"/>
      <c r="HE2630" s="145"/>
      <c r="HF2630" s="145"/>
    </row>
    <row r="2631" spans="1:215" x14ac:dyDescent="0.35">
      <c r="A2631" s="288">
        <f>A2629+1</f>
        <v>9</v>
      </c>
      <c r="B2631" s="314">
        <v>6942</v>
      </c>
      <c r="C2631" s="278" t="s">
        <v>469</v>
      </c>
      <c r="D2631" s="273">
        <v>751.3</v>
      </c>
      <c r="E2631" s="273" t="s">
        <v>74</v>
      </c>
      <c r="F2631" s="282">
        <v>4</v>
      </c>
      <c r="G2631" s="270" t="s">
        <v>71</v>
      </c>
      <c r="H2631" s="136" t="s">
        <v>72</v>
      </c>
      <c r="I2631" s="181">
        <f>I2632+I2633</f>
        <v>2351120.5699999998</v>
      </c>
      <c r="J2631" s="181">
        <f>J2632+J2633</f>
        <v>3129.4</v>
      </c>
      <c r="K2631" s="181">
        <f>K2632+K2633</f>
        <v>4728</v>
      </c>
      <c r="L2631" s="145"/>
      <c r="M2631" s="145"/>
      <c r="N2631" s="145"/>
      <c r="O2631" s="145"/>
      <c r="P2631" s="145"/>
      <c r="Q2631" s="145"/>
      <c r="R2631" s="145"/>
      <c r="S2631" s="145"/>
      <c r="T2631" s="145"/>
      <c r="U2631" s="145"/>
      <c r="V2631" s="145"/>
      <c r="W2631" s="145"/>
      <c r="X2631" s="145"/>
      <c r="Y2631" s="145"/>
      <c r="Z2631" s="145"/>
      <c r="AA2631" s="145"/>
      <c r="AB2631" s="145"/>
      <c r="AC2631" s="145"/>
      <c r="AD2631" s="145"/>
      <c r="AE2631" s="145"/>
      <c r="AF2631" s="145"/>
      <c r="AG2631" s="145"/>
      <c r="AH2631" s="145"/>
      <c r="AI2631" s="145"/>
      <c r="AJ2631" s="145"/>
      <c r="AK2631" s="145"/>
      <c r="AL2631" s="145"/>
      <c r="AM2631" s="145"/>
      <c r="AN2631" s="145"/>
      <c r="AO2631" s="145"/>
      <c r="AP2631" s="145"/>
      <c r="AQ2631" s="145"/>
      <c r="AR2631" s="145"/>
      <c r="AS2631" s="145"/>
      <c r="AT2631" s="145"/>
      <c r="AU2631" s="145"/>
      <c r="AV2631" s="145"/>
      <c r="AW2631" s="145"/>
      <c r="AX2631" s="145"/>
      <c r="AY2631" s="145"/>
      <c r="AZ2631" s="145"/>
      <c r="BA2631" s="145"/>
      <c r="BB2631" s="145"/>
      <c r="BC2631" s="145"/>
      <c r="BD2631" s="145"/>
      <c r="BE2631" s="145"/>
      <c r="BF2631" s="145"/>
      <c r="BG2631" s="145"/>
      <c r="BH2631" s="145"/>
      <c r="BI2631" s="145"/>
      <c r="BJ2631" s="145"/>
      <c r="BK2631" s="145"/>
      <c r="BL2631" s="145"/>
      <c r="BM2631" s="145"/>
      <c r="BN2631" s="145"/>
      <c r="BO2631" s="145"/>
      <c r="BP2631" s="145"/>
      <c r="BQ2631" s="145"/>
      <c r="BR2631" s="145"/>
      <c r="BS2631" s="145"/>
      <c r="BT2631" s="145"/>
      <c r="BU2631" s="145"/>
      <c r="BV2631" s="145"/>
      <c r="BW2631" s="145"/>
      <c r="BX2631" s="145"/>
      <c r="BY2631" s="145"/>
      <c r="BZ2631" s="145"/>
      <c r="CA2631" s="145"/>
      <c r="CB2631" s="145"/>
      <c r="CC2631" s="145"/>
      <c r="CD2631" s="145"/>
      <c r="CE2631" s="145"/>
      <c r="CF2631" s="145"/>
      <c r="CG2631" s="145"/>
      <c r="CH2631" s="145"/>
      <c r="CI2631" s="145"/>
      <c r="CJ2631" s="145"/>
      <c r="CK2631" s="145"/>
      <c r="CL2631" s="145"/>
      <c r="CM2631" s="145"/>
      <c r="CN2631" s="145"/>
      <c r="CO2631" s="145"/>
      <c r="CP2631" s="145"/>
      <c r="CQ2631" s="145"/>
      <c r="CR2631" s="145"/>
      <c r="CS2631" s="145"/>
      <c r="CT2631" s="145"/>
      <c r="CU2631" s="145"/>
      <c r="CV2631" s="145"/>
      <c r="CW2631" s="145"/>
      <c r="CX2631" s="145"/>
      <c r="CY2631" s="145"/>
      <c r="CZ2631" s="145"/>
      <c r="DA2631" s="145"/>
      <c r="DB2631" s="145"/>
      <c r="DC2631" s="145"/>
      <c r="DD2631" s="145"/>
      <c r="DE2631" s="145"/>
      <c r="DF2631" s="145"/>
      <c r="DG2631" s="145"/>
      <c r="DH2631" s="145"/>
      <c r="DI2631" s="145"/>
      <c r="DJ2631" s="145"/>
      <c r="DK2631" s="145"/>
      <c r="DL2631" s="145"/>
      <c r="DM2631" s="145"/>
      <c r="DN2631" s="145"/>
      <c r="DO2631" s="145"/>
      <c r="DP2631" s="145"/>
      <c r="DQ2631" s="145"/>
      <c r="DR2631" s="145"/>
      <c r="DS2631" s="145"/>
      <c r="DT2631" s="145"/>
      <c r="DU2631" s="145"/>
      <c r="DV2631" s="145"/>
      <c r="DW2631" s="145"/>
      <c r="DX2631" s="145"/>
      <c r="DY2631" s="145"/>
      <c r="DZ2631" s="145"/>
      <c r="EA2631" s="145"/>
      <c r="EB2631" s="145"/>
      <c r="EC2631" s="145"/>
      <c r="ED2631" s="145"/>
      <c r="EE2631" s="145"/>
      <c r="EF2631" s="145"/>
      <c r="EG2631" s="145"/>
      <c r="EH2631" s="145"/>
      <c r="EI2631" s="145"/>
      <c r="EJ2631" s="145"/>
      <c r="EK2631" s="145"/>
      <c r="EL2631" s="145"/>
      <c r="EM2631" s="145"/>
      <c r="EN2631" s="145"/>
      <c r="EO2631" s="145"/>
      <c r="EP2631" s="145"/>
      <c r="EQ2631" s="145"/>
      <c r="ER2631" s="145"/>
      <c r="ES2631" s="145"/>
      <c r="ET2631" s="145"/>
      <c r="EU2631" s="145"/>
      <c r="EV2631" s="145"/>
      <c r="EW2631" s="145"/>
      <c r="EX2631" s="145"/>
      <c r="EY2631" s="145"/>
      <c r="EZ2631" s="145"/>
      <c r="FA2631" s="145"/>
      <c r="FB2631" s="145"/>
      <c r="FC2631" s="145"/>
      <c r="FD2631" s="145"/>
      <c r="FE2631" s="145"/>
      <c r="FF2631" s="145"/>
      <c r="FG2631" s="145"/>
      <c r="FH2631" s="145"/>
      <c r="FI2631" s="145"/>
      <c r="FJ2631" s="145"/>
      <c r="FK2631" s="145"/>
      <c r="FL2631" s="145"/>
      <c r="FM2631" s="145"/>
      <c r="FN2631" s="145"/>
      <c r="FO2631" s="145"/>
      <c r="FP2631" s="145"/>
      <c r="FQ2631" s="145"/>
      <c r="FR2631" s="145"/>
      <c r="FS2631" s="145"/>
      <c r="FT2631" s="145"/>
      <c r="FU2631" s="145"/>
      <c r="FV2631" s="145"/>
      <c r="FW2631" s="145"/>
      <c r="FX2631" s="145"/>
      <c r="FY2631" s="145"/>
      <c r="FZ2631" s="145"/>
      <c r="GA2631" s="145"/>
      <c r="GB2631" s="145"/>
      <c r="GC2631" s="145"/>
      <c r="GD2631" s="145"/>
      <c r="GE2631" s="145"/>
      <c r="GF2631" s="145"/>
      <c r="GG2631" s="145"/>
      <c r="GH2631" s="145"/>
      <c r="GI2631" s="145"/>
      <c r="GJ2631" s="145"/>
      <c r="GK2631" s="145"/>
      <c r="GL2631" s="145"/>
      <c r="GM2631" s="145"/>
      <c r="GN2631" s="145"/>
      <c r="GO2631" s="145"/>
      <c r="GP2631" s="145"/>
      <c r="GQ2631" s="145"/>
      <c r="GR2631" s="145"/>
      <c r="GS2631" s="145"/>
      <c r="GT2631" s="145"/>
      <c r="GU2631" s="145"/>
      <c r="GV2631" s="145"/>
      <c r="GW2631" s="145"/>
      <c r="GX2631" s="145"/>
      <c r="GY2631" s="145"/>
      <c r="GZ2631" s="145"/>
      <c r="HA2631" s="145"/>
      <c r="HB2631" s="145"/>
      <c r="HC2631" s="145"/>
      <c r="HD2631" s="145"/>
      <c r="HE2631" s="145"/>
      <c r="HF2631" s="145"/>
    </row>
    <row r="2632" spans="1:215" x14ac:dyDescent="0.35">
      <c r="A2632" s="313"/>
      <c r="B2632" s="313"/>
      <c r="C2632" s="279"/>
      <c r="D2632" s="274"/>
      <c r="E2632" s="274"/>
      <c r="F2632" s="283"/>
      <c r="G2632" s="271"/>
      <c r="H2632" s="175" t="s">
        <v>73</v>
      </c>
      <c r="I2632" s="199">
        <f>3259108.08*0.7</f>
        <v>2281375.66</v>
      </c>
      <c r="J2632" s="199">
        <f>I2632/D2631</f>
        <v>3036.57</v>
      </c>
      <c r="K2632" s="199">
        <v>4629</v>
      </c>
      <c r="L2632" s="145"/>
      <c r="M2632" s="145"/>
      <c r="N2632" s="145"/>
      <c r="O2632" s="145"/>
      <c r="P2632" s="145"/>
      <c r="Q2632" s="145"/>
      <c r="R2632" s="145"/>
      <c r="S2632" s="145"/>
      <c r="T2632" s="145"/>
      <c r="U2632" s="145"/>
      <c r="V2632" s="145"/>
      <c r="W2632" s="145"/>
      <c r="X2632" s="145"/>
      <c r="Y2632" s="145"/>
      <c r="Z2632" s="145"/>
      <c r="AA2632" s="145"/>
      <c r="AB2632" s="145"/>
      <c r="AC2632" s="145"/>
      <c r="AD2632" s="145"/>
      <c r="AE2632" s="145"/>
      <c r="AF2632" s="145"/>
      <c r="AG2632" s="145"/>
      <c r="AH2632" s="145"/>
      <c r="AI2632" s="145"/>
      <c r="AJ2632" s="145"/>
      <c r="AK2632" s="145"/>
      <c r="AL2632" s="145"/>
      <c r="AM2632" s="145"/>
      <c r="AN2632" s="145"/>
      <c r="AO2632" s="145"/>
      <c r="AP2632" s="145"/>
      <c r="AQ2632" s="145"/>
      <c r="AR2632" s="145"/>
      <c r="AS2632" s="145"/>
      <c r="AT2632" s="145"/>
      <c r="AU2632" s="145"/>
      <c r="AV2632" s="145"/>
      <c r="AW2632" s="145"/>
      <c r="AX2632" s="145"/>
      <c r="AY2632" s="145"/>
      <c r="AZ2632" s="145"/>
      <c r="BA2632" s="145"/>
      <c r="BB2632" s="145"/>
      <c r="BC2632" s="145"/>
      <c r="BD2632" s="145"/>
      <c r="BE2632" s="145"/>
      <c r="BF2632" s="145"/>
      <c r="BG2632" s="145"/>
      <c r="BH2632" s="145"/>
      <c r="BI2632" s="145"/>
      <c r="BJ2632" s="145"/>
      <c r="BK2632" s="145"/>
      <c r="BL2632" s="145"/>
      <c r="BM2632" s="145"/>
      <c r="BN2632" s="145"/>
      <c r="BO2632" s="145"/>
      <c r="BP2632" s="145"/>
      <c r="BQ2632" s="145"/>
      <c r="BR2632" s="145"/>
      <c r="BS2632" s="145"/>
      <c r="BT2632" s="145"/>
      <c r="BU2632" s="145"/>
      <c r="BV2632" s="145"/>
      <c r="BW2632" s="145"/>
      <c r="BX2632" s="145"/>
      <c r="BY2632" s="145"/>
      <c r="BZ2632" s="145"/>
      <c r="CA2632" s="145"/>
      <c r="CB2632" s="145"/>
      <c r="CC2632" s="145"/>
      <c r="CD2632" s="145"/>
      <c r="CE2632" s="145"/>
      <c r="CF2632" s="145"/>
      <c r="CG2632" s="145"/>
      <c r="CH2632" s="145"/>
      <c r="CI2632" s="145"/>
      <c r="CJ2632" s="145"/>
      <c r="CK2632" s="145"/>
      <c r="CL2632" s="145"/>
      <c r="CM2632" s="145"/>
      <c r="CN2632" s="145"/>
      <c r="CO2632" s="145"/>
      <c r="CP2632" s="145"/>
      <c r="CQ2632" s="145"/>
      <c r="CR2632" s="145"/>
      <c r="CS2632" s="145"/>
      <c r="CT2632" s="145"/>
      <c r="CU2632" s="145"/>
      <c r="CV2632" s="145"/>
      <c r="CW2632" s="145"/>
      <c r="CX2632" s="145"/>
      <c r="CY2632" s="145"/>
      <c r="CZ2632" s="145"/>
      <c r="DA2632" s="145"/>
      <c r="DB2632" s="145"/>
      <c r="DC2632" s="145"/>
      <c r="DD2632" s="145"/>
      <c r="DE2632" s="145"/>
      <c r="DF2632" s="145"/>
      <c r="DG2632" s="145"/>
      <c r="DH2632" s="145"/>
      <c r="DI2632" s="145"/>
      <c r="DJ2632" s="145"/>
      <c r="DK2632" s="145"/>
      <c r="DL2632" s="145"/>
      <c r="DM2632" s="145"/>
      <c r="DN2632" s="145"/>
      <c r="DO2632" s="145"/>
      <c r="DP2632" s="145"/>
      <c r="DQ2632" s="145"/>
      <c r="DR2632" s="145"/>
      <c r="DS2632" s="145"/>
      <c r="DT2632" s="145"/>
      <c r="DU2632" s="145"/>
      <c r="DV2632" s="145"/>
      <c r="DW2632" s="145"/>
      <c r="DX2632" s="145"/>
      <c r="DY2632" s="145"/>
      <c r="DZ2632" s="145"/>
      <c r="EA2632" s="145"/>
      <c r="EB2632" s="145"/>
      <c r="EC2632" s="145"/>
      <c r="ED2632" s="145"/>
      <c r="EE2632" s="145"/>
      <c r="EF2632" s="145"/>
      <c r="EG2632" s="145"/>
      <c r="EH2632" s="145"/>
      <c r="EI2632" s="145"/>
      <c r="EJ2632" s="145"/>
      <c r="EK2632" s="145"/>
      <c r="EL2632" s="145"/>
      <c r="EM2632" s="145"/>
      <c r="EN2632" s="145"/>
      <c r="EO2632" s="145"/>
      <c r="EP2632" s="145"/>
      <c r="EQ2632" s="145"/>
      <c r="ER2632" s="145"/>
      <c r="ES2632" s="145"/>
      <c r="ET2632" s="145"/>
      <c r="EU2632" s="145"/>
      <c r="EV2632" s="145"/>
      <c r="EW2632" s="145"/>
      <c r="EX2632" s="145"/>
      <c r="EY2632" s="145"/>
      <c r="EZ2632" s="145"/>
      <c r="FA2632" s="145"/>
      <c r="FB2632" s="145"/>
      <c r="FC2632" s="145"/>
      <c r="FD2632" s="145"/>
      <c r="FE2632" s="145"/>
      <c r="FF2632" s="145"/>
      <c r="FG2632" s="145"/>
      <c r="FH2632" s="145"/>
      <c r="FI2632" s="145"/>
      <c r="FJ2632" s="145"/>
      <c r="FK2632" s="145"/>
      <c r="FL2632" s="145"/>
      <c r="FM2632" s="145"/>
      <c r="FN2632" s="145"/>
      <c r="FO2632" s="145"/>
      <c r="FP2632" s="145"/>
      <c r="FQ2632" s="145"/>
      <c r="FR2632" s="145"/>
      <c r="FS2632" s="145"/>
      <c r="FT2632" s="145"/>
      <c r="FU2632" s="145"/>
      <c r="FV2632" s="145"/>
      <c r="FW2632" s="145"/>
      <c r="FX2632" s="145"/>
      <c r="FY2632" s="145"/>
      <c r="FZ2632" s="145"/>
      <c r="GA2632" s="145"/>
      <c r="GB2632" s="145"/>
      <c r="GC2632" s="145"/>
      <c r="GD2632" s="145"/>
      <c r="GE2632" s="145"/>
      <c r="GF2632" s="145"/>
      <c r="GG2632" s="145"/>
      <c r="GH2632" s="145"/>
      <c r="GI2632" s="145"/>
      <c r="GJ2632" s="145"/>
      <c r="GK2632" s="145"/>
      <c r="GL2632" s="145"/>
      <c r="GM2632" s="145"/>
      <c r="GN2632" s="145"/>
      <c r="GO2632" s="145"/>
      <c r="GP2632" s="145"/>
      <c r="GQ2632" s="145"/>
      <c r="GR2632" s="145"/>
      <c r="GS2632" s="145"/>
      <c r="GT2632" s="145"/>
      <c r="GU2632" s="145"/>
      <c r="GV2632" s="145"/>
      <c r="GW2632" s="145"/>
      <c r="GX2632" s="145"/>
      <c r="GY2632" s="145"/>
      <c r="GZ2632" s="145"/>
      <c r="HA2632" s="145"/>
      <c r="HB2632" s="145"/>
      <c r="HC2632" s="145"/>
      <c r="HD2632" s="145"/>
      <c r="HE2632" s="145"/>
      <c r="HF2632" s="145"/>
    </row>
    <row r="2633" spans="1:215" x14ac:dyDescent="0.35">
      <c r="A2633" s="324"/>
      <c r="B2633" s="324"/>
      <c r="C2633" s="285"/>
      <c r="D2633" s="275"/>
      <c r="E2633" s="275"/>
      <c r="F2633" s="284"/>
      <c r="G2633" s="272"/>
      <c r="H2633" s="175" t="s">
        <v>75</v>
      </c>
      <c r="I2633" s="199">
        <f>3259108.08*0.0214</f>
        <v>69744.91</v>
      </c>
      <c r="J2633" s="199">
        <f>I2633/D2631</f>
        <v>92.83</v>
      </c>
      <c r="K2633" s="199">
        <v>99</v>
      </c>
      <c r="L2633" s="145"/>
      <c r="M2633" s="145"/>
      <c r="N2633" s="145"/>
      <c r="O2633" s="145"/>
      <c r="P2633" s="145"/>
      <c r="Q2633" s="145"/>
      <c r="R2633" s="145"/>
      <c r="S2633" s="145"/>
      <c r="T2633" s="145"/>
      <c r="U2633" s="145"/>
      <c r="V2633" s="145"/>
      <c r="W2633" s="145"/>
      <c r="X2633" s="145"/>
      <c r="Y2633" s="145"/>
      <c r="Z2633" s="145"/>
      <c r="AA2633" s="145"/>
      <c r="AB2633" s="145"/>
      <c r="AC2633" s="145"/>
      <c r="AD2633" s="145"/>
      <c r="AE2633" s="145"/>
      <c r="AF2633" s="145"/>
      <c r="AG2633" s="145"/>
      <c r="AH2633" s="145"/>
      <c r="AI2633" s="145"/>
      <c r="AJ2633" s="145"/>
      <c r="AK2633" s="145"/>
      <c r="AL2633" s="145"/>
      <c r="AM2633" s="145"/>
      <c r="AN2633" s="145"/>
      <c r="AO2633" s="145"/>
      <c r="AP2633" s="145"/>
      <c r="AQ2633" s="145"/>
      <c r="AR2633" s="145"/>
      <c r="AS2633" s="145"/>
      <c r="AT2633" s="145"/>
      <c r="AU2633" s="145"/>
      <c r="AV2633" s="145"/>
      <c r="AW2633" s="145"/>
      <c r="AX2633" s="145"/>
      <c r="AY2633" s="145"/>
      <c r="AZ2633" s="145"/>
      <c r="BA2633" s="145"/>
      <c r="BB2633" s="145"/>
      <c r="BC2633" s="145"/>
      <c r="BD2633" s="145"/>
      <c r="BE2633" s="145"/>
      <c r="BF2633" s="145"/>
      <c r="BG2633" s="145"/>
      <c r="BH2633" s="145"/>
      <c r="BI2633" s="145"/>
      <c r="BJ2633" s="145"/>
      <c r="BK2633" s="145"/>
      <c r="BL2633" s="145"/>
      <c r="BM2633" s="145"/>
      <c r="BN2633" s="145"/>
      <c r="BO2633" s="145"/>
      <c r="BP2633" s="145"/>
      <c r="BQ2633" s="145"/>
      <c r="BR2633" s="145"/>
      <c r="BS2633" s="145"/>
      <c r="BT2633" s="145"/>
      <c r="BU2633" s="145"/>
      <c r="BV2633" s="145"/>
      <c r="BW2633" s="145"/>
      <c r="BX2633" s="145"/>
      <c r="BY2633" s="145"/>
      <c r="BZ2633" s="145"/>
      <c r="CA2633" s="145"/>
      <c r="CB2633" s="145"/>
      <c r="CC2633" s="145"/>
      <c r="CD2633" s="145"/>
      <c r="CE2633" s="145"/>
      <c r="CF2633" s="145"/>
      <c r="CG2633" s="145"/>
      <c r="CH2633" s="145"/>
      <c r="CI2633" s="145"/>
      <c r="CJ2633" s="145"/>
      <c r="CK2633" s="145"/>
      <c r="CL2633" s="145"/>
      <c r="CM2633" s="145"/>
      <c r="CN2633" s="145"/>
      <c r="CO2633" s="145"/>
      <c r="CP2633" s="145"/>
      <c r="CQ2633" s="145"/>
      <c r="CR2633" s="145"/>
      <c r="CS2633" s="145"/>
      <c r="CT2633" s="145"/>
      <c r="CU2633" s="145"/>
      <c r="CV2633" s="145"/>
      <c r="CW2633" s="145"/>
      <c r="CX2633" s="145"/>
      <c r="CY2633" s="145"/>
      <c r="CZ2633" s="145"/>
      <c r="DA2633" s="145"/>
      <c r="DB2633" s="145"/>
      <c r="DC2633" s="145"/>
      <c r="DD2633" s="145"/>
      <c r="DE2633" s="145"/>
      <c r="DF2633" s="145"/>
      <c r="DG2633" s="145"/>
      <c r="DH2633" s="145"/>
      <c r="DI2633" s="145"/>
      <c r="DJ2633" s="145"/>
      <c r="DK2633" s="145"/>
      <c r="DL2633" s="145"/>
      <c r="DM2633" s="145"/>
      <c r="DN2633" s="145"/>
      <c r="DO2633" s="145"/>
      <c r="DP2633" s="145"/>
      <c r="DQ2633" s="145"/>
      <c r="DR2633" s="145"/>
      <c r="DS2633" s="145"/>
      <c r="DT2633" s="145"/>
      <c r="DU2633" s="145"/>
      <c r="DV2633" s="145"/>
      <c r="DW2633" s="145"/>
      <c r="DX2633" s="145"/>
      <c r="DY2633" s="145"/>
      <c r="DZ2633" s="145"/>
      <c r="EA2633" s="145"/>
      <c r="EB2633" s="145"/>
      <c r="EC2633" s="145"/>
      <c r="ED2633" s="145"/>
      <c r="EE2633" s="145"/>
      <c r="EF2633" s="145"/>
      <c r="EG2633" s="145"/>
      <c r="EH2633" s="145"/>
      <c r="EI2633" s="145"/>
      <c r="EJ2633" s="145"/>
      <c r="EK2633" s="145"/>
      <c r="EL2633" s="145"/>
      <c r="EM2633" s="145"/>
      <c r="EN2633" s="145"/>
      <c r="EO2633" s="145"/>
      <c r="EP2633" s="145"/>
      <c r="EQ2633" s="145"/>
      <c r="ER2633" s="145"/>
      <c r="ES2633" s="145"/>
      <c r="ET2633" s="145"/>
      <c r="EU2633" s="145"/>
      <c r="EV2633" s="145"/>
      <c r="EW2633" s="145"/>
      <c r="EX2633" s="145"/>
      <c r="EY2633" s="145"/>
      <c r="EZ2633" s="145"/>
      <c r="FA2633" s="145"/>
      <c r="FB2633" s="145"/>
      <c r="FC2633" s="145"/>
      <c r="FD2633" s="145"/>
      <c r="FE2633" s="145"/>
      <c r="FF2633" s="145"/>
      <c r="FG2633" s="145"/>
      <c r="FH2633" s="145"/>
      <c r="FI2633" s="145"/>
      <c r="FJ2633" s="145"/>
      <c r="FK2633" s="145"/>
      <c r="FL2633" s="145"/>
      <c r="FM2633" s="145"/>
      <c r="FN2633" s="145"/>
      <c r="FO2633" s="145"/>
      <c r="FP2633" s="145"/>
      <c r="FQ2633" s="145"/>
      <c r="FR2633" s="145"/>
      <c r="FS2633" s="145"/>
      <c r="FT2633" s="145"/>
      <c r="FU2633" s="145"/>
      <c r="FV2633" s="145"/>
      <c r="FW2633" s="145"/>
      <c r="FX2633" s="145"/>
      <c r="FY2633" s="145"/>
      <c r="FZ2633" s="145"/>
      <c r="GA2633" s="145"/>
      <c r="GB2633" s="145"/>
      <c r="GC2633" s="145"/>
      <c r="GD2633" s="145"/>
      <c r="GE2633" s="145"/>
      <c r="GF2633" s="145"/>
      <c r="GG2633" s="145"/>
      <c r="GH2633" s="145"/>
      <c r="GI2633" s="145"/>
      <c r="GJ2633" s="145"/>
      <c r="GK2633" s="145"/>
      <c r="GL2633" s="145"/>
      <c r="GM2633" s="145"/>
      <c r="GN2633" s="145"/>
      <c r="GO2633" s="145"/>
      <c r="GP2633" s="145"/>
      <c r="GQ2633" s="145"/>
      <c r="GR2633" s="145"/>
      <c r="GS2633" s="145"/>
      <c r="GT2633" s="145"/>
      <c r="GU2633" s="145"/>
      <c r="GV2633" s="145"/>
      <c r="GW2633" s="145"/>
      <c r="GX2633" s="145"/>
      <c r="GY2633" s="145"/>
      <c r="GZ2633" s="145"/>
      <c r="HA2633" s="145"/>
      <c r="HB2633" s="145"/>
      <c r="HC2633" s="145"/>
      <c r="HD2633" s="145"/>
      <c r="HE2633" s="145"/>
    </row>
    <row r="2634" spans="1:215" x14ac:dyDescent="0.35">
      <c r="A2634" s="288">
        <f>A2631+1</f>
        <v>10</v>
      </c>
      <c r="B2634" s="314">
        <v>6834</v>
      </c>
      <c r="C2634" s="315" t="s">
        <v>616</v>
      </c>
      <c r="D2634" s="273">
        <v>341.7</v>
      </c>
      <c r="E2634" s="273" t="s">
        <v>74</v>
      </c>
      <c r="F2634" s="282">
        <v>2</v>
      </c>
      <c r="G2634" s="270" t="s">
        <v>71</v>
      </c>
      <c r="H2634" s="175" t="s">
        <v>72</v>
      </c>
      <c r="I2634" s="199">
        <f>I2635</f>
        <v>84399.9</v>
      </c>
      <c r="J2634" s="199">
        <f>J2635</f>
        <v>247</v>
      </c>
      <c r="K2634" s="199">
        <f>K2635</f>
        <v>247</v>
      </c>
      <c r="L2634" s="145"/>
      <c r="M2634" s="145"/>
      <c r="N2634" s="145"/>
      <c r="O2634" s="145"/>
      <c r="P2634" s="145"/>
      <c r="Q2634" s="145"/>
      <c r="R2634" s="145"/>
      <c r="S2634" s="145"/>
      <c r="T2634" s="145"/>
      <c r="U2634" s="145"/>
      <c r="V2634" s="145"/>
      <c r="W2634" s="145"/>
      <c r="X2634" s="145"/>
      <c r="Y2634" s="145"/>
      <c r="Z2634" s="145"/>
      <c r="AA2634" s="145"/>
      <c r="AB2634" s="145"/>
      <c r="AC2634" s="145"/>
      <c r="AD2634" s="145"/>
      <c r="AE2634" s="145"/>
      <c r="AF2634" s="145"/>
      <c r="AG2634" s="145"/>
      <c r="AH2634" s="145"/>
      <c r="AI2634" s="145"/>
      <c r="AJ2634" s="145"/>
      <c r="AK2634" s="145"/>
      <c r="AL2634" s="145"/>
      <c r="AM2634" s="145"/>
      <c r="AN2634" s="145"/>
      <c r="AO2634" s="145"/>
      <c r="AP2634" s="145"/>
      <c r="AQ2634" s="145"/>
      <c r="AR2634" s="145"/>
      <c r="AS2634" s="145"/>
      <c r="AT2634" s="145"/>
      <c r="AU2634" s="145"/>
      <c r="AV2634" s="145"/>
      <c r="AW2634" s="145"/>
      <c r="AX2634" s="145"/>
      <c r="AY2634" s="145"/>
      <c r="AZ2634" s="145"/>
      <c r="BA2634" s="145"/>
      <c r="BB2634" s="145"/>
      <c r="BC2634" s="145"/>
      <c r="BD2634" s="145"/>
      <c r="BE2634" s="145"/>
      <c r="BF2634" s="145"/>
      <c r="BG2634" s="145"/>
      <c r="BH2634" s="145"/>
      <c r="BI2634" s="145"/>
      <c r="BJ2634" s="145"/>
      <c r="BK2634" s="145"/>
      <c r="BL2634" s="145"/>
      <c r="BM2634" s="145"/>
      <c r="BN2634" s="145"/>
      <c r="BO2634" s="145"/>
      <c r="BP2634" s="145"/>
      <c r="BQ2634" s="145"/>
      <c r="BR2634" s="145"/>
      <c r="BS2634" s="145"/>
      <c r="BT2634" s="145"/>
      <c r="BU2634" s="145"/>
      <c r="BV2634" s="145"/>
      <c r="BW2634" s="145"/>
      <c r="BX2634" s="145"/>
      <c r="BY2634" s="145"/>
      <c r="BZ2634" s="145"/>
      <c r="CA2634" s="145"/>
      <c r="CB2634" s="145"/>
      <c r="CC2634" s="145"/>
      <c r="CD2634" s="145"/>
      <c r="CE2634" s="145"/>
      <c r="CF2634" s="145"/>
      <c r="CG2634" s="145"/>
      <c r="CH2634" s="145"/>
      <c r="CI2634" s="145"/>
      <c r="CJ2634" s="145"/>
      <c r="CK2634" s="145"/>
      <c r="CL2634" s="145"/>
      <c r="CM2634" s="145"/>
      <c r="CN2634" s="145"/>
      <c r="CO2634" s="145"/>
      <c r="CP2634" s="145"/>
      <c r="CQ2634" s="145"/>
      <c r="CR2634" s="145"/>
      <c r="CS2634" s="145"/>
      <c r="CT2634" s="145"/>
      <c r="CU2634" s="145"/>
      <c r="CV2634" s="145"/>
      <c r="CW2634" s="145"/>
      <c r="CX2634" s="145"/>
      <c r="CY2634" s="145"/>
      <c r="CZ2634" s="145"/>
      <c r="DA2634" s="145"/>
      <c r="DB2634" s="145"/>
      <c r="DC2634" s="145"/>
      <c r="DD2634" s="145"/>
      <c r="DE2634" s="145"/>
      <c r="DF2634" s="145"/>
      <c r="DG2634" s="145"/>
      <c r="DH2634" s="145"/>
      <c r="DI2634" s="145"/>
      <c r="DJ2634" s="145"/>
      <c r="DK2634" s="145"/>
      <c r="DL2634" s="145"/>
      <c r="DM2634" s="145"/>
      <c r="DN2634" s="145"/>
      <c r="DO2634" s="145"/>
      <c r="DP2634" s="145"/>
      <c r="DQ2634" s="145"/>
      <c r="DR2634" s="145"/>
      <c r="DS2634" s="145"/>
      <c r="DT2634" s="145"/>
      <c r="DU2634" s="145"/>
      <c r="DV2634" s="145"/>
      <c r="DW2634" s="145"/>
      <c r="DX2634" s="145"/>
      <c r="DY2634" s="145"/>
      <c r="DZ2634" s="145"/>
      <c r="EA2634" s="145"/>
      <c r="EB2634" s="145"/>
      <c r="EC2634" s="145"/>
      <c r="ED2634" s="145"/>
      <c r="EE2634" s="145"/>
      <c r="EF2634" s="145"/>
      <c r="EG2634" s="145"/>
      <c r="EH2634" s="145"/>
      <c r="EI2634" s="145"/>
      <c r="EJ2634" s="145"/>
      <c r="EK2634" s="145"/>
      <c r="EL2634" s="145"/>
      <c r="EM2634" s="145"/>
      <c r="EN2634" s="145"/>
      <c r="EO2634" s="145"/>
      <c r="EP2634" s="145"/>
      <c r="EQ2634" s="145"/>
      <c r="ER2634" s="145"/>
      <c r="ES2634" s="145"/>
      <c r="ET2634" s="145"/>
      <c r="EU2634" s="145"/>
      <c r="EV2634" s="145"/>
      <c r="EW2634" s="145"/>
      <c r="EX2634" s="145"/>
      <c r="EY2634" s="145"/>
      <c r="EZ2634" s="145"/>
      <c r="FA2634" s="145"/>
      <c r="FB2634" s="145"/>
      <c r="FC2634" s="145"/>
      <c r="FD2634" s="145"/>
      <c r="FE2634" s="145"/>
      <c r="FF2634" s="145"/>
      <c r="FG2634" s="145"/>
      <c r="FH2634" s="145"/>
      <c r="FI2634" s="145"/>
      <c r="FJ2634" s="145"/>
      <c r="FK2634" s="145"/>
      <c r="FL2634" s="145"/>
      <c r="FM2634" s="145"/>
      <c r="FN2634" s="145"/>
      <c r="FO2634" s="145"/>
      <c r="FP2634" s="145"/>
      <c r="FQ2634" s="145"/>
      <c r="FR2634" s="145"/>
      <c r="FS2634" s="145"/>
      <c r="FT2634" s="145"/>
      <c r="FU2634" s="145"/>
      <c r="FV2634" s="145"/>
      <c r="FW2634" s="145"/>
      <c r="FX2634" s="145"/>
      <c r="FY2634" s="145"/>
      <c r="FZ2634" s="145"/>
      <c r="GA2634" s="145"/>
      <c r="GB2634" s="145"/>
      <c r="GC2634" s="145"/>
      <c r="GD2634" s="145"/>
      <c r="GE2634" s="145"/>
      <c r="GF2634" s="145"/>
      <c r="GG2634" s="145"/>
      <c r="GH2634" s="145"/>
      <c r="GI2634" s="145"/>
      <c r="GJ2634" s="145"/>
      <c r="GK2634" s="145"/>
      <c r="GL2634" s="145"/>
      <c r="GM2634" s="145"/>
      <c r="GN2634" s="145"/>
      <c r="GO2634" s="145"/>
      <c r="GP2634" s="145"/>
      <c r="GQ2634" s="145"/>
      <c r="GR2634" s="145"/>
      <c r="GS2634" s="145"/>
      <c r="GT2634" s="145"/>
      <c r="GU2634" s="145"/>
      <c r="GV2634" s="145"/>
      <c r="GW2634" s="145"/>
      <c r="GX2634" s="145"/>
      <c r="GY2634" s="145"/>
      <c r="GZ2634" s="145"/>
      <c r="HA2634" s="145"/>
      <c r="HB2634" s="145"/>
      <c r="HC2634" s="145"/>
      <c r="HD2634" s="145"/>
      <c r="HE2634" s="145"/>
      <c r="HF2634" s="145"/>
      <c r="HG2634" s="145"/>
    </row>
    <row r="2635" spans="1:215" ht="46.5" x14ac:dyDescent="0.35">
      <c r="A2635" s="313"/>
      <c r="B2635" s="313"/>
      <c r="C2635" s="326"/>
      <c r="D2635" s="274"/>
      <c r="E2635" s="274"/>
      <c r="F2635" s="283"/>
      <c r="G2635" s="271"/>
      <c r="H2635" s="136" t="s">
        <v>673</v>
      </c>
      <c r="I2635" s="199">
        <f>51596.7+96*D2634</f>
        <v>84399.9</v>
      </c>
      <c r="J2635" s="199">
        <f>I2635/D2634</f>
        <v>247</v>
      </c>
      <c r="K2635" s="199">
        <f>151+96</f>
        <v>247</v>
      </c>
      <c r="L2635" s="145"/>
      <c r="M2635" s="145"/>
      <c r="N2635" s="145"/>
      <c r="O2635" s="145"/>
      <c r="P2635" s="145"/>
      <c r="Q2635" s="145"/>
      <c r="R2635" s="145"/>
      <c r="S2635" s="145"/>
      <c r="T2635" s="145"/>
      <c r="U2635" s="145"/>
      <c r="V2635" s="145"/>
      <c r="W2635" s="145"/>
      <c r="X2635" s="145"/>
      <c r="Y2635" s="145"/>
      <c r="Z2635" s="145"/>
      <c r="AA2635" s="145"/>
      <c r="AB2635" s="145"/>
      <c r="AC2635" s="145"/>
      <c r="AD2635" s="145"/>
      <c r="AE2635" s="145"/>
      <c r="AF2635" s="145"/>
      <c r="AG2635" s="145"/>
      <c r="AH2635" s="145"/>
      <c r="AI2635" s="145"/>
      <c r="AJ2635" s="145"/>
      <c r="AK2635" s="145"/>
      <c r="AL2635" s="145"/>
      <c r="AM2635" s="145"/>
      <c r="AN2635" s="145"/>
      <c r="AO2635" s="145"/>
      <c r="AP2635" s="145"/>
      <c r="AQ2635" s="145"/>
      <c r="AR2635" s="145"/>
      <c r="AS2635" s="145"/>
      <c r="AT2635" s="145"/>
      <c r="AU2635" s="145"/>
      <c r="AV2635" s="145"/>
      <c r="AW2635" s="145"/>
      <c r="AX2635" s="145"/>
      <c r="AY2635" s="145"/>
      <c r="AZ2635" s="145"/>
      <c r="BA2635" s="145"/>
      <c r="BB2635" s="145"/>
      <c r="BC2635" s="145"/>
      <c r="BD2635" s="145"/>
      <c r="BE2635" s="145"/>
      <c r="BF2635" s="145"/>
      <c r="BG2635" s="145"/>
      <c r="BH2635" s="145"/>
      <c r="BI2635" s="145"/>
      <c r="BJ2635" s="145"/>
      <c r="BK2635" s="145"/>
      <c r="BL2635" s="145"/>
      <c r="BM2635" s="145"/>
      <c r="BN2635" s="145"/>
      <c r="BO2635" s="145"/>
      <c r="BP2635" s="145"/>
      <c r="BQ2635" s="145"/>
      <c r="BR2635" s="145"/>
      <c r="BS2635" s="145"/>
      <c r="BT2635" s="145"/>
      <c r="BU2635" s="145"/>
      <c r="BV2635" s="145"/>
      <c r="BW2635" s="145"/>
      <c r="BX2635" s="145"/>
      <c r="BY2635" s="145"/>
      <c r="BZ2635" s="145"/>
      <c r="CA2635" s="145"/>
      <c r="CB2635" s="145"/>
      <c r="CC2635" s="145"/>
      <c r="CD2635" s="145"/>
      <c r="CE2635" s="145"/>
      <c r="CF2635" s="145"/>
      <c r="CG2635" s="145"/>
      <c r="CH2635" s="145"/>
      <c r="CI2635" s="145"/>
      <c r="CJ2635" s="145"/>
      <c r="CK2635" s="145"/>
      <c r="CL2635" s="145"/>
      <c r="CM2635" s="145"/>
      <c r="CN2635" s="145"/>
      <c r="CO2635" s="145"/>
      <c r="CP2635" s="145"/>
      <c r="CQ2635" s="145"/>
      <c r="CR2635" s="145"/>
      <c r="CS2635" s="145"/>
      <c r="CT2635" s="145"/>
      <c r="CU2635" s="145"/>
      <c r="CV2635" s="145"/>
      <c r="CW2635" s="145"/>
      <c r="CX2635" s="145"/>
      <c r="CY2635" s="145"/>
      <c r="CZ2635" s="145"/>
      <c r="DA2635" s="145"/>
      <c r="DB2635" s="145"/>
      <c r="DC2635" s="145"/>
      <c r="DD2635" s="145"/>
      <c r="DE2635" s="145"/>
      <c r="DF2635" s="145"/>
      <c r="DG2635" s="145"/>
      <c r="DH2635" s="145"/>
      <c r="DI2635" s="145"/>
      <c r="DJ2635" s="145"/>
      <c r="DK2635" s="145"/>
      <c r="DL2635" s="145"/>
      <c r="DM2635" s="145"/>
      <c r="DN2635" s="145"/>
      <c r="DO2635" s="145"/>
      <c r="DP2635" s="145"/>
      <c r="DQ2635" s="145"/>
      <c r="DR2635" s="145"/>
      <c r="DS2635" s="145"/>
      <c r="DT2635" s="145"/>
      <c r="DU2635" s="145"/>
      <c r="DV2635" s="145"/>
      <c r="DW2635" s="145"/>
      <c r="DX2635" s="145"/>
      <c r="DY2635" s="145"/>
      <c r="DZ2635" s="145"/>
      <c r="EA2635" s="145"/>
      <c r="EB2635" s="145"/>
      <c r="EC2635" s="145"/>
      <c r="ED2635" s="145"/>
      <c r="EE2635" s="145"/>
      <c r="EF2635" s="145"/>
      <c r="EG2635" s="145"/>
      <c r="EH2635" s="145"/>
      <c r="EI2635" s="145"/>
      <c r="EJ2635" s="145"/>
      <c r="EK2635" s="145"/>
      <c r="EL2635" s="145"/>
      <c r="EM2635" s="145"/>
      <c r="EN2635" s="145"/>
      <c r="EO2635" s="145"/>
      <c r="EP2635" s="145"/>
      <c r="EQ2635" s="145"/>
      <c r="ER2635" s="145"/>
      <c r="ES2635" s="145"/>
      <c r="ET2635" s="145"/>
      <c r="EU2635" s="145"/>
      <c r="EV2635" s="145"/>
      <c r="EW2635" s="145"/>
      <c r="EX2635" s="145"/>
      <c r="EY2635" s="145"/>
      <c r="EZ2635" s="145"/>
      <c r="FA2635" s="145"/>
      <c r="FB2635" s="145"/>
      <c r="FC2635" s="145"/>
      <c r="FD2635" s="145"/>
      <c r="FE2635" s="145"/>
      <c r="FF2635" s="145"/>
      <c r="FG2635" s="145"/>
      <c r="FH2635" s="145"/>
      <c r="FI2635" s="145"/>
      <c r="FJ2635" s="145"/>
      <c r="FK2635" s="145"/>
      <c r="FL2635" s="145"/>
      <c r="FM2635" s="145"/>
      <c r="FN2635" s="145"/>
      <c r="FO2635" s="145"/>
      <c r="FP2635" s="145"/>
      <c r="FQ2635" s="145"/>
      <c r="FR2635" s="145"/>
      <c r="FS2635" s="145"/>
      <c r="FT2635" s="145"/>
      <c r="FU2635" s="145"/>
      <c r="FV2635" s="145"/>
      <c r="FW2635" s="145"/>
      <c r="FX2635" s="145"/>
      <c r="FY2635" s="145"/>
      <c r="FZ2635" s="145"/>
      <c r="GA2635" s="145"/>
      <c r="GB2635" s="145"/>
      <c r="GC2635" s="145"/>
      <c r="GD2635" s="145"/>
      <c r="GE2635" s="145"/>
      <c r="GF2635" s="145"/>
      <c r="GG2635" s="145"/>
      <c r="GH2635" s="145"/>
      <c r="GI2635" s="145"/>
      <c r="GJ2635" s="145"/>
      <c r="GK2635" s="145"/>
      <c r="GL2635" s="145"/>
      <c r="GM2635" s="145"/>
      <c r="GN2635" s="145"/>
      <c r="GO2635" s="145"/>
      <c r="GP2635" s="145"/>
      <c r="GQ2635" s="145"/>
      <c r="GR2635" s="145"/>
      <c r="GS2635" s="145"/>
      <c r="GT2635" s="145"/>
      <c r="GU2635" s="145"/>
      <c r="GV2635" s="145"/>
      <c r="GW2635" s="145"/>
      <c r="GX2635" s="145"/>
      <c r="GY2635" s="145"/>
      <c r="GZ2635" s="145"/>
      <c r="HA2635" s="145"/>
      <c r="HB2635" s="145"/>
      <c r="HC2635" s="145"/>
      <c r="HD2635" s="145"/>
      <c r="HE2635" s="145"/>
      <c r="HF2635" s="145"/>
      <c r="HG2635" s="145"/>
    </row>
    <row r="2636" spans="1:215" x14ac:dyDescent="0.35">
      <c r="A2636" s="288">
        <f>A2634+1</f>
        <v>11</v>
      </c>
      <c r="B2636" s="314">
        <v>6835</v>
      </c>
      <c r="C2636" s="315" t="s">
        <v>617</v>
      </c>
      <c r="D2636" s="273">
        <v>356.8</v>
      </c>
      <c r="E2636" s="273" t="s">
        <v>74</v>
      </c>
      <c r="F2636" s="282">
        <v>2</v>
      </c>
      <c r="G2636" s="270" t="s">
        <v>71</v>
      </c>
      <c r="H2636" s="175" t="s">
        <v>72</v>
      </c>
      <c r="I2636" s="199">
        <f>I2637</f>
        <v>88129.59</v>
      </c>
      <c r="J2636" s="199">
        <f>J2637</f>
        <v>247</v>
      </c>
      <c r="K2636" s="199">
        <f>K2637</f>
        <v>247</v>
      </c>
      <c r="L2636" s="145"/>
      <c r="M2636" s="145"/>
      <c r="N2636" s="145"/>
      <c r="O2636" s="145"/>
      <c r="P2636" s="145"/>
      <c r="Q2636" s="145"/>
      <c r="R2636" s="145"/>
      <c r="S2636" s="145"/>
      <c r="T2636" s="145"/>
      <c r="U2636" s="145"/>
      <c r="V2636" s="145"/>
      <c r="W2636" s="145"/>
      <c r="X2636" s="145"/>
      <c r="Y2636" s="145"/>
      <c r="Z2636" s="145"/>
      <c r="AA2636" s="145"/>
      <c r="AB2636" s="145"/>
      <c r="AC2636" s="145"/>
      <c r="AD2636" s="145"/>
      <c r="AE2636" s="145"/>
      <c r="AF2636" s="145"/>
      <c r="AG2636" s="145"/>
      <c r="AH2636" s="145"/>
      <c r="AI2636" s="145"/>
      <c r="AJ2636" s="145"/>
      <c r="AK2636" s="145"/>
      <c r="AL2636" s="145"/>
      <c r="AM2636" s="145"/>
      <c r="AN2636" s="145"/>
      <c r="AO2636" s="145"/>
      <c r="AP2636" s="145"/>
      <c r="AQ2636" s="145"/>
      <c r="AR2636" s="145"/>
      <c r="AS2636" s="145"/>
      <c r="AT2636" s="145"/>
      <c r="AU2636" s="145"/>
      <c r="AV2636" s="145"/>
      <c r="AW2636" s="145"/>
      <c r="AX2636" s="145"/>
      <c r="AY2636" s="145"/>
      <c r="AZ2636" s="145"/>
      <c r="BA2636" s="145"/>
      <c r="BB2636" s="145"/>
      <c r="BC2636" s="145"/>
      <c r="BD2636" s="145"/>
      <c r="BE2636" s="145"/>
      <c r="BF2636" s="145"/>
      <c r="BG2636" s="145"/>
      <c r="BH2636" s="145"/>
      <c r="BI2636" s="145"/>
      <c r="BJ2636" s="145"/>
      <c r="BK2636" s="145"/>
      <c r="BL2636" s="145"/>
      <c r="BM2636" s="145"/>
      <c r="BN2636" s="145"/>
      <c r="BO2636" s="145"/>
      <c r="BP2636" s="145"/>
      <c r="BQ2636" s="145"/>
      <c r="BR2636" s="145"/>
      <c r="BS2636" s="145"/>
      <c r="BT2636" s="145"/>
      <c r="BU2636" s="145"/>
      <c r="BV2636" s="145"/>
      <c r="BW2636" s="145"/>
      <c r="BX2636" s="145"/>
      <c r="BY2636" s="145"/>
      <c r="BZ2636" s="145"/>
      <c r="CA2636" s="145"/>
      <c r="CB2636" s="145"/>
      <c r="CC2636" s="145"/>
      <c r="CD2636" s="145"/>
      <c r="CE2636" s="145"/>
      <c r="CF2636" s="145"/>
      <c r="CG2636" s="145"/>
      <c r="CH2636" s="145"/>
      <c r="CI2636" s="145"/>
      <c r="CJ2636" s="145"/>
      <c r="CK2636" s="145"/>
      <c r="CL2636" s="145"/>
      <c r="CM2636" s="145"/>
      <c r="CN2636" s="145"/>
      <c r="CO2636" s="145"/>
      <c r="CP2636" s="145"/>
      <c r="CQ2636" s="145"/>
      <c r="CR2636" s="145"/>
      <c r="CS2636" s="145"/>
      <c r="CT2636" s="145"/>
      <c r="CU2636" s="145"/>
      <c r="CV2636" s="145"/>
      <c r="CW2636" s="145"/>
      <c r="CX2636" s="145"/>
      <c r="CY2636" s="145"/>
      <c r="CZ2636" s="145"/>
      <c r="DA2636" s="145"/>
      <c r="DB2636" s="145"/>
      <c r="DC2636" s="145"/>
      <c r="DD2636" s="145"/>
      <c r="DE2636" s="145"/>
      <c r="DF2636" s="145"/>
      <c r="DG2636" s="145"/>
      <c r="DH2636" s="145"/>
      <c r="DI2636" s="145"/>
      <c r="DJ2636" s="145"/>
      <c r="DK2636" s="145"/>
      <c r="DL2636" s="145"/>
      <c r="DM2636" s="145"/>
      <c r="DN2636" s="145"/>
      <c r="DO2636" s="145"/>
      <c r="DP2636" s="145"/>
      <c r="DQ2636" s="145"/>
      <c r="DR2636" s="145"/>
      <c r="DS2636" s="145"/>
      <c r="DT2636" s="145"/>
      <c r="DU2636" s="145"/>
      <c r="DV2636" s="145"/>
      <c r="DW2636" s="145"/>
      <c r="DX2636" s="145"/>
      <c r="DY2636" s="145"/>
      <c r="DZ2636" s="145"/>
      <c r="EA2636" s="145"/>
      <c r="EB2636" s="145"/>
      <c r="EC2636" s="145"/>
      <c r="ED2636" s="145"/>
      <c r="EE2636" s="145"/>
      <c r="EF2636" s="145"/>
      <c r="EG2636" s="145"/>
      <c r="EH2636" s="145"/>
      <c r="EI2636" s="145"/>
      <c r="EJ2636" s="145"/>
      <c r="EK2636" s="145"/>
      <c r="EL2636" s="145"/>
      <c r="EM2636" s="145"/>
      <c r="EN2636" s="145"/>
      <c r="EO2636" s="145"/>
      <c r="EP2636" s="145"/>
      <c r="EQ2636" s="145"/>
      <c r="ER2636" s="145"/>
      <c r="ES2636" s="145"/>
      <c r="ET2636" s="145"/>
      <c r="EU2636" s="145"/>
      <c r="EV2636" s="145"/>
      <c r="EW2636" s="145"/>
      <c r="EX2636" s="145"/>
      <c r="EY2636" s="145"/>
      <c r="EZ2636" s="145"/>
      <c r="FA2636" s="145"/>
      <c r="FB2636" s="145"/>
      <c r="FC2636" s="145"/>
      <c r="FD2636" s="145"/>
      <c r="FE2636" s="145"/>
      <c r="FF2636" s="145"/>
      <c r="FG2636" s="145"/>
      <c r="FH2636" s="145"/>
      <c r="FI2636" s="145"/>
      <c r="FJ2636" s="145"/>
      <c r="FK2636" s="145"/>
      <c r="FL2636" s="145"/>
      <c r="FM2636" s="145"/>
      <c r="FN2636" s="145"/>
      <c r="FO2636" s="145"/>
      <c r="FP2636" s="145"/>
      <c r="FQ2636" s="145"/>
      <c r="FR2636" s="145"/>
      <c r="FS2636" s="145"/>
      <c r="FT2636" s="145"/>
      <c r="FU2636" s="145"/>
      <c r="FV2636" s="145"/>
      <c r="FW2636" s="145"/>
      <c r="FX2636" s="145"/>
      <c r="FY2636" s="145"/>
      <c r="FZ2636" s="145"/>
      <c r="GA2636" s="145"/>
      <c r="GB2636" s="145"/>
      <c r="GC2636" s="145"/>
      <c r="GD2636" s="145"/>
      <c r="GE2636" s="145"/>
      <c r="GF2636" s="145"/>
      <c r="GG2636" s="145"/>
      <c r="GH2636" s="145"/>
      <c r="GI2636" s="145"/>
      <c r="GJ2636" s="145"/>
      <c r="GK2636" s="145"/>
      <c r="GL2636" s="145"/>
      <c r="GM2636" s="145"/>
      <c r="GN2636" s="145"/>
      <c r="GO2636" s="145"/>
      <c r="GP2636" s="145"/>
      <c r="GQ2636" s="145"/>
      <c r="GR2636" s="145"/>
      <c r="GS2636" s="145"/>
      <c r="GT2636" s="145"/>
      <c r="GU2636" s="145"/>
      <c r="GV2636" s="145"/>
      <c r="GW2636" s="145"/>
      <c r="GX2636" s="145"/>
      <c r="GY2636" s="145"/>
      <c r="GZ2636" s="145"/>
      <c r="HA2636" s="145"/>
      <c r="HB2636" s="145"/>
      <c r="HC2636" s="145"/>
      <c r="HD2636" s="145"/>
      <c r="HE2636" s="145"/>
      <c r="HF2636" s="145"/>
      <c r="HG2636" s="145"/>
    </row>
    <row r="2637" spans="1:215" ht="46.5" x14ac:dyDescent="0.35">
      <c r="A2637" s="313"/>
      <c r="B2637" s="313"/>
      <c r="C2637" s="326"/>
      <c r="D2637" s="274"/>
      <c r="E2637" s="274"/>
      <c r="F2637" s="283"/>
      <c r="G2637" s="271"/>
      <c r="H2637" s="136" t="s">
        <v>673</v>
      </c>
      <c r="I2637" s="199">
        <f>53876.79+96*D2636</f>
        <v>88129.59</v>
      </c>
      <c r="J2637" s="199">
        <f>I2637/D2636</f>
        <v>247</v>
      </c>
      <c r="K2637" s="199">
        <f>151+96</f>
        <v>247</v>
      </c>
      <c r="L2637" s="145"/>
      <c r="M2637" s="145"/>
      <c r="N2637" s="145"/>
      <c r="O2637" s="145"/>
      <c r="P2637" s="145"/>
      <c r="Q2637" s="145"/>
      <c r="R2637" s="145"/>
      <c r="S2637" s="145"/>
      <c r="T2637" s="145"/>
      <c r="U2637" s="145"/>
      <c r="V2637" s="145"/>
      <c r="W2637" s="145"/>
      <c r="X2637" s="145"/>
      <c r="Y2637" s="145"/>
      <c r="Z2637" s="145"/>
      <c r="AA2637" s="145"/>
      <c r="AB2637" s="145"/>
      <c r="AC2637" s="145"/>
      <c r="AD2637" s="145"/>
      <c r="AE2637" s="145"/>
      <c r="AF2637" s="145"/>
      <c r="AG2637" s="145"/>
      <c r="AH2637" s="145"/>
      <c r="AI2637" s="145"/>
      <c r="AJ2637" s="145"/>
      <c r="AK2637" s="145"/>
      <c r="AL2637" s="145"/>
      <c r="AM2637" s="145"/>
      <c r="AN2637" s="145"/>
      <c r="AO2637" s="145"/>
      <c r="AP2637" s="145"/>
      <c r="AQ2637" s="145"/>
      <c r="AR2637" s="145"/>
      <c r="AS2637" s="145"/>
      <c r="AT2637" s="145"/>
      <c r="AU2637" s="145"/>
      <c r="AV2637" s="145"/>
      <c r="AW2637" s="145"/>
      <c r="AX2637" s="145"/>
      <c r="AY2637" s="145"/>
      <c r="AZ2637" s="145"/>
      <c r="BA2637" s="145"/>
      <c r="BB2637" s="145"/>
      <c r="BC2637" s="145"/>
      <c r="BD2637" s="145"/>
      <c r="BE2637" s="145"/>
      <c r="BF2637" s="145"/>
      <c r="BG2637" s="145"/>
      <c r="BH2637" s="145"/>
      <c r="BI2637" s="145"/>
      <c r="BJ2637" s="145"/>
      <c r="BK2637" s="145"/>
      <c r="BL2637" s="145"/>
      <c r="BM2637" s="145"/>
      <c r="BN2637" s="145"/>
      <c r="BO2637" s="145"/>
      <c r="BP2637" s="145"/>
      <c r="BQ2637" s="145"/>
      <c r="BR2637" s="145"/>
      <c r="BS2637" s="145"/>
      <c r="BT2637" s="145"/>
      <c r="BU2637" s="145"/>
      <c r="BV2637" s="145"/>
      <c r="BW2637" s="145"/>
      <c r="BX2637" s="145"/>
      <c r="BY2637" s="145"/>
      <c r="BZ2637" s="145"/>
      <c r="CA2637" s="145"/>
      <c r="CB2637" s="145"/>
      <c r="CC2637" s="145"/>
      <c r="CD2637" s="145"/>
      <c r="CE2637" s="145"/>
      <c r="CF2637" s="145"/>
      <c r="CG2637" s="145"/>
      <c r="CH2637" s="145"/>
      <c r="CI2637" s="145"/>
      <c r="CJ2637" s="145"/>
      <c r="CK2637" s="145"/>
      <c r="CL2637" s="145"/>
      <c r="CM2637" s="145"/>
      <c r="CN2637" s="145"/>
      <c r="CO2637" s="145"/>
      <c r="CP2637" s="145"/>
      <c r="CQ2637" s="145"/>
      <c r="CR2637" s="145"/>
      <c r="CS2637" s="145"/>
      <c r="CT2637" s="145"/>
      <c r="CU2637" s="145"/>
      <c r="CV2637" s="145"/>
      <c r="CW2637" s="145"/>
      <c r="CX2637" s="145"/>
      <c r="CY2637" s="145"/>
      <c r="CZ2637" s="145"/>
      <c r="DA2637" s="145"/>
      <c r="DB2637" s="145"/>
      <c r="DC2637" s="145"/>
      <c r="DD2637" s="145"/>
      <c r="DE2637" s="145"/>
      <c r="DF2637" s="145"/>
      <c r="DG2637" s="145"/>
      <c r="DH2637" s="145"/>
      <c r="DI2637" s="145"/>
      <c r="DJ2637" s="145"/>
      <c r="DK2637" s="145"/>
      <c r="DL2637" s="145"/>
      <c r="DM2637" s="145"/>
      <c r="DN2637" s="145"/>
      <c r="DO2637" s="145"/>
      <c r="DP2637" s="145"/>
      <c r="DQ2637" s="145"/>
      <c r="DR2637" s="145"/>
      <c r="DS2637" s="145"/>
      <c r="DT2637" s="145"/>
      <c r="DU2637" s="145"/>
      <c r="DV2637" s="145"/>
      <c r="DW2637" s="145"/>
      <c r="DX2637" s="145"/>
      <c r="DY2637" s="145"/>
      <c r="DZ2637" s="145"/>
      <c r="EA2637" s="145"/>
      <c r="EB2637" s="145"/>
      <c r="EC2637" s="145"/>
      <c r="ED2637" s="145"/>
      <c r="EE2637" s="145"/>
      <c r="EF2637" s="145"/>
      <c r="EG2637" s="145"/>
      <c r="EH2637" s="145"/>
      <c r="EI2637" s="145"/>
      <c r="EJ2637" s="145"/>
      <c r="EK2637" s="145"/>
      <c r="EL2637" s="145"/>
      <c r="EM2637" s="145"/>
      <c r="EN2637" s="145"/>
      <c r="EO2637" s="145"/>
      <c r="EP2637" s="145"/>
      <c r="EQ2637" s="145"/>
      <c r="ER2637" s="145"/>
      <c r="ES2637" s="145"/>
      <c r="ET2637" s="145"/>
      <c r="EU2637" s="145"/>
      <c r="EV2637" s="145"/>
      <c r="EW2637" s="145"/>
      <c r="EX2637" s="145"/>
      <c r="EY2637" s="145"/>
      <c r="EZ2637" s="145"/>
      <c r="FA2637" s="145"/>
      <c r="FB2637" s="145"/>
      <c r="FC2637" s="145"/>
      <c r="FD2637" s="145"/>
      <c r="FE2637" s="145"/>
      <c r="FF2637" s="145"/>
      <c r="FG2637" s="145"/>
      <c r="FH2637" s="145"/>
      <c r="FI2637" s="145"/>
      <c r="FJ2637" s="145"/>
      <c r="FK2637" s="145"/>
      <c r="FL2637" s="145"/>
      <c r="FM2637" s="145"/>
      <c r="FN2637" s="145"/>
      <c r="FO2637" s="145"/>
      <c r="FP2637" s="145"/>
      <c r="FQ2637" s="145"/>
      <c r="FR2637" s="145"/>
      <c r="FS2637" s="145"/>
      <c r="FT2637" s="145"/>
      <c r="FU2637" s="145"/>
      <c r="FV2637" s="145"/>
      <c r="FW2637" s="145"/>
      <c r="FX2637" s="145"/>
      <c r="FY2637" s="145"/>
      <c r="FZ2637" s="145"/>
      <c r="GA2637" s="145"/>
      <c r="GB2637" s="145"/>
      <c r="GC2637" s="145"/>
      <c r="GD2637" s="145"/>
      <c r="GE2637" s="145"/>
      <c r="GF2637" s="145"/>
      <c r="GG2637" s="145"/>
      <c r="GH2637" s="145"/>
      <c r="GI2637" s="145"/>
      <c r="GJ2637" s="145"/>
      <c r="GK2637" s="145"/>
      <c r="GL2637" s="145"/>
      <c r="GM2637" s="145"/>
      <c r="GN2637" s="145"/>
      <c r="GO2637" s="145"/>
      <c r="GP2637" s="145"/>
      <c r="GQ2637" s="145"/>
      <c r="GR2637" s="145"/>
      <c r="GS2637" s="145"/>
      <c r="GT2637" s="145"/>
      <c r="GU2637" s="145"/>
      <c r="GV2637" s="145"/>
      <c r="GW2637" s="145"/>
      <c r="GX2637" s="145"/>
      <c r="GY2637" s="145"/>
      <c r="GZ2637" s="145"/>
      <c r="HA2637" s="145"/>
      <c r="HB2637" s="145"/>
      <c r="HC2637" s="145"/>
      <c r="HD2637" s="145"/>
    </row>
    <row r="2638" spans="1:215" x14ac:dyDescent="0.35">
      <c r="A2638" s="288">
        <f>A2636+1</f>
        <v>12</v>
      </c>
      <c r="B2638" s="288">
        <v>6831</v>
      </c>
      <c r="C2638" s="278" t="s">
        <v>470</v>
      </c>
      <c r="D2638" s="273">
        <v>3997.52</v>
      </c>
      <c r="E2638" s="273" t="s">
        <v>70</v>
      </c>
      <c r="F2638" s="282">
        <v>5</v>
      </c>
      <c r="G2638" s="270" t="s">
        <v>71</v>
      </c>
      <c r="H2638" s="136" t="s">
        <v>72</v>
      </c>
      <c r="I2638" s="181">
        <f>I2639+I2640</f>
        <v>7992641.2800000003</v>
      </c>
      <c r="J2638" s="181">
        <f>J2639+J2640</f>
        <v>1999.4</v>
      </c>
      <c r="K2638" s="181">
        <f>K2639+K2640</f>
        <v>3242</v>
      </c>
      <c r="L2638" s="145"/>
      <c r="M2638" s="145"/>
      <c r="N2638" s="145"/>
      <c r="O2638" s="145"/>
      <c r="P2638" s="145"/>
      <c r="Q2638" s="145"/>
      <c r="R2638" s="145"/>
      <c r="S2638" s="145"/>
      <c r="T2638" s="145"/>
      <c r="U2638" s="145"/>
      <c r="V2638" s="145"/>
      <c r="W2638" s="145"/>
      <c r="X2638" s="145"/>
      <c r="Y2638" s="145"/>
      <c r="Z2638" s="145"/>
      <c r="AA2638" s="145"/>
      <c r="AB2638" s="145"/>
      <c r="AC2638" s="145"/>
      <c r="AD2638" s="145"/>
      <c r="AE2638" s="145"/>
      <c r="AF2638" s="145"/>
      <c r="AG2638" s="145"/>
      <c r="AH2638" s="145"/>
      <c r="AI2638" s="145"/>
      <c r="AJ2638" s="145"/>
      <c r="AK2638" s="145"/>
      <c r="AL2638" s="145"/>
      <c r="AM2638" s="145"/>
      <c r="AN2638" s="145"/>
      <c r="AO2638" s="145"/>
      <c r="AP2638" s="145"/>
      <c r="AQ2638" s="145"/>
      <c r="AR2638" s="145"/>
      <c r="AS2638" s="145"/>
      <c r="AT2638" s="145"/>
      <c r="AU2638" s="145"/>
      <c r="AV2638" s="145"/>
      <c r="AW2638" s="145"/>
      <c r="AX2638" s="145"/>
      <c r="AY2638" s="145"/>
      <c r="AZ2638" s="145"/>
      <c r="BA2638" s="145"/>
      <c r="BB2638" s="145"/>
      <c r="BC2638" s="145"/>
      <c r="BD2638" s="145"/>
      <c r="BE2638" s="145"/>
      <c r="BF2638" s="145"/>
      <c r="BG2638" s="145"/>
      <c r="BH2638" s="145"/>
      <c r="BI2638" s="145"/>
      <c r="BJ2638" s="145"/>
      <c r="BK2638" s="145"/>
      <c r="BL2638" s="145"/>
      <c r="BM2638" s="145"/>
      <c r="BN2638" s="145"/>
      <c r="BO2638" s="145"/>
      <c r="BP2638" s="145"/>
      <c r="BQ2638" s="145"/>
      <c r="BR2638" s="145"/>
      <c r="BS2638" s="145"/>
      <c r="BT2638" s="145"/>
      <c r="BU2638" s="145"/>
      <c r="BV2638" s="145"/>
      <c r="BW2638" s="145"/>
      <c r="BX2638" s="145"/>
      <c r="BY2638" s="145"/>
      <c r="BZ2638" s="145"/>
      <c r="CA2638" s="145"/>
      <c r="CB2638" s="145"/>
      <c r="CC2638" s="145"/>
      <c r="CD2638" s="145"/>
      <c r="CE2638" s="145"/>
      <c r="CF2638" s="145"/>
      <c r="CG2638" s="145"/>
      <c r="CH2638" s="145"/>
      <c r="CI2638" s="145"/>
      <c r="CJ2638" s="145"/>
      <c r="CK2638" s="145"/>
      <c r="CL2638" s="145"/>
      <c r="CM2638" s="145"/>
      <c r="CN2638" s="145"/>
      <c r="CO2638" s="145"/>
      <c r="CP2638" s="145"/>
      <c r="CQ2638" s="145"/>
      <c r="CR2638" s="145"/>
      <c r="CS2638" s="145"/>
      <c r="CT2638" s="145"/>
      <c r="CU2638" s="145"/>
      <c r="CV2638" s="145"/>
      <c r="CW2638" s="145"/>
      <c r="CX2638" s="145"/>
      <c r="CY2638" s="145"/>
      <c r="CZ2638" s="145"/>
      <c r="DA2638" s="145"/>
      <c r="DB2638" s="145"/>
      <c r="DC2638" s="145"/>
      <c r="DD2638" s="145"/>
      <c r="DE2638" s="145"/>
      <c r="DF2638" s="145"/>
      <c r="DG2638" s="145"/>
      <c r="DH2638" s="145"/>
      <c r="DI2638" s="145"/>
      <c r="DJ2638" s="145"/>
      <c r="DK2638" s="145"/>
      <c r="DL2638" s="145"/>
      <c r="DM2638" s="145"/>
      <c r="DN2638" s="145"/>
      <c r="DO2638" s="145"/>
      <c r="DP2638" s="145"/>
      <c r="DQ2638" s="145"/>
      <c r="DR2638" s="145"/>
      <c r="DS2638" s="145"/>
      <c r="DT2638" s="145"/>
      <c r="DU2638" s="145"/>
      <c r="DV2638" s="145"/>
      <c r="DW2638" s="145"/>
      <c r="DX2638" s="145"/>
      <c r="DY2638" s="145"/>
      <c r="DZ2638" s="145"/>
      <c r="EA2638" s="145"/>
      <c r="EB2638" s="145"/>
      <c r="EC2638" s="145"/>
      <c r="ED2638" s="145"/>
      <c r="EE2638" s="145"/>
      <c r="EF2638" s="145"/>
      <c r="EG2638" s="145"/>
      <c r="EH2638" s="145"/>
      <c r="EI2638" s="145"/>
      <c r="EJ2638" s="145"/>
      <c r="EK2638" s="145"/>
      <c r="EL2638" s="145"/>
      <c r="EM2638" s="145"/>
      <c r="EN2638" s="145"/>
      <c r="EO2638" s="145"/>
      <c r="EP2638" s="145"/>
      <c r="EQ2638" s="145"/>
      <c r="ER2638" s="145"/>
      <c r="ES2638" s="145"/>
      <c r="ET2638" s="145"/>
      <c r="EU2638" s="145"/>
      <c r="EV2638" s="145"/>
      <c r="EW2638" s="145"/>
      <c r="EX2638" s="145"/>
      <c r="EY2638" s="145"/>
      <c r="EZ2638" s="145"/>
      <c r="FA2638" s="145"/>
      <c r="FB2638" s="145"/>
      <c r="FC2638" s="145"/>
      <c r="FD2638" s="145"/>
      <c r="FE2638" s="145"/>
      <c r="FF2638" s="145"/>
      <c r="FG2638" s="145"/>
      <c r="FH2638" s="145"/>
      <c r="FI2638" s="145"/>
      <c r="FJ2638" s="145"/>
      <c r="FK2638" s="145"/>
      <c r="FL2638" s="145"/>
      <c r="FM2638" s="145"/>
      <c r="FN2638" s="145"/>
      <c r="FO2638" s="145"/>
      <c r="FP2638" s="145"/>
      <c r="FQ2638" s="145"/>
      <c r="FR2638" s="145"/>
      <c r="FS2638" s="145"/>
      <c r="FT2638" s="145"/>
      <c r="FU2638" s="145"/>
      <c r="FV2638" s="145"/>
      <c r="FW2638" s="145"/>
      <c r="FX2638" s="145"/>
      <c r="FY2638" s="145"/>
      <c r="FZ2638" s="145"/>
      <c r="GA2638" s="145"/>
      <c r="GB2638" s="145"/>
      <c r="GC2638" s="145"/>
      <c r="GD2638" s="145"/>
      <c r="GE2638" s="145"/>
      <c r="GF2638" s="145"/>
      <c r="GG2638" s="145"/>
      <c r="GH2638" s="145"/>
      <c r="GI2638" s="145"/>
      <c r="GJ2638" s="145"/>
      <c r="GK2638" s="145"/>
      <c r="GL2638" s="145"/>
      <c r="GM2638" s="145"/>
      <c r="GN2638" s="145"/>
      <c r="GO2638" s="145"/>
      <c r="GP2638" s="145"/>
      <c r="GQ2638" s="145"/>
      <c r="GR2638" s="145"/>
      <c r="GS2638" s="145"/>
      <c r="GT2638" s="145"/>
      <c r="GU2638" s="145"/>
      <c r="GV2638" s="145"/>
      <c r="GW2638" s="145"/>
      <c r="GX2638" s="145"/>
      <c r="GY2638" s="145"/>
      <c r="GZ2638" s="145"/>
      <c r="HA2638" s="145"/>
      <c r="HB2638" s="145"/>
      <c r="HC2638" s="145"/>
      <c r="HD2638" s="145"/>
    </row>
    <row r="2639" spans="1:215" x14ac:dyDescent="0.35">
      <c r="A2639" s="289"/>
      <c r="B2639" s="289"/>
      <c r="C2639" s="279"/>
      <c r="D2639" s="274"/>
      <c r="E2639" s="274"/>
      <c r="F2639" s="283"/>
      <c r="G2639" s="271"/>
      <c r="H2639" s="136" t="s">
        <v>73</v>
      </c>
      <c r="I2639" s="181">
        <f>11081125.14*0.7</f>
        <v>7756787.5999999996</v>
      </c>
      <c r="J2639" s="181">
        <f>I2639/D2638</f>
        <v>1940.4</v>
      </c>
      <c r="K2639" s="181">
        <v>3174</v>
      </c>
      <c r="L2639" s="145"/>
      <c r="M2639" s="145"/>
      <c r="N2639" s="145"/>
      <c r="O2639" s="145"/>
      <c r="P2639" s="145"/>
      <c r="Q2639" s="145"/>
      <c r="R2639" s="145"/>
      <c r="S2639" s="145"/>
      <c r="T2639" s="145"/>
      <c r="U2639" s="145"/>
      <c r="V2639" s="145"/>
      <c r="W2639" s="145"/>
      <c r="X2639" s="145"/>
      <c r="Y2639" s="145"/>
      <c r="Z2639" s="145"/>
      <c r="AA2639" s="145"/>
      <c r="AB2639" s="145"/>
      <c r="AC2639" s="145"/>
      <c r="AD2639" s="145"/>
      <c r="AE2639" s="145"/>
      <c r="AF2639" s="145"/>
      <c r="AG2639" s="145"/>
      <c r="AH2639" s="145"/>
      <c r="AI2639" s="145"/>
      <c r="AJ2639" s="145"/>
      <c r="AK2639" s="145"/>
      <c r="AL2639" s="145"/>
      <c r="AM2639" s="145"/>
      <c r="AN2639" s="145"/>
      <c r="AO2639" s="145"/>
      <c r="AP2639" s="145"/>
      <c r="AQ2639" s="145"/>
      <c r="AR2639" s="145"/>
      <c r="AS2639" s="145"/>
      <c r="AT2639" s="145"/>
      <c r="AU2639" s="145"/>
      <c r="AV2639" s="145"/>
      <c r="AW2639" s="145"/>
      <c r="AX2639" s="145"/>
      <c r="AY2639" s="145"/>
      <c r="AZ2639" s="145"/>
      <c r="BA2639" s="145"/>
      <c r="BB2639" s="145"/>
      <c r="BC2639" s="145"/>
      <c r="BD2639" s="145"/>
      <c r="BE2639" s="145"/>
      <c r="BF2639" s="145"/>
      <c r="BG2639" s="145"/>
      <c r="BH2639" s="145"/>
      <c r="BI2639" s="145"/>
      <c r="BJ2639" s="145"/>
      <c r="BK2639" s="145"/>
      <c r="BL2639" s="145"/>
      <c r="BM2639" s="145"/>
      <c r="BN2639" s="145"/>
      <c r="BO2639" s="145"/>
      <c r="BP2639" s="145"/>
      <c r="BQ2639" s="145"/>
      <c r="BR2639" s="145"/>
      <c r="BS2639" s="145"/>
      <c r="BT2639" s="145"/>
      <c r="BU2639" s="145"/>
      <c r="BV2639" s="145"/>
      <c r="BW2639" s="145"/>
      <c r="BX2639" s="145"/>
      <c r="BY2639" s="145"/>
      <c r="BZ2639" s="145"/>
      <c r="CA2639" s="145"/>
      <c r="CB2639" s="145"/>
      <c r="CC2639" s="145"/>
      <c r="CD2639" s="145"/>
      <c r="CE2639" s="145"/>
      <c r="CF2639" s="145"/>
      <c r="CG2639" s="145"/>
      <c r="CH2639" s="145"/>
      <c r="CI2639" s="145"/>
      <c r="CJ2639" s="145"/>
      <c r="CK2639" s="145"/>
      <c r="CL2639" s="145"/>
      <c r="CM2639" s="145"/>
      <c r="CN2639" s="145"/>
      <c r="CO2639" s="145"/>
      <c r="CP2639" s="145"/>
      <c r="CQ2639" s="145"/>
      <c r="CR2639" s="145"/>
      <c r="CS2639" s="145"/>
      <c r="CT2639" s="145"/>
      <c r="CU2639" s="145"/>
      <c r="CV2639" s="145"/>
      <c r="CW2639" s="145"/>
      <c r="CX2639" s="145"/>
      <c r="CY2639" s="145"/>
      <c r="CZ2639" s="145"/>
      <c r="DA2639" s="145"/>
      <c r="DB2639" s="145"/>
      <c r="DC2639" s="145"/>
      <c r="DD2639" s="145"/>
      <c r="DE2639" s="145"/>
      <c r="DF2639" s="145"/>
      <c r="DG2639" s="145"/>
      <c r="DH2639" s="145"/>
      <c r="DI2639" s="145"/>
      <c r="DJ2639" s="145"/>
      <c r="DK2639" s="145"/>
      <c r="DL2639" s="145"/>
      <c r="DM2639" s="145"/>
      <c r="DN2639" s="145"/>
      <c r="DO2639" s="145"/>
      <c r="DP2639" s="145"/>
      <c r="DQ2639" s="145"/>
      <c r="DR2639" s="145"/>
      <c r="DS2639" s="145"/>
      <c r="DT2639" s="145"/>
      <c r="DU2639" s="145"/>
      <c r="DV2639" s="145"/>
      <c r="DW2639" s="145"/>
      <c r="DX2639" s="145"/>
      <c r="DY2639" s="145"/>
      <c r="DZ2639" s="145"/>
      <c r="EA2639" s="145"/>
      <c r="EB2639" s="145"/>
      <c r="EC2639" s="145"/>
      <c r="ED2639" s="145"/>
      <c r="EE2639" s="145"/>
      <c r="EF2639" s="145"/>
      <c r="EG2639" s="145"/>
      <c r="EH2639" s="145"/>
      <c r="EI2639" s="145"/>
      <c r="EJ2639" s="145"/>
      <c r="EK2639" s="145"/>
      <c r="EL2639" s="145"/>
      <c r="EM2639" s="145"/>
      <c r="EN2639" s="145"/>
      <c r="EO2639" s="145"/>
      <c r="EP2639" s="145"/>
      <c r="EQ2639" s="145"/>
      <c r="ER2639" s="145"/>
      <c r="ES2639" s="145"/>
      <c r="ET2639" s="145"/>
      <c r="EU2639" s="145"/>
      <c r="EV2639" s="145"/>
      <c r="EW2639" s="145"/>
      <c r="EX2639" s="145"/>
      <c r="EY2639" s="145"/>
      <c r="EZ2639" s="145"/>
      <c r="FA2639" s="145"/>
      <c r="FB2639" s="145"/>
      <c r="FC2639" s="145"/>
      <c r="FD2639" s="145"/>
      <c r="FE2639" s="145"/>
      <c r="FF2639" s="145"/>
      <c r="FG2639" s="145"/>
      <c r="FH2639" s="145"/>
      <c r="FI2639" s="145"/>
      <c r="FJ2639" s="145"/>
      <c r="FK2639" s="145"/>
      <c r="FL2639" s="145"/>
      <c r="FM2639" s="145"/>
      <c r="FN2639" s="145"/>
      <c r="FO2639" s="145"/>
      <c r="FP2639" s="145"/>
      <c r="FQ2639" s="145"/>
      <c r="FR2639" s="145"/>
      <c r="FS2639" s="145"/>
      <c r="FT2639" s="145"/>
      <c r="FU2639" s="145"/>
      <c r="FV2639" s="145"/>
      <c r="FW2639" s="145"/>
      <c r="FX2639" s="145"/>
      <c r="FY2639" s="145"/>
      <c r="FZ2639" s="145"/>
      <c r="GA2639" s="145"/>
      <c r="GB2639" s="145"/>
      <c r="GC2639" s="145"/>
      <c r="GD2639" s="145"/>
      <c r="GE2639" s="145"/>
      <c r="GF2639" s="145"/>
      <c r="GG2639" s="145"/>
      <c r="GH2639" s="145"/>
      <c r="GI2639" s="145"/>
      <c r="GJ2639" s="145"/>
      <c r="GK2639" s="145"/>
      <c r="GL2639" s="145"/>
      <c r="GM2639" s="145"/>
      <c r="GN2639" s="145"/>
      <c r="GO2639" s="145"/>
      <c r="GP2639" s="145"/>
      <c r="GQ2639" s="145"/>
      <c r="GR2639" s="145"/>
      <c r="GS2639" s="145"/>
      <c r="GT2639" s="145"/>
      <c r="GU2639" s="145"/>
      <c r="GV2639" s="145"/>
      <c r="GW2639" s="145"/>
      <c r="GX2639" s="145"/>
      <c r="GY2639" s="145"/>
      <c r="GZ2639" s="145"/>
      <c r="HA2639" s="145"/>
      <c r="HB2639" s="145"/>
      <c r="HC2639" s="145"/>
      <c r="HD2639" s="145"/>
    </row>
    <row r="2640" spans="1:215" x14ac:dyDescent="0.35">
      <c r="A2640" s="290"/>
      <c r="B2640" s="290"/>
      <c r="C2640" s="285"/>
      <c r="D2640" s="275"/>
      <c r="E2640" s="275"/>
      <c r="F2640" s="284"/>
      <c r="G2640" s="272"/>
      <c r="H2640" s="136" t="s">
        <v>75</v>
      </c>
      <c r="I2640" s="181">
        <v>235853.68</v>
      </c>
      <c r="J2640" s="181">
        <f>I2640/D2638</f>
        <v>59</v>
      </c>
      <c r="K2640" s="181">
        <v>68</v>
      </c>
      <c r="L2640" s="145"/>
      <c r="M2640" s="145"/>
      <c r="N2640" s="145"/>
      <c r="O2640" s="145"/>
      <c r="P2640" s="145"/>
      <c r="Q2640" s="145"/>
      <c r="R2640" s="145"/>
      <c r="S2640" s="145"/>
      <c r="T2640" s="145"/>
      <c r="U2640" s="145"/>
      <c r="V2640" s="145"/>
      <c r="W2640" s="145"/>
      <c r="X2640" s="145"/>
      <c r="Y2640" s="145"/>
      <c r="Z2640" s="145"/>
      <c r="AA2640" s="145"/>
      <c r="AB2640" s="145"/>
      <c r="AC2640" s="145"/>
      <c r="AD2640" s="145"/>
      <c r="AE2640" s="145"/>
      <c r="AF2640" s="145"/>
      <c r="AG2640" s="145"/>
      <c r="AH2640" s="145"/>
      <c r="AI2640" s="145"/>
      <c r="AJ2640" s="145"/>
      <c r="AK2640" s="145"/>
      <c r="AL2640" s="145"/>
      <c r="AM2640" s="145"/>
      <c r="AN2640" s="145"/>
      <c r="AO2640" s="145"/>
      <c r="AP2640" s="145"/>
      <c r="AQ2640" s="145"/>
      <c r="AR2640" s="145"/>
      <c r="AS2640" s="145"/>
      <c r="AT2640" s="145"/>
      <c r="AU2640" s="145"/>
      <c r="AV2640" s="145"/>
      <c r="AW2640" s="145"/>
      <c r="AX2640" s="145"/>
      <c r="AY2640" s="145"/>
      <c r="AZ2640" s="145"/>
      <c r="BA2640" s="145"/>
      <c r="BB2640" s="145"/>
      <c r="BC2640" s="145"/>
      <c r="BD2640" s="145"/>
      <c r="BE2640" s="145"/>
      <c r="BF2640" s="145"/>
      <c r="BG2640" s="145"/>
      <c r="BH2640" s="145"/>
      <c r="BI2640" s="145"/>
      <c r="BJ2640" s="145"/>
      <c r="BK2640" s="145"/>
      <c r="BL2640" s="145"/>
      <c r="BM2640" s="145"/>
      <c r="BN2640" s="145"/>
      <c r="BO2640" s="145"/>
      <c r="BP2640" s="145"/>
      <c r="BQ2640" s="145"/>
      <c r="BR2640" s="145"/>
      <c r="BS2640" s="145"/>
      <c r="BT2640" s="145"/>
      <c r="BU2640" s="145"/>
      <c r="BV2640" s="145"/>
      <c r="BW2640" s="145"/>
      <c r="BX2640" s="145"/>
      <c r="BY2640" s="145"/>
      <c r="BZ2640" s="145"/>
      <c r="CA2640" s="145"/>
      <c r="CB2640" s="145"/>
      <c r="CC2640" s="145"/>
      <c r="CD2640" s="145"/>
      <c r="CE2640" s="145"/>
      <c r="CF2640" s="145"/>
      <c r="CG2640" s="145"/>
      <c r="CH2640" s="145"/>
      <c r="CI2640" s="145"/>
      <c r="CJ2640" s="145"/>
      <c r="CK2640" s="145"/>
      <c r="CL2640" s="145"/>
      <c r="CM2640" s="145"/>
      <c r="CN2640" s="145"/>
      <c r="CO2640" s="145"/>
      <c r="CP2640" s="145"/>
      <c r="CQ2640" s="145"/>
      <c r="CR2640" s="145"/>
      <c r="CS2640" s="145"/>
      <c r="CT2640" s="145"/>
      <c r="CU2640" s="145"/>
      <c r="CV2640" s="145"/>
      <c r="CW2640" s="145"/>
      <c r="CX2640" s="145"/>
      <c r="CY2640" s="145"/>
      <c r="CZ2640" s="145"/>
      <c r="DA2640" s="145"/>
      <c r="DB2640" s="145"/>
      <c r="DC2640" s="145"/>
      <c r="DD2640" s="145"/>
      <c r="DE2640" s="145"/>
      <c r="DF2640" s="145"/>
      <c r="DG2640" s="145"/>
      <c r="DH2640" s="145"/>
      <c r="DI2640" s="145"/>
      <c r="DJ2640" s="145"/>
      <c r="DK2640" s="145"/>
      <c r="DL2640" s="145"/>
      <c r="DM2640" s="145"/>
      <c r="DN2640" s="145"/>
      <c r="DO2640" s="145"/>
      <c r="DP2640" s="145"/>
      <c r="DQ2640" s="145"/>
      <c r="DR2640" s="145"/>
      <c r="DS2640" s="145"/>
      <c r="DT2640" s="145"/>
      <c r="DU2640" s="145"/>
      <c r="DV2640" s="145"/>
      <c r="DW2640" s="145"/>
      <c r="DX2640" s="145"/>
      <c r="DY2640" s="145"/>
      <c r="DZ2640" s="145"/>
      <c r="EA2640" s="145"/>
      <c r="EB2640" s="145"/>
      <c r="EC2640" s="145"/>
      <c r="ED2640" s="145"/>
      <c r="EE2640" s="145"/>
      <c r="EF2640" s="145"/>
      <c r="EG2640" s="145"/>
      <c r="EH2640" s="145"/>
      <c r="EI2640" s="145"/>
      <c r="EJ2640" s="145"/>
      <c r="EK2640" s="145"/>
      <c r="EL2640" s="145"/>
      <c r="EM2640" s="145"/>
      <c r="EN2640" s="145"/>
      <c r="EO2640" s="145"/>
      <c r="EP2640" s="145"/>
      <c r="EQ2640" s="145"/>
      <c r="ER2640" s="145"/>
      <c r="ES2640" s="145"/>
      <c r="ET2640" s="145"/>
      <c r="EU2640" s="145"/>
      <c r="EV2640" s="145"/>
      <c r="EW2640" s="145"/>
      <c r="EX2640" s="145"/>
      <c r="EY2640" s="145"/>
      <c r="EZ2640" s="145"/>
      <c r="FA2640" s="145"/>
      <c r="FB2640" s="145"/>
      <c r="FC2640" s="145"/>
      <c r="FD2640" s="145"/>
      <c r="FE2640" s="145"/>
      <c r="FF2640" s="145"/>
      <c r="FG2640" s="145"/>
      <c r="FH2640" s="145"/>
      <c r="FI2640" s="145"/>
      <c r="FJ2640" s="145"/>
      <c r="FK2640" s="145"/>
      <c r="FL2640" s="145"/>
      <c r="FM2640" s="145"/>
      <c r="FN2640" s="145"/>
      <c r="FO2640" s="145"/>
      <c r="FP2640" s="145"/>
      <c r="FQ2640" s="145"/>
      <c r="FR2640" s="145"/>
      <c r="FS2640" s="145"/>
      <c r="FT2640" s="145"/>
      <c r="FU2640" s="145"/>
      <c r="FV2640" s="145"/>
      <c r="FW2640" s="145"/>
      <c r="FX2640" s="145"/>
      <c r="FY2640" s="145"/>
      <c r="FZ2640" s="145"/>
      <c r="GA2640" s="145"/>
      <c r="GB2640" s="145"/>
      <c r="GC2640" s="145"/>
      <c r="GD2640" s="145"/>
      <c r="GE2640" s="145"/>
      <c r="GF2640" s="145"/>
      <c r="GG2640" s="145"/>
      <c r="GH2640" s="145"/>
      <c r="GI2640" s="145"/>
      <c r="GJ2640" s="145"/>
      <c r="GK2640" s="145"/>
      <c r="GL2640" s="145"/>
      <c r="GM2640" s="145"/>
      <c r="GN2640" s="145"/>
      <c r="GO2640" s="145"/>
      <c r="GP2640" s="145"/>
      <c r="GQ2640" s="145"/>
      <c r="GR2640" s="145"/>
      <c r="GS2640" s="145"/>
      <c r="GT2640" s="145"/>
      <c r="GU2640" s="145"/>
      <c r="GV2640" s="145"/>
      <c r="GW2640" s="145"/>
      <c r="GX2640" s="145"/>
      <c r="GY2640" s="145"/>
      <c r="GZ2640" s="145"/>
      <c r="HA2640" s="145"/>
      <c r="HB2640" s="145"/>
      <c r="HC2640" s="145"/>
      <c r="HD2640" s="145"/>
    </row>
    <row r="2641" spans="1:214" x14ac:dyDescent="0.35">
      <c r="A2641" s="288">
        <f>A2638+1</f>
        <v>13</v>
      </c>
      <c r="B2641" s="288">
        <v>6832</v>
      </c>
      <c r="C2641" s="278" t="s">
        <v>471</v>
      </c>
      <c r="D2641" s="273">
        <v>2867.33</v>
      </c>
      <c r="E2641" s="273" t="s">
        <v>74</v>
      </c>
      <c r="F2641" s="282">
        <v>5</v>
      </c>
      <c r="G2641" s="270" t="s">
        <v>71</v>
      </c>
      <c r="H2641" s="136" t="s">
        <v>72</v>
      </c>
      <c r="I2641" s="181">
        <f>I2642+I2643</f>
        <v>5303820.03</v>
      </c>
      <c r="J2641" s="181">
        <f>J2642+J2643</f>
        <v>1849.74</v>
      </c>
      <c r="K2641" s="181">
        <f>K2642+K2643</f>
        <v>3242</v>
      </c>
      <c r="L2641" s="152"/>
      <c r="M2641" s="152"/>
      <c r="N2641" s="152"/>
      <c r="O2641" s="152"/>
      <c r="P2641" s="152"/>
      <c r="Q2641" s="152"/>
      <c r="R2641" s="152"/>
      <c r="S2641" s="152"/>
      <c r="T2641" s="152"/>
      <c r="U2641" s="152"/>
      <c r="V2641" s="152"/>
      <c r="W2641" s="152"/>
      <c r="X2641" s="152"/>
      <c r="Y2641" s="152"/>
      <c r="Z2641" s="152"/>
      <c r="AA2641" s="152"/>
      <c r="AB2641" s="152"/>
      <c r="AC2641" s="152"/>
      <c r="AD2641" s="152"/>
      <c r="AE2641" s="152"/>
      <c r="AF2641" s="152"/>
      <c r="AG2641" s="152"/>
      <c r="AH2641" s="152"/>
      <c r="AI2641" s="152"/>
      <c r="AJ2641" s="152"/>
      <c r="AK2641" s="152"/>
      <c r="AL2641" s="152"/>
      <c r="AM2641" s="152"/>
      <c r="AN2641" s="152"/>
      <c r="AO2641" s="152"/>
      <c r="AP2641" s="152"/>
      <c r="AQ2641" s="152"/>
      <c r="AR2641" s="152"/>
      <c r="AS2641" s="152"/>
      <c r="AT2641" s="152"/>
      <c r="AU2641" s="152"/>
      <c r="AV2641" s="152"/>
      <c r="AW2641" s="152"/>
      <c r="AX2641" s="152"/>
      <c r="AY2641" s="152"/>
      <c r="AZ2641" s="152"/>
      <c r="BA2641" s="152"/>
      <c r="BB2641" s="152"/>
      <c r="BC2641" s="152"/>
      <c r="BD2641" s="152"/>
      <c r="BE2641" s="152"/>
      <c r="BF2641" s="152"/>
      <c r="BG2641" s="152"/>
      <c r="BH2641" s="152"/>
      <c r="BI2641" s="152"/>
      <c r="BJ2641" s="152"/>
      <c r="BK2641" s="152"/>
      <c r="BL2641" s="152"/>
      <c r="BM2641" s="152"/>
      <c r="BN2641" s="152"/>
      <c r="BO2641" s="152"/>
      <c r="BP2641" s="152"/>
      <c r="BQ2641" s="152"/>
      <c r="BR2641" s="152"/>
      <c r="BS2641" s="152"/>
      <c r="BT2641" s="152"/>
      <c r="BU2641" s="152"/>
      <c r="BV2641" s="152"/>
      <c r="BW2641" s="152"/>
      <c r="BX2641" s="152"/>
      <c r="BY2641" s="152"/>
      <c r="BZ2641" s="152"/>
      <c r="CA2641" s="152"/>
      <c r="CB2641" s="152"/>
      <c r="CC2641" s="152"/>
      <c r="CD2641" s="152"/>
      <c r="CE2641" s="152"/>
      <c r="CF2641" s="152"/>
      <c r="CG2641" s="152"/>
      <c r="CH2641" s="152"/>
      <c r="CI2641" s="152"/>
      <c r="CJ2641" s="152"/>
      <c r="CK2641" s="152"/>
      <c r="CL2641" s="152"/>
      <c r="CM2641" s="152"/>
      <c r="CN2641" s="152"/>
      <c r="CO2641" s="152"/>
      <c r="CP2641" s="152"/>
      <c r="CQ2641" s="152"/>
      <c r="CR2641" s="152"/>
      <c r="CS2641" s="152"/>
      <c r="CT2641" s="152"/>
      <c r="CU2641" s="152"/>
      <c r="CV2641" s="152"/>
      <c r="CW2641" s="152"/>
      <c r="CX2641" s="152"/>
      <c r="CY2641" s="152"/>
      <c r="CZ2641" s="152"/>
      <c r="DA2641" s="152"/>
      <c r="DB2641" s="152"/>
      <c r="DC2641" s="152"/>
      <c r="DD2641" s="152"/>
      <c r="DE2641" s="152"/>
      <c r="DF2641" s="152"/>
      <c r="DG2641" s="152"/>
      <c r="DH2641" s="152"/>
      <c r="DI2641" s="152"/>
      <c r="DJ2641" s="152"/>
      <c r="DK2641" s="152"/>
      <c r="DL2641" s="152"/>
      <c r="DM2641" s="152"/>
      <c r="DN2641" s="152"/>
      <c r="DO2641" s="152"/>
      <c r="DP2641" s="152"/>
      <c r="DQ2641" s="152"/>
      <c r="DR2641" s="152"/>
      <c r="DS2641" s="152"/>
      <c r="DT2641" s="152"/>
      <c r="DU2641" s="152"/>
      <c r="DV2641" s="152"/>
      <c r="DW2641" s="152"/>
      <c r="DX2641" s="152"/>
      <c r="DY2641" s="152"/>
      <c r="DZ2641" s="152"/>
      <c r="EA2641" s="152"/>
      <c r="EB2641" s="152"/>
      <c r="EC2641" s="152"/>
      <c r="ED2641" s="152"/>
      <c r="EE2641" s="152"/>
      <c r="EF2641" s="152"/>
      <c r="EG2641" s="152"/>
      <c r="EH2641" s="152"/>
      <c r="EI2641" s="152"/>
      <c r="EJ2641" s="152"/>
      <c r="EK2641" s="152"/>
      <c r="EL2641" s="152"/>
      <c r="EM2641" s="152"/>
      <c r="EN2641" s="152"/>
      <c r="EO2641" s="152"/>
      <c r="EP2641" s="152"/>
      <c r="EQ2641" s="152"/>
      <c r="ER2641" s="152"/>
      <c r="ES2641" s="152"/>
      <c r="ET2641" s="152"/>
      <c r="EU2641" s="152"/>
      <c r="EV2641" s="152"/>
      <c r="EW2641" s="152"/>
      <c r="EX2641" s="152"/>
      <c r="EY2641" s="152"/>
      <c r="EZ2641" s="152"/>
      <c r="FA2641" s="152"/>
      <c r="FB2641" s="152"/>
      <c r="FC2641" s="152"/>
      <c r="FD2641" s="152"/>
      <c r="FE2641" s="152"/>
      <c r="FF2641" s="152"/>
      <c r="FG2641" s="152"/>
      <c r="FH2641" s="152"/>
      <c r="FI2641" s="152"/>
      <c r="FJ2641" s="152"/>
      <c r="FK2641" s="152"/>
      <c r="FL2641" s="152"/>
      <c r="FM2641" s="152"/>
      <c r="FN2641" s="152"/>
      <c r="FO2641" s="152"/>
      <c r="FP2641" s="152"/>
      <c r="FQ2641" s="152"/>
      <c r="FR2641" s="152"/>
      <c r="FS2641" s="152"/>
      <c r="FT2641" s="152"/>
      <c r="FU2641" s="152"/>
      <c r="FV2641" s="152"/>
      <c r="FW2641" s="152"/>
      <c r="FX2641" s="152"/>
      <c r="FY2641" s="152"/>
      <c r="FZ2641" s="152"/>
      <c r="GA2641" s="152"/>
      <c r="GB2641" s="152"/>
      <c r="GC2641" s="152"/>
      <c r="GD2641" s="152"/>
      <c r="GE2641" s="152"/>
      <c r="GF2641" s="152"/>
      <c r="GG2641" s="152"/>
      <c r="GH2641" s="152"/>
      <c r="GI2641" s="152"/>
      <c r="GJ2641" s="152"/>
      <c r="GK2641" s="152"/>
      <c r="GL2641" s="152"/>
      <c r="GM2641" s="152"/>
      <c r="GN2641" s="152"/>
      <c r="GO2641" s="152"/>
      <c r="GP2641" s="152"/>
      <c r="GQ2641" s="152"/>
      <c r="GR2641" s="152"/>
      <c r="GS2641" s="152"/>
      <c r="GT2641" s="152"/>
      <c r="GU2641" s="152"/>
      <c r="GV2641" s="152"/>
      <c r="GW2641" s="152"/>
      <c r="GX2641" s="152"/>
      <c r="GY2641" s="152"/>
      <c r="GZ2641" s="152"/>
      <c r="HA2641" s="152"/>
      <c r="HB2641" s="152"/>
      <c r="HC2641" s="152"/>
      <c r="HD2641" s="152"/>
    </row>
    <row r="2642" spans="1:214" x14ac:dyDescent="0.35">
      <c r="A2642" s="289"/>
      <c r="B2642" s="289"/>
      <c r="C2642" s="279"/>
      <c r="D2642" s="274"/>
      <c r="E2642" s="274"/>
      <c r="F2642" s="283"/>
      <c r="G2642" s="271"/>
      <c r="H2642" s="136" t="s">
        <v>73</v>
      </c>
      <c r="I2642" s="181">
        <f>7352120.91*0.7</f>
        <v>5146484.6399999997</v>
      </c>
      <c r="J2642" s="181">
        <f>I2642/D2641</f>
        <v>1794.87</v>
      </c>
      <c r="K2642" s="181">
        <v>3174</v>
      </c>
      <c r="L2642" s="152"/>
      <c r="M2642" s="152"/>
      <c r="N2642" s="152"/>
      <c r="O2642" s="152"/>
      <c r="P2642" s="152"/>
      <c r="Q2642" s="152"/>
      <c r="R2642" s="152"/>
      <c r="S2642" s="152"/>
      <c r="T2642" s="152"/>
      <c r="U2642" s="152"/>
      <c r="V2642" s="152"/>
      <c r="W2642" s="152"/>
      <c r="X2642" s="152"/>
      <c r="Y2642" s="152"/>
      <c r="Z2642" s="152"/>
      <c r="AA2642" s="152"/>
      <c r="AB2642" s="152"/>
      <c r="AC2642" s="152"/>
      <c r="AD2642" s="152"/>
      <c r="AE2642" s="152"/>
      <c r="AF2642" s="152"/>
      <c r="AG2642" s="152"/>
      <c r="AH2642" s="152"/>
      <c r="AI2642" s="152"/>
      <c r="AJ2642" s="152"/>
      <c r="AK2642" s="152"/>
      <c r="AL2642" s="152"/>
      <c r="AM2642" s="152"/>
      <c r="AN2642" s="152"/>
      <c r="AO2642" s="152"/>
      <c r="AP2642" s="152"/>
      <c r="AQ2642" s="152"/>
      <c r="AR2642" s="152"/>
      <c r="AS2642" s="152"/>
      <c r="AT2642" s="152"/>
      <c r="AU2642" s="152"/>
      <c r="AV2642" s="152"/>
      <c r="AW2642" s="152"/>
      <c r="AX2642" s="152"/>
      <c r="AY2642" s="152"/>
      <c r="AZ2642" s="152"/>
      <c r="BA2642" s="152"/>
      <c r="BB2642" s="152"/>
      <c r="BC2642" s="152"/>
      <c r="BD2642" s="152"/>
      <c r="BE2642" s="152"/>
      <c r="BF2642" s="152"/>
      <c r="BG2642" s="152"/>
      <c r="BH2642" s="152"/>
      <c r="BI2642" s="152"/>
      <c r="BJ2642" s="152"/>
      <c r="BK2642" s="152"/>
      <c r="BL2642" s="152"/>
      <c r="BM2642" s="152"/>
      <c r="BN2642" s="152"/>
      <c r="BO2642" s="152"/>
      <c r="BP2642" s="152"/>
      <c r="BQ2642" s="152"/>
      <c r="BR2642" s="152"/>
      <c r="BS2642" s="152"/>
      <c r="BT2642" s="152"/>
      <c r="BU2642" s="152"/>
      <c r="BV2642" s="152"/>
      <c r="BW2642" s="152"/>
      <c r="BX2642" s="152"/>
      <c r="BY2642" s="152"/>
      <c r="BZ2642" s="152"/>
      <c r="CA2642" s="152"/>
      <c r="CB2642" s="152"/>
      <c r="CC2642" s="152"/>
      <c r="CD2642" s="152"/>
      <c r="CE2642" s="152"/>
      <c r="CF2642" s="152"/>
      <c r="CG2642" s="152"/>
      <c r="CH2642" s="152"/>
      <c r="CI2642" s="152"/>
      <c r="CJ2642" s="152"/>
      <c r="CK2642" s="152"/>
      <c r="CL2642" s="152"/>
      <c r="CM2642" s="152"/>
      <c r="CN2642" s="152"/>
      <c r="CO2642" s="152"/>
      <c r="CP2642" s="152"/>
      <c r="CQ2642" s="152"/>
      <c r="CR2642" s="152"/>
      <c r="CS2642" s="152"/>
      <c r="CT2642" s="152"/>
      <c r="CU2642" s="152"/>
      <c r="CV2642" s="152"/>
      <c r="CW2642" s="152"/>
      <c r="CX2642" s="152"/>
      <c r="CY2642" s="152"/>
      <c r="CZ2642" s="152"/>
      <c r="DA2642" s="152"/>
      <c r="DB2642" s="152"/>
      <c r="DC2642" s="152"/>
      <c r="DD2642" s="152"/>
      <c r="DE2642" s="152"/>
      <c r="DF2642" s="152"/>
      <c r="DG2642" s="152"/>
      <c r="DH2642" s="152"/>
      <c r="DI2642" s="152"/>
      <c r="DJ2642" s="152"/>
      <c r="DK2642" s="152"/>
      <c r="DL2642" s="152"/>
      <c r="DM2642" s="152"/>
      <c r="DN2642" s="152"/>
      <c r="DO2642" s="152"/>
      <c r="DP2642" s="152"/>
      <c r="DQ2642" s="152"/>
      <c r="DR2642" s="152"/>
      <c r="DS2642" s="152"/>
      <c r="DT2642" s="152"/>
      <c r="DU2642" s="152"/>
      <c r="DV2642" s="152"/>
      <c r="DW2642" s="152"/>
      <c r="DX2642" s="152"/>
      <c r="DY2642" s="152"/>
      <c r="DZ2642" s="152"/>
      <c r="EA2642" s="152"/>
      <c r="EB2642" s="152"/>
      <c r="EC2642" s="152"/>
      <c r="ED2642" s="152"/>
      <c r="EE2642" s="152"/>
      <c r="EF2642" s="152"/>
      <c r="EG2642" s="152"/>
      <c r="EH2642" s="152"/>
      <c r="EI2642" s="152"/>
      <c r="EJ2642" s="152"/>
      <c r="EK2642" s="152"/>
      <c r="EL2642" s="152"/>
      <c r="EM2642" s="152"/>
      <c r="EN2642" s="152"/>
      <c r="EO2642" s="152"/>
      <c r="EP2642" s="152"/>
      <c r="EQ2642" s="152"/>
      <c r="ER2642" s="152"/>
      <c r="ES2642" s="152"/>
      <c r="ET2642" s="152"/>
      <c r="EU2642" s="152"/>
      <c r="EV2642" s="152"/>
      <c r="EW2642" s="152"/>
      <c r="EX2642" s="152"/>
      <c r="EY2642" s="152"/>
      <c r="EZ2642" s="152"/>
      <c r="FA2642" s="152"/>
      <c r="FB2642" s="152"/>
      <c r="FC2642" s="152"/>
      <c r="FD2642" s="152"/>
      <c r="FE2642" s="152"/>
      <c r="FF2642" s="152"/>
      <c r="FG2642" s="152"/>
      <c r="FH2642" s="152"/>
      <c r="FI2642" s="152"/>
      <c r="FJ2642" s="152"/>
      <c r="FK2642" s="152"/>
      <c r="FL2642" s="152"/>
      <c r="FM2642" s="152"/>
      <c r="FN2642" s="152"/>
      <c r="FO2642" s="152"/>
      <c r="FP2642" s="152"/>
      <c r="FQ2642" s="152"/>
      <c r="FR2642" s="152"/>
      <c r="FS2642" s="152"/>
      <c r="FT2642" s="152"/>
      <c r="FU2642" s="152"/>
      <c r="FV2642" s="152"/>
      <c r="FW2642" s="152"/>
      <c r="FX2642" s="152"/>
      <c r="FY2642" s="152"/>
      <c r="FZ2642" s="152"/>
      <c r="GA2642" s="152"/>
      <c r="GB2642" s="152"/>
      <c r="GC2642" s="152"/>
      <c r="GD2642" s="152"/>
      <c r="GE2642" s="152"/>
      <c r="GF2642" s="152"/>
      <c r="GG2642" s="152"/>
      <c r="GH2642" s="152"/>
      <c r="GI2642" s="152"/>
      <c r="GJ2642" s="152"/>
      <c r="GK2642" s="152"/>
      <c r="GL2642" s="152"/>
      <c r="GM2642" s="152"/>
      <c r="GN2642" s="152"/>
      <c r="GO2642" s="152"/>
      <c r="GP2642" s="152"/>
      <c r="GQ2642" s="152"/>
      <c r="GR2642" s="152"/>
      <c r="GS2642" s="152"/>
      <c r="GT2642" s="152"/>
      <c r="GU2642" s="152"/>
      <c r="GV2642" s="152"/>
      <c r="GW2642" s="152"/>
      <c r="GX2642" s="152"/>
      <c r="GY2642" s="152"/>
      <c r="GZ2642" s="152"/>
      <c r="HA2642" s="152"/>
      <c r="HB2642" s="152"/>
      <c r="HC2642" s="152"/>
      <c r="HD2642" s="152"/>
      <c r="HE2642" s="152"/>
      <c r="HF2642" s="152"/>
    </row>
    <row r="2643" spans="1:214" x14ac:dyDescent="0.35">
      <c r="A2643" s="290"/>
      <c r="B2643" s="290"/>
      <c r="C2643" s="285"/>
      <c r="D2643" s="275"/>
      <c r="E2643" s="275"/>
      <c r="F2643" s="284"/>
      <c r="G2643" s="272"/>
      <c r="H2643" s="136" t="s">
        <v>75</v>
      </c>
      <c r="I2643" s="181">
        <f>7352120.91*0.0214</f>
        <v>157335.39000000001</v>
      </c>
      <c r="J2643" s="181">
        <f>I2643/D2641</f>
        <v>54.87</v>
      </c>
      <c r="K2643" s="181">
        <v>68</v>
      </c>
      <c r="L2643" s="152"/>
      <c r="M2643" s="152"/>
      <c r="N2643" s="152"/>
      <c r="O2643" s="152"/>
      <c r="P2643" s="152"/>
      <c r="Q2643" s="152"/>
      <c r="R2643" s="152"/>
      <c r="S2643" s="152"/>
      <c r="T2643" s="152"/>
      <c r="U2643" s="152"/>
      <c r="V2643" s="152"/>
      <c r="W2643" s="152"/>
      <c r="X2643" s="152"/>
      <c r="Y2643" s="152"/>
      <c r="Z2643" s="152"/>
      <c r="AA2643" s="152"/>
      <c r="AB2643" s="152"/>
      <c r="AC2643" s="152"/>
      <c r="AD2643" s="152"/>
      <c r="AE2643" s="152"/>
      <c r="AF2643" s="152"/>
      <c r="AG2643" s="152"/>
      <c r="AH2643" s="152"/>
      <c r="AI2643" s="152"/>
      <c r="AJ2643" s="152"/>
      <c r="AK2643" s="152"/>
      <c r="AL2643" s="152"/>
      <c r="AM2643" s="152"/>
      <c r="AN2643" s="152"/>
      <c r="AO2643" s="152"/>
      <c r="AP2643" s="152"/>
      <c r="AQ2643" s="152"/>
      <c r="AR2643" s="152"/>
      <c r="AS2643" s="152"/>
      <c r="AT2643" s="152"/>
      <c r="AU2643" s="152"/>
      <c r="AV2643" s="152"/>
      <c r="AW2643" s="152"/>
      <c r="AX2643" s="152"/>
      <c r="AY2643" s="152"/>
      <c r="AZ2643" s="152"/>
      <c r="BA2643" s="152"/>
      <c r="BB2643" s="152"/>
      <c r="BC2643" s="152"/>
      <c r="BD2643" s="152"/>
      <c r="BE2643" s="152"/>
      <c r="BF2643" s="152"/>
      <c r="BG2643" s="152"/>
      <c r="BH2643" s="152"/>
      <c r="BI2643" s="152"/>
      <c r="BJ2643" s="152"/>
      <c r="BK2643" s="152"/>
      <c r="BL2643" s="152"/>
      <c r="BM2643" s="152"/>
      <c r="BN2643" s="152"/>
      <c r="BO2643" s="152"/>
      <c r="BP2643" s="152"/>
      <c r="BQ2643" s="152"/>
      <c r="BR2643" s="152"/>
      <c r="BS2643" s="152"/>
      <c r="BT2643" s="152"/>
      <c r="BU2643" s="152"/>
      <c r="BV2643" s="152"/>
      <c r="BW2643" s="152"/>
      <c r="BX2643" s="152"/>
      <c r="BY2643" s="152"/>
      <c r="BZ2643" s="152"/>
      <c r="CA2643" s="152"/>
      <c r="CB2643" s="152"/>
      <c r="CC2643" s="152"/>
      <c r="CD2643" s="152"/>
      <c r="CE2643" s="152"/>
      <c r="CF2643" s="152"/>
      <c r="CG2643" s="152"/>
      <c r="CH2643" s="152"/>
      <c r="CI2643" s="152"/>
      <c r="CJ2643" s="152"/>
      <c r="CK2643" s="152"/>
      <c r="CL2643" s="152"/>
      <c r="CM2643" s="152"/>
      <c r="CN2643" s="152"/>
      <c r="CO2643" s="152"/>
      <c r="CP2643" s="152"/>
      <c r="CQ2643" s="152"/>
      <c r="CR2643" s="152"/>
      <c r="CS2643" s="152"/>
      <c r="CT2643" s="152"/>
      <c r="CU2643" s="152"/>
      <c r="CV2643" s="152"/>
      <c r="CW2643" s="152"/>
      <c r="CX2643" s="152"/>
      <c r="CY2643" s="152"/>
      <c r="CZ2643" s="152"/>
      <c r="DA2643" s="152"/>
      <c r="DB2643" s="152"/>
      <c r="DC2643" s="152"/>
      <c r="DD2643" s="152"/>
      <c r="DE2643" s="152"/>
      <c r="DF2643" s="152"/>
      <c r="DG2643" s="152"/>
      <c r="DH2643" s="152"/>
      <c r="DI2643" s="152"/>
      <c r="DJ2643" s="152"/>
      <c r="DK2643" s="152"/>
      <c r="DL2643" s="152"/>
      <c r="DM2643" s="152"/>
      <c r="DN2643" s="152"/>
      <c r="DO2643" s="152"/>
      <c r="DP2643" s="152"/>
      <c r="DQ2643" s="152"/>
      <c r="DR2643" s="152"/>
      <c r="DS2643" s="152"/>
      <c r="DT2643" s="152"/>
      <c r="DU2643" s="152"/>
      <c r="DV2643" s="152"/>
      <c r="DW2643" s="152"/>
      <c r="DX2643" s="152"/>
      <c r="DY2643" s="152"/>
      <c r="DZ2643" s="152"/>
      <c r="EA2643" s="152"/>
      <c r="EB2643" s="152"/>
      <c r="EC2643" s="152"/>
      <c r="ED2643" s="152"/>
      <c r="EE2643" s="152"/>
      <c r="EF2643" s="152"/>
      <c r="EG2643" s="152"/>
      <c r="EH2643" s="152"/>
      <c r="EI2643" s="152"/>
      <c r="EJ2643" s="152"/>
      <c r="EK2643" s="152"/>
      <c r="EL2643" s="152"/>
      <c r="EM2643" s="152"/>
      <c r="EN2643" s="152"/>
      <c r="EO2643" s="152"/>
      <c r="EP2643" s="152"/>
      <c r="EQ2643" s="152"/>
      <c r="ER2643" s="152"/>
      <c r="ES2643" s="152"/>
      <c r="ET2643" s="152"/>
      <c r="EU2643" s="152"/>
      <c r="EV2643" s="152"/>
      <c r="EW2643" s="152"/>
      <c r="EX2643" s="152"/>
      <c r="EY2643" s="152"/>
      <c r="EZ2643" s="152"/>
      <c r="FA2643" s="152"/>
      <c r="FB2643" s="152"/>
      <c r="FC2643" s="152"/>
      <c r="FD2643" s="152"/>
      <c r="FE2643" s="152"/>
      <c r="FF2643" s="152"/>
      <c r="FG2643" s="152"/>
      <c r="FH2643" s="152"/>
      <c r="FI2643" s="152"/>
      <c r="FJ2643" s="152"/>
      <c r="FK2643" s="152"/>
      <c r="FL2643" s="152"/>
      <c r="FM2643" s="152"/>
      <c r="FN2643" s="152"/>
      <c r="FO2643" s="152"/>
      <c r="FP2643" s="152"/>
      <c r="FQ2643" s="152"/>
      <c r="FR2643" s="152"/>
      <c r="FS2643" s="152"/>
      <c r="FT2643" s="152"/>
      <c r="FU2643" s="152"/>
      <c r="FV2643" s="152"/>
      <c r="FW2643" s="152"/>
      <c r="FX2643" s="152"/>
      <c r="FY2643" s="152"/>
      <c r="FZ2643" s="152"/>
      <c r="GA2643" s="152"/>
      <c r="GB2643" s="152"/>
      <c r="GC2643" s="152"/>
      <c r="GD2643" s="152"/>
      <c r="GE2643" s="152"/>
      <c r="GF2643" s="152"/>
      <c r="GG2643" s="152"/>
      <c r="GH2643" s="152"/>
      <c r="GI2643" s="152"/>
      <c r="GJ2643" s="152"/>
      <c r="GK2643" s="152"/>
      <c r="GL2643" s="152"/>
      <c r="GM2643" s="152"/>
      <c r="GN2643" s="152"/>
      <c r="GO2643" s="152"/>
      <c r="GP2643" s="152"/>
      <c r="GQ2643" s="152"/>
      <c r="GR2643" s="152"/>
      <c r="GS2643" s="152"/>
      <c r="GT2643" s="152"/>
      <c r="GU2643" s="152"/>
      <c r="GV2643" s="152"/>
      <c r="GW2643" s="152"/>
      <c r="GX2643" s="152"/>
      <c r="GY2643" s="152"/>
      <c r="GZ2643" s="152"/>
      <c r="HA2643" s="152"/>
      <c r="HB2643" s="152"/>
      <c r="HC2643" s="152"/>
      <c r="HD2643" s="152"/>
      <c r="HE2643" s="152"/>
      <c r="HF2643" s="152"/>
    </row>
    <row r="2644" spans="1:214" x14ac:dyDescent="0.35">
      <c r="A2644" s="288">
        <f>A2641+1</f>
        <v>14</v>
      </c>
      <c r="B2644" s="291">
        <v>7021</v>
      </c>
      <c r="C2644" s="278" t="s">
        <v>472</v>
      </c>
      <c r="D2644" s="273">
        <v>871.7</v>
      </c>
      <c r="E2644" s="273" t="s">
        <v>70</v>
      </c>
      <c r="F2644" s="282">
        <v>2</v>
      </c>
      <c r="G2644" s="146"/>
      <c r="H2644" s="136" t="s">
        <v>72</v>
      </c>
      <c r="I2644" s="181">
        <f>SUM(I2645:I2652)</f>
        <v>4108885.82</v>
      </c>
      <c r="J2644" s="181">
        <f>SUM(J2645:J2652)</f>
        <v>4713.6499999999996</v>
      </c>
      <c r="K2644" s="181">
        <f>SUM(K2645:K2652)</f>
        <v>6082</v>
      </c>
      <c r="L2644" s="152"/>
      <c r="M2644" s="152"/>
      <c r="N2644" s="152"/>
      <c r="O2644" s="152"/>
      <c r="P2644" s="152"/>
      <c r="Q2644" s="152"/>
      <c r="R2644" s="152"/>
      <c r="S2644" s="152"/>
      <c r="T2644" s="152"/>
      <c r="U2644" s="152"/>
      <c r="V2644" s="152"/>
      <c r="W2644" s="152"/>
      <c r="X2644" s="152"/>
      <c r="Y2644" s="152"/>
      <c r="Z2644" s="152"/>
      <c r="AA2644" s="152"/>
      <c r="AB2644" s="152"/>
      <c r="AC2644" s="152"/>
      <c r="AD2644" s="152"/>
      <c r="AE2644" s="152"/>
      <c r="AF2644" s="152"/>
      <c r="AG2644" s="152"/>
      <c r="AH2644" s="152"/>
      <c r="AI2644" s="152"/>
      <c r="AJ2644" s="152"/>
      <c r="AK2644" s="152"/>
      <c r="AL2644" s="152"/>
      <c r="AM2644" s="152"/>
      <c r="AN2644" s="152"/>
      <c r="AO2644" s="152"/>
      <c r="AP2644" s="152"/>
      <c r="AQ2644" s="152"/>
      <c r="AR2644" s="152"/>
      <c r="AS2644" s="152"/>
      <c r="AT2644" s="152"/>
      <c r="AU2644" s="152"/>
      <c r="AV2644" s="152"/>
      <c r="AW2644" s="152"/>
      <c r="AX2644" s="152"/>
      <c r="AY2644" s="152"/>
      <c r="AZ2644" s="152"/>
      <c r="BA2644" s="152"/>
      <c r="BB2644" s="152"/>
      <c r="BC2644" s="152"/>
      <c r="BD2644" s="152"/>
      <c r="BE2644" s="152"/>
      <c r="BF2644" s="152"/>
      <c r="BG2644" s="152"/>
      <c r="BH2644" s="152"/>
      <c r="BI2644" s="152"/>
      <c r="BJ2644" s="152"/>
      <c r="BK2644" s="152"/>
      <c r="BL2644" s="152"/>
      <c r="BM2644" s="152"/>
      <c r="BN2644" s="152"/>
      <c r="BO2644" s="152"/>
      <c r="BP2644" s="152"/>
      <c r="BQ2644" s="152"/>
      <c r="BR2644" s="152"/>
      <c r="BS2644" s="152"/>
      <c r="BT2644" s="152"/>
      <c r="BU2644" s="152"/>
      <c r="BV2644" s="152"/>
      <c r="BW2644" s="152"/>
      <c r="BX2644" s="152"/>
      <c r="BY2644" s="152"/>
      <c r="BZ2644" s="152"/>
      <c r="CA2644" s="152"/>
      <c r="CB2644" s="152"/>
      <c r="CC2644" s="152"/>
      <c r="CD2644" s="152"/>
      <c r="CE2644" s="152"/>
      <c r="CF2644" s="152"/>
      <c r="CG2644" s="152"/>
      <c r="CH2644" s="152"/>
      <c r="CI2644" s="152"/>
      <c r="CJ2644" s="152"/>
      <c r="CK2644" s="152"/>
      <c r="CL2644" s="152"/>
      <c r="CM2644" s="152"/>
      <c r="CN2644" s="152"/>
      <c r="CO2644" s="152"/>
      <c r="CP2644" s="152"/>
      <c r="CQ2644" s="152"/>
      <c r="CR2644" s="152"/>
      <c r="CS2644" s="152"/>
      <c r="CT2644" s="152"/>
      <c r="CU2644" s="152"/>
      <c r="CV2644" s="152"/>
      <c r="CW2644" s="152"/>
      <c r="CX2644" s="152"/>
      <c r="CY2644" s="152"/>
      <c r="CZ2644" s="152"/>
      <c r="DA2644" s="152"/>
      <c r="DB2644" s="152"/>
      <c r="DC2644" s="152"/>
      <c r="DD2644" s="152"/>
      <c r="DE2644" s="152"/>
      <c r="DF2644" s="152"/>
      <c r="DG2644" s="152"/>
      <c r="DH2644" s="152"/>
      <c r="DI2644" s="152"/>
      <c r="DJ2644" s="152"/>
      <c r="DK2644" s="152"/>
      <c r="DL2644" s="152"/>
      <c r="DM2644" s="152"/>
      <c r="DN2644" s="152"/>
      <c r="DO2644" s="152"/>
      <c r="DP2644" s="152"/>
      <c r="DQ2644" s="152"/>
      <c r="DR2644" s="152"/>
      <c r="DS2644" s="152"/>
      <c r="DT2644" s="152"/>
      <c r="DU2644" s="152"/>
      <c r="DV2644" s="152"/>
      <c r="DW2644" s="152"/>
      <c r="DX2644" s="152"/>
      <c r="DY2644" s="152"/>
      <c r="DZ2644" s="152"/>
      <c r="EA2644" s="152"/>
      <c r="EB2644" s="152"/>
      <c r="EC2644" s="152"/>
      <c r="ED2644" s="152"/>
      <c r="EE2644" s="152"/>
      <c r="EF2644" s="152"/>
      <c r="EG2644" s="152"/>
      <c r="EH2644" s="152"/>
      <c r="EI2644" s="152"/>
      <c r="EJ2644" s="152"/>
      <c r="EK2644" s="152"/>
      <c r="EL2644" s="152"/>
      <c r="EM2644" s="152"/>
      <c r="EN2644" s="152"/>
      <c r="EO2644" s="152"/>
      <c r="EP2644" s="152"/>
      <c r="EQ2644" s="152"/>
      <c r="ER2644" s="152"/>
      <c r="ES2644" s="152"/>
      <c r="ET2644" s="152"/>
      <c r="EU2644" s="152"/>
      <c r="EV2644" s="152"/>
      <c r="EW2644" s="152"/>
      <c r="EX2644" s="152"/>
      <c r="EY2644" s="152"/>
      <c r="EZ2644" s="152"/>
      <c r="FA2644" s="152"/>
      <c r="FB2644" s="152"/>
      <c r="FC2644" s="152"/>
      <c r="FD2644" s="152"/>
      <c r="FE2644" s="152"/>
      <c r="FF2644" s="152"/>
      <c r="FG2644" s="152"/>
      <c r="FH2644" s="152"/>
      <c r="FI2644" s="152"/>
      <c r="FJ2644" s="152"/>
      <c r="FK2644" s="152"/>
      <c r="FL2644" s="152"/>
      <c r="FM2644" s="152"/>
      <c r="FN2644" s="152"/>
      <c r="FO2644" s="152"/>
      <c r="FP2644" s="152"/>
      <c r="FQ2644" s="152"/>
      <c r="FR2644" s="152"/>
      <c r="FS2644" s="152"/>
      <c r="FT2644" s="152"/>
      <c r="FU2644" s="152"/>
      <c r="FV2644" s="152"/>
      <c r="FW2644" s="152"/>
      <c r="FX2644" s="152"/>
      <c r="FY2644" s="152"/>
      <c r="FZ2644" s="152"/>
      <c r="GA2644" s="152"/>
      <c r="GB2644" s="152"/>
      <c r="GC2644" s="152"/>
      <c r="GD2644" s="152"/>
      <c r="GE2644" s="152"/>
      <c r="GF2644" s="152"/>
      <c r="GG2644" s="152"/>
      <c r="GH2644" s="152"/>
      <c r="GI2644" s="152"/>
      <c r="GJ2644" s="152"/>
      <c r="GK2644" s="152"/>
      <c r="GL2644" s="152"/>
      <c r="GM2644" s="152"/>
      <c r="GN2644" s="152"/>
      <c r="GO2644" s="152"/>
      <c r="GP2644" s="152"/>
      <c r="GQ2644" s="152"/>
      <c r="GR2644" s="152"/>
      <c r="GS2644" s="152"/>
      <c r="GT2644" s="152"/>
      <c r="GU2644" s="152"/>
      <c r="GV2644" s="152"/>
      <c r="GW2644" s="152"/>
      <c r="GX2644" s="152"/>
      <c r="GY2644" s="152"/>
      <c r="GZ2644" s="152"/>
      <c r="HA2644" s="152"/>
      <c r="HB2644" s="152"/>
      <c r="HC2644" s="152"/>
      <c r="HD2644" s="152"/>
      <c r="HE2644" s="152"/>
      <c r="HF2644" s="152"/>
    </row>
    <row r="2645" spans="1:214" x14ac:dyDescent="0.35">
      <c r="A2645" s="289"/>
      <c r="B2645" s="292"/>
      <c r="C2645" s="279"/>
      <c r="D2645" s="274"/>
      <c r="E2645" s="274"/>
      <c r="F2645" s="283"/>
      <c r="G2645" s="271" t="s">
        <v>76</v>
      </c>
      <c r="H2645" s="136" t="s">
        <v>73</v>
      </c>
      <c r="I2645" s="181">
        <f>D2644*K2645</f>
        <v>2345744.7000000002</v>
      </c>
      <c r="J2645" s="181">
        <f>I2645/D2644</f>
        <v>2691</v>
      </c>
      <c r="K2645" s="181">
        <v>2691</v>
      </c>
      <c r="L2645" s="152"/>
      <c r="M2645" s="152"/>
      <c r="N2645" s="152"/>
      <c r="O2645" s="152"/>
      <c r="P2645" s="152"/>
      <c r="Q2645" s="152"/>
      <c r="R2645" s="152"/>
      <c r="S2645" s="152"/>
      <c r="T2645" s="152"/>
      <c r="U2645" s="152"/>
      <c r="V2645" s="152"/>
      <c r="W2645" s="152"/>
      <c r="X2645" s="152"/>
      <c r="Y2645" s="152"/>
      <c r="Z2645" s="152"/>
      <c r="AA2645" s="152"/>
      <c r="AB2645" s="152"/>
      <c r="AC2645" s="152"/>
      <c r="AD2645" s="152"/>
      <c r="AE2645" s="152"/>
      <c r="AF2645" s="152"/>
      <c r="AG2645" s="152"/>
      <c r="AH2645" s="152"/>
      <c r="AI2645" s="152"/>
      <c r="AJ2645" s="152"/>
      <c r="AK2645" s="152"/>
      <c r="AL2645" s="152"/>
      <c r="AM2645" s="152"/>
      <c r="AN2645" s="152"/>
      <c r="AO2645" s="152"/>
      <c r="AP2645" s="152"/>
      <c r="AQ2645" s="152"/>
      <c r="AR2645" s="152"/>
      <c r="AS2645" s="152"/>
      <c r="AT2645" s="152"/>
      <c r="AU2645" s="152"/>
      <c r="AV2645" s="152"/>
      <c r="AW2645" s="152"/>
      <c r="AX2645" s="152"/>
      <c r="AY2645" s="152"/>
      <c r="AZ2645" s="152"/>
      <c r="BA2645" s="152"/>
      <c r="BB2645" s="152"/>
      <c r="BC2645" s="152"/>
      <c r="BD2645" s="152"/>
      <c r="BE2645" s="152"/>
      <c r="BF2645" s="152"/>
      <c r="BG2645" s="152"/>
      <c r="BH2645" s="152"/>
      <c r="BI2645" s="152"/>
      <c r="BJ2645" s="152"/>
      <c r="BK2645" s="152"/>
      <c r="BL2645" s="152"/>
      <c r="BM2645" s="152"/>
      <c r="BN2645" s="152"/>
      <c r="BO2645" s="152"/>
      <c r="BP2645" s="152"/>
      <c r="BQ2645" s="152"/>
      <c r="BR2645" s="152"/>
      <c r="BS2645" s="152"/>
      <c r="BT2645" s="152"/>
      <c r="BU2645" s="152"/>
      <c r="BV2645" s="152"/>
      <c r="BW2645" s="152"/>
      <c r="BX2645" s="152"/>
      <c r="BY2645" s="152"/>
      <c r="BZ2645" s="152"/>
      <c r="CA2645" s="152"/>
      <c r="CB2645" s="152"/>
      <c r="CC2645" s="152"/>
      <c r="CD2645" s="152"/>
      <c r="CE2645" s="152"/>
      <c r="CF2645" s="152"/>
      <c r="CG2645" s="152"/>
      <c r="CH2645" s="152"/>
      <c r="CI2645" s="152"/>
      <c r="CJ2645" s="152"/>
      <c r="CK2645" s="152"/>
      <c r="CL2645" s="152"/>
      <c r="CM2645" s="152"/>
      <c r="CN2645" s="152"/>
      <c r="CO2645" s="152"/>
      <c r="CP2645" s="152"/>
      <c r="CQ2645" s="152"/>
      <c r="CR2645" s="152"/>
      <c r="CS2645" s="152"/>
      <c r="CT2645" s="152"/>
      <c r="CU2645" s="152"/>
      <c r="CV2645" s="152"/>
      <c r="CW2645" s="152"/>
      <c r="CX2645" s="152"/>
      <c r="CY2645" s="152"/>
      <c r="CZ2645" s="152"/>
      <c r="DA2645" s="152"/>
      <c r="DB2645" s="152"/>
      <c r="DC2645" s="152"/>
      <c r="DD2645" s="152"/>
      <c r="DE2645" s="152"/>
      <c r="DF2645" s="152"/>
      <c r="DG2645" s="152"/>
      <c r="DH2645" s="152"/>
      <c r="DI2645" s="152"/>
      <c r="DJ2645" s="152"/>
      <c r="DK2645" s="152"/>
      <c r="DL2645" s="152"/>
      <c r="DM2645" s="152"/>
      <c r="DN2645" s="152"/>
      <c r="DO2645" s="152"/>
      <c r="DP2645" s="152"/>
      <c r="DQ2645" s="152"/>
      <c r="DR2645" s="152"/>
      <c r="DS2645" s="152"/>
      <c r="DT2645" s="152"/>
      <c r="DU2645" s="152"/>
      <c r="DV2645" s="152"/>
      <c r="DW2645" s="152"/>
      <c r="DX2645" s="152"/>
      <c r="DY2645" s="152"/>
      <c r="DZ2645" s="152"/>
      <c r="EA2645" s="152"/>
      <c r="EB2645" s="152"/>
      <c r="EC2645" s="152"/>
      <c r="ED2645" s="152"/>
      <c r="EE2645" s="152"/>
      <c r="EF2645" s="152"/>
      <c r="EG2645" s="152"/>
      <c r="EH2645" s="152"/>
      <c r="EI2645" s="152"/>
      <c r="EJ2645" s="152"/>
      <c r="EK2645" s="152"/>
      <c r="EL2645" s="152"/>
      <c r="EM2645" s="152"/>
      <c r="EN2645" s="152"/>
      <c r="EO2645" s="152"/>
      <c r="EP2645" s="152"/>
      <c r="EQ2645" s="152"/>
      <c r="ER2645" s="152"/>
      <c r="ES2645" s="152"/>
      <c r="ET2645" s="152"/>
      <c r="EU2645" s="152"/>
      <c r="EV2645" s="152"/>
      <c r="EW2645" s="152"/>
      <c r="EX2645" s="152"/>
      <c r="EY2645" s="152"/>
      <c r="EZ2645" s="152"/>
      <c r="FA2645" s="152"/>
      <c r="FB2645" s="152"/>
      <c r="FC2645" s="152"/>
      <c r="FD2645" s="152"/>
      <c r="FE2645" s="152"/>
      <c r="FF2645" s="152"/>
      <c r="FG2645" s="152"/>
      <c r="FH2645" s="152"/>
      <c r="FI2645" s="152"/>
      <c r="FJ2645" s="152"/>
      <c r="FK2645" s="152"/>
      <c r="FL2645" s="152"/>
      <c r="FM2645" s="152"/>
      <c r="FN2645" s="152"/>
      <c r="FO2645" s="152"/>
      <c r="FP2645" s="152"/>
      <c r="FQ2645" s="152"/>
      <c r="FR2645" s="152"/>
      <c r="FS2645" s="152"/>
      <c r="FT2645" s="152"/>
      <c r="FU2645" s="152"/>
      <c r="FV2645" s="152"/>
      <c r="FW2645" s="152"/>
      <c r="FX2645" s="152"/>
      <c r="FY2645" s="152"/>
      <c r="FZ2645" s="152"/>
      <c r="GA2645" s="152"/>
      <c r="GB2645" s="152"/>
      <c r="GC2645" s="152"/>
      <c r="GD2645" s="152"/>
      <c r="GE2645" s="152"/>
      <c r="GF2645" s="152"/>
      <c r="GG2645" s="152"/>
      <c r="GH2645" s="152"/>
      <c r="GI2645" s="152"/>
      <c r="GJ2645" s="152"/>
      <c r="GK2645" s="152"/>
      <c r="GL2645" s="152"/>
      <c r="GM2645" s="152"/>
      <c r="GN2645" s="152"/>
      <c r="GO2645" s="152"/>
      <c r="GP2645" s="152"/>
      <c r="GQ2645" s="152"/>
      <c r="GR2645" s="152"/>
      <c r="GS2645" s="152"/>
      <c r="GT2645" s="152"/>
      <c r="GU2645" s="152"/>
      <c r="GV2645" s="152"/>
      <c r="GW2645" s="152"/>
      <c r="GX2645" s="152"/>
      <c r="GY2645" s="152"/>
      <c r="GZ2645" s="152"/>
      <c r="HA2645" s="152"/>
      <c r="HB2645" s="152"/>
      <c r="HC2645" s="152"/>
      <c r="HD2645" s="152"/>
      <c r="HE2645" s="152"/>
      <c r="HF2645" s="152"/>
    </row>
    <row r="2646" spans="1:214" x14ac:dyDescent="0.35">
      <c r="A2646" s="289"/>
      <c r="B2646" s="292"/>
      <c r="C2646" s="279"/>
      <c r="D2646" s="274"/>
      <c r="E2646" s="274"/>
      <c r="F2646" s="283"/>
      <c r="G2646" s="272"/>
      <c r="H2646" s="136" t="s">
        <v>75</v>
      </c>
      <c r="I2646" s="181">
        <f>I2645*0.0214</f>
        <v>50198.94</v>
      </c>
      <c r="J2646" s="181">
        <f>I2646/D2644</f>
        <v>57.59</v>
      </c>
      <c r="K2646" s="181">
        <v>58</v>
      </c>
      <c r="L2646" s="152"/>
      <c r="M2646" s="152"/>
      <c r="N2646" s="152"/>
      <c r="O2646" s="152"/>
      <c r="P2646" s="152"/>
      <c r="Q2646" s="152"/>
      <c r="R2646" s="152"/>
      <c r="S2646" s="152"/>
      <c r="T2646" s="152"/>
      <c r="U2646" s="152"/>
      <c r="V2646" s="152"/>
      <c r="W2646" s="152"/>
      <c r="X2646" s="152"/>
      <c r="Y2646" s="152"/>
      <c r="Z2646" s="152"/>
      <c r="AA2646" s="152"/>
      <c r="AB2646" s="152"/>
      <c r="AC2646" s="152"/>
      <c r="AD2646" s="152"/>
      <c r="AE2646" s="152"/>
      <c r="AF2646" s="152"/>
      <c r="AG2646" s="152"/>
      <c r="AH2646" s="152"/>
      <c r="AI2646" s="152"/>
      <c r="AJ2646" s="152"/>
      <c r="AK2646" s="152"/>
      <c r="AL2646" s="152"/>
      <c r="AM2646" s="152"/>
      <c r="AN2646" s="152"/>
      <c r="AO2646" s="152"/>
      <c r="AP2646" s="152"/>
      <c r="AQ2646" s="152"/>
      <c r="AR2646" s="152"/>
      <c r="AS2646" s="152"/>
      <c r="AT2646" s="152"/>
      <c r="AU2646" s="152"/>
      <c r="AV2646" s="152"/>
      <c r="AW2646" s="152"/>
      <c r="AX2646" s="152"/>
      <c r="AY2646" s="152"/>
      <c r="AZ2646" s="152"/>
      <c r="BA2646" s="152"/>
      <c r="BB2646" s="152"/>
      <c r="BC2646" s="152"/>
      <c r="BD2646" s="152"/>
      <c r="BE2646" s="152"/>
      <c r="BF2646" s="152"/>
      <c r="BG2646" s="152"/>
      <c r="BH2646" s="152"/>
      <c r="BI2646" s="152"/>
      <c r="BJ2646" s="152"/>
      <c r="BK2646" s="152"/>
      <c r="BL2646" s="152"/>
      <c r="BM2646" s="152"/>
      <c r="BN2646" s="152"/>
      <c r="BO2646" s="152"/>
      <c r="BP2646" s="152"/>
      <c r="BQ2646" s="152"/>
      <c r="BR2646" s="152"/>
      <c r="BS2646" s="152"/>
      <c r="BT2646" s="152"/>
      <c r="BU2646" s="152"/>
      <c r="BV2646" s="152"/>
      <c r="BW2646" s="152"/>
      <c r="BX2646" s="152"/>
      <c r="BY2646" s="152"/>
      <c r="BZ2646" s="152"/>
      <c r="CA2646" s="152"/>
      <c r="CB2646" s="152"/>
      <c r="CC2646" s="152"/>
      <c r="CD2646" s="152"/>
      <c r="CE2646" s="152"/>
      <c r="CF2646" s="152"/>
      <c r="CG2646" s="152"/>
      <c r="CH2646" s="152"/>
      <c r="CI2646" s="152"/>
      <c r="CJ2646" s="152"/>
      <c r="CK2646" s="152"/>
      <c r="CL2646" s="152"/>
      <c r="CM2646" s="152"/>
      <c r="CN2646" s="152"/>
      <c r="CO2646" s="152"/>
      <c r="CP2646" s="152"/>
      <c r="CQ2646" s="152"/>
      <c r="CR2646" s="152"/>
      <c r="CS2646" s="152"/>
      <c r="CT2646" s="152"/>
      <c r="CU2646" s="152"/>
      <c r="CV2646" s="152"/>
      <c r="CW2646" s="152"/>
      <c r="CX2646" s="152"/>
      <c r="CY2646" s="152"/>
      <c r="CZ2646" s="152"/>
      <c r="DA2646" s="152"/>
      <c r="DB2646" s="152"/>
      <c r="DC2646" s="152"/>
      <c r="DD2646" s="152"/>
      <c r="DE2646" s="152"/>
      <c r="DF2646" s="152"/>
      <c r="DG2646" s="152"/>
      <c r="DH2646" s="152"/>
      <c r="DI2646" s="152"/>
      <c r="DJ2646" s="152"/>
      <c r="DK2646" s="152"/>
      <c r="DL2646" s="152"/>
      <c r="DM2646" s="152"/>
      <c r="DN2646" s="152"/>
      <c r="DO2646" s="152"/>
      <c r="DP2646" s="152"/>
      <c r="DQ2646" s="152"/>
      <c r="DR2646" s="152"/>
      <c r="DS2646" s="152"/>
      <c r="DT2646" s="152"/>
      <c r="DU2646" s="152"/>
      <c r="DV2646" s="152"/>
      <c r="DW2646" s="152"/>
      <c r="DX2646" s="152"/>
      <c r="DY2646" s="152"/>
      <c r="DZ2646" s="152"/>
      <c r="EA2646" s="152"/>
      <c r="EB2646" s="152"/>
      <c r="EC2646" s="152"/>
      <c r="ED2646" s="152"/>
      <c r="EE2646" s="152"/>
      <c r="EF2646" s="152"/>
      <c r="EG2646" s="152"/>
      <c r="EH2646" s="152"/>
      <c r="EI2646" s="152"/>
      <c r="EJ2646" s="152"/>
      <c r="EK2646" s="152"/>
      <c r="EL2646" s="152"/>
      <c r="EM2646" s="152"/>
      <c r="EN2646" s="152"/>
      <c r="EO2646" s="152"/>
      <c r="EP2646" s="152"/>
      <c r="EQ2646" s="152"/>
      <c r="ER2646" s="152"/>
      <c r="ES2646" s="152"/>
      <c r="ET2646" s="152"/>
      <c r="EU2646" s="152"/>
      <c r="EV2646" s="152"/>
      <c r="EW2646" s="152"/>
      <c r="EX2646" s="152"/>
      <c r="EY2646" s="152"/>
      <c r="EZ2646" s="152"/>
      <c r="FA2646" s="152"/>
      <c r="FB2646" s="152"/>
      <c r="FC2646" s="152"/>
      <c r="FD2646" s="152"/>
      <c r="FE2646" s="152"/>
      <c r="FF2646" s="152"/>
      <c r="FG2646" s="152"/>
      <c r="FH2646" s="152"/>
      <c r="FI2646" s="152"/>
      <c r="FJ2646" s="152"/>
      <c r="FK2646" s="152"/>
      <c r="FL2646" s="152"/>
      <c r="FM2646" s="152"/>
      <c r="FN2646" s="152"/>
      <c r="FO2646" s="152"/>
      <c r="FP2646" s="152"/>
      <c r="FQ2646" s="152"/>
      <c r="FR2646" s="152"/>
      <c r="FS2646" s="152"/>
      <c r="FT2646" s="152"/>
      <c r="FU2646" s="152"/>
      <c r="FV2646" s="152"/>
      <c r="FW2646" s="152"/>
      <c r="FX2646" s="152"/>
      <c r="FY2646" s="152"/>
      <c r="FZ2646" s="152"/>
      <c r="GA2646" s="152"/>
      <c r="GB2646" s="152"/>
      <c r="GC2646" s="152"/>
      <c r="GD2646" s="152"/>
      <c r="GE2646" s="152"/>
      <c r="GF2646" s="152"/>
      <c r="GG2646" s="152"/>
      <c r="GH2646" s="152"/>
      <c r="GI2646" s="152"/>
      <c r="GJ2646" s="152"/>
      <c r="GK2646" s="152"/>
      <c r="GL2646" s="152"/>
      <c r="GM2646" s="152"/>
      <c r="GN2646" s="152"/>
      <c r="GO2646" s="152"/>
      <c r="GP2646" s="152"/>
      <c r="GQ2646" s="152"/>
      <c r="GR2646" s="152"/>
      <c r="GS2646" s="152"/>
      <c r="GT2646" s="152"/>
      <c r="GU2646" s="152"/>
      <c r="GV2646" s="152"/>
      <c r="GW2646" s="152"/>
      <c r="GX2646" s="152"/>
      <c r="GY2646" s="152"/>
      <c r="GZ2646" s="152"/>
      <c r="HA2646" s="152"/>
      <c r="HB2646" s="152"/>
      <c r="HC2646" s="152"/>
      <c r="HD2646" s="152"/>
      <c r="HE2646" s="152"/>
      <c r="HF2646" s="152"/>
    </row>
    <row r="2647" spans="1:214" x14ac:dyDescent="0.35">
      <c r="A2647" s="289"/>
      <c r="B2647" s="292"/>
      <c r="C2647" s="279"/>
      <c r="D2647" s="274"/>
      <c r="E2647" s="274"/>
      <c r="F2647" s="283"/>
      <c r="G2647" s="271" t="s">
        <v>77</v>
      </c>
      <c r="H2647" s="136" t="s">
        <v>73</v>
      </c>
      <c r="I2647" s="181">
        <v>279124.46999999997</v>
      </c>
      <c r="J2647" s="181">
        <f>I2647/D2644</f>
        <v>320.20999999999998</v>
      </c>
      <c r="K2647" s="181">
        <v>463</v>
      </c>
      <c r="L2647" s="152"/>
      <c r="M2647" s="152"/>
      <c r="N2647" s="152"/>
      <c r="O2647" s="152"/>
      <c r="P2647" s="152"/>
      <c r="Q2647" s="152"/>
      <c r="R2647" s="152"/>
      <c r="S2647" s="152"/>
      <c r="T2647" s="152"/>
      <c r="U2647" s="152"/>
      <c r="V2647" s="152"/>
      <c r="W2647" s="152"/>
      <c r="X2647" s="152"/>
      <c r="Y2647" s="152"/>
      <c r="Z2647" s="152"/>
      <c r="AA2647" s="152"/>
      <c r="AB2647" s="152"/>
      <c r="AC2647" s="152"/>
      <c r="AD2647" s="152"/>
      <c r="AE2647" s="152"/>
      <c r="AF2647" s="152"/>
      <c r="AG2647" s="152"/>
      <c r="AH2647" s="152"/>
      <c r="AI2647" s="152"/>
      <c r="AJ2647" s="152"/>
      <c r="AK2647" s="152"/>
      <c r="AL2647" s="152"/>
      <c r="AM2647" s="152"/>
      <c r="AN2647" s="152"/>
      <c r="AO2647" s="152"/>
      <c r="AP2647" s="152"/>
      <c r="AQ2647" s="152"/>
      <c r="AR2647" s="152"/>
      <c r="AS2647" s="152"/>
      <c r="AT2647" s="152"/>
      <c r="AU2647" s="152"/>
      <c r="AV2647" s="152"/>
      <c r="AW2647" s="152"/>
      <c r="AX2647" s="152"/>
      <c r="AY2647" s="152"/>
      <c r="AZ2647" s="152"/>
      <c r="BA2647" s="152"/>
      <c r="BB2647" s="152"/>
      <c r="BC2647" s="152"/>
      <c r="BD2647" s="152"/>
      <c r="BE2647" s="152"/>
      <c r="BF2647" s="152"/>
      <c r="BG2647" s="152"/>
      <c r="BH2647" s="152"/>
      <c r="BI2647" s="152"/>
      <c r="BJ2647" s="152"/>
      <c r="BK2647" s="152"/>
      <c r="BL2647" s="152"/>
      <c r="BM2647" s="152"/>
      <c r="BN2647" s="152"/>
      <c r="BO2647" s="152"/>
      <c r="BP2647" s="152"/>
      <c r="BQ2647" s="152"/>
      <c r="BR2647" s="152"/>
      <c r="BS2647" s="152"/>
      <c r="BT2647" s="152"/>
      <c r="BU2647" s="152"/>
      <c r="BV2647" s="152"/>
      <c r="BW2647" s="152"/>
      <c r="BX2647" s="152"/>
      <c r="BY2647" s="152"/>
      <c r="BZ2647" s="152"/>
      <c r="CA2647" s="152"/>
      <c r="CB2647" s="152"/>
      <c r="CC2647" s="152"/>
      <c r="CD2647" s="152"/>
      <c r="CE2647" s="152"/>
      <c r="CF2647" s="152"/>
      <c r="CG2647" s="152"/>
      <c r="CH2647" s="152"/>
      <c r="CI2647" s="152"/>
      <c r="CJ2647" s="152"/>
      <c r="CK2647" s="152"/>
      <c r="CL2647" s="152"/>
      <c r="CM2647" s="152"/>
      <c r="CN2647" s="152"/>
      <c r="CO2647" s="152"/>
      <c r="CP2647" s="152"/>
      <c r="CQ2647" s="152"/>
      <c r="CR2647" s="152"/>
      <c r="CS2647" s="152"/>
      <c r="CT2647" s="152"/>
      <c r="CU2647" s="152"/>
      <c r="CV2647" s="152"/>
      <c r="CW2647" s="152"/>
      <c r="CX2647" s="152"/>
      <c r="CY2647" s="152"/>
      <c r="CZ2647" s="152"/>
      <c r="DA2647" s="152"/>
      <c r="DB2647" s="152"/>
      <c r="DC2647" s="152"/>
      <c r="DD2647" s="152"/>
      <c r="DE2647" s="152"/>
      <c r="DF2647" s="152"/>
      <c r="DG2647" s="152"/>
      <c r="DH2647" s="152"/>
      <c r="DI2647" s="152"/>
      <c r="DJ2647" s="152"/>
      <c r="DK2647" s="152"/>
      <c r="DL2647" s="152"/>
      <c r="DM2647" s="152"/>
      <c r="DN2647" s="152"/>
      <c r="DO2647" s="152"/>
      <c r="DP2647" s="152"/>
      <c r="DQ2647" s="152"/>
      <c r="DR2647" s="152"/>
      <c r="DS2647" s="152"/>
      <c r="DT2647" s="152"/>
      <c r="DU2647" s="152"/>
      <c r="DV2647" s="152"/>
      <c r="DW2647" s="152"/>
      <c r="DX2647" s="152"/>
      <c r="DY2647" s="152"/>
      <c r="DZ2647" s="152"/>
      <c r="EA2647" s="152"/>
      <c r="EB2647" s="152"/>
      <c r="EC2647" s="152"/>
      <c r="ED2647" s="152"/>
      <c r="EE2647" s="152"/>
      <c r="EF2647" s="152"/>
      <c r="EG2647" s="152"/>
      <c r="EH2647" s="152"/>
      <c r="EI2647" s="152"/>
      <c r="EJ2647" s="152"/>
      <c r="EK2647" s="152"/>
      <c r="EL2647" s="152"/>
      <c r="EM2647" s="152"/>
      <c r="EN2647" s="152"/>
      <c r="EO2647" s="152"/>
      <c r="EP2647" s="152"/>
      <c r="EQ2647" s="152"/>
      <c r="ER2647" s="152"/>
      <c r="ES2647" s="152"/>
      <c r="ET2647" s="152"/>
      <c r="EU2647" s="152"/>
      <c r="EV2647" s="152"/>
      <c r="EW2647" s="152"/>
      <c r="EX2647" s="152"/>
      <c r="EY2647" s="152"/>
      <c r="EZ2647" s="152"/>
      <c r="FA2647" s="152"/>
      <c r="FB2647" s="152"/>
      <c r="FC2647" s="152"/>
      <c r="FD2647" s="152"/>
      <c r="FE2647" s="152"/>
      <c r="FF2647" s="152"/>
      <c r="FG2647" s="152"/>
      <c r="FH2647" s="152"/>
      <c r="FI2647" s="152"/>
      <c r="FJ2647" s="152"/>
      <c r="FK2647" s="152"/>
      <c r="FL2647" s="152"/>
      <c r="FM2647" s="152"/>
      <c r="FN2647" s="152"/>
      <c r="FO2647" s="152"/>
      <c r="FP2647" s="152"/>
      <c r="FQ2647" s="152"/>
      <c r="FR2647" s="152"/>
      <c r="FS2647" s="152"/>
      <c r="FT2647" s="152"/>
      <c r="FU2647" s="152"/>
      <c r="FV2647" s="152"/>
      <c r="FW2647" s="152"/>
      <c r="FX2647" s="152"/>
      <c r="FY2647" s="152"/>
      <c r="FZ2647" s="152"/>
      <c r="GA2647" s="152"/>
      <c r="GB2647" s="152"/>
      <c r="GC2647" s="152"/>
      <c r="GD2647" s="152"/>
      <c r="GE2647" s="152"/>
      <c r="GF2647" s="152"/>
      <c r="GG2647" s="152"/>
      <c r="GH2647" s="152"/>
      <c r="GI2647" s="152"/>
      <c r="GJ2647" s="152"/>
      <c r="GK2647" s="152"/>
      <c r="GL2647" s="152"/>
      <c r="GM2647" s="152"/>
      <c r="GN2647" s="152"/>
      <c r="GO2647" s="152"/>
      <c r="GP2647" s="152"/>
      <c r="GQ2647" s="152"/>
      <c r="GR2647" s="152"/>
      <c r="GS2647" s="152"/>
      <c r="GT2647" s="152"/>
      <c r="GU2647" s="152"/>
      <c r="GV2647" s="152"/>
      <c r="GW2647" s="152"/>
      <c r="GX2647" s="152"/>
      <c r="GY2647" s="152"/>
      <c r="GZ2647" s="152"/>
      <c r="HA2647" s="152"/>
      <c r="HB2647" s="152"/>
      <c r="HC2647" s="152"/>
      <c r="HD2647" s="152"/>
      <c r="HE2647" s="152"/>
      <c r="HF2647" s="152"/>
    </row>
    <row r="2648" spans="1:214" x14ac:dyDescent="0.35">
      <c r="A2648" s="289"/>
      <c r="B2648" s="292"/>
      <c r="C2648" s="279"/>
      <c r="D2648" s="274"/>
      <c r="E2648" s="274"/>
      <c r="F2648" s="283"/>
      <c r="G2648" s="272"/>
      <c r="H2648" s="136" t="s">
        <v>75</v>
      </c>
      <c r="I2648" s="181">
        <f>I2647*0.0214</f>
        <v>5973.26</v>
      </c>
      <c r="J2648" s="181">
        <f>I2648/D2644</f>
        <v>6.85</v>
      </c>
      <c r="K2648" s="181">
        <v>10</v>
      </c>
      <c r="L2648" s="152"/>
      <c r="M2648" s="152"/>
      <c r="N2648" s="152"/>
      <c r="O2648" s="152"/>
      <c r="P2648" s="152"/>
      <c r="Q2648" s="152"/>
      <c r="R2648" s="152"/>
      <c r="S2648" s="152"/>
      <c r="T2648" s="152"/>
      <c r="U2648" s="152"/>
      <c r="V2648" s="152"/>
      <c r="W2648" s="152"/>
      <c r="X2648" s="152"/>
      <c r="Y2648" s="152"/>
      <c r="Z2648" s="152"/>
      <c r="AA2648" s="152"/>
      <c r="AB2648" s="152"/>
      <c r="AC2648" s="152"/>
      <c r="AD2648" s="152"/>
      <c r="AE2648" s="152"/>
      <c r="AF2648" s="152"/>
      <c r="AG2648" s="152"/>
      <c r="AH2648" s="152"/>
      <c r="AI2648" s="152"/>
      <c r="AJ2648" s="152"/>
      <c r="AK2648" s="152"/>
      <c r="AL2648" s="152"/>
      <c r="AM2648" s="152"/>
      <c r="AN2648" s="152"/>
      <c r="AO2648" s="152"/>
      <c r="AP2648" s="152"/>
      <c r="AQ2648" s="152"/>
      <c r="AR2648" s="152"/>
      <c r="AS2648" s="152"/>
      <c r="AT2648" s="152"/>
      <c r="AU2648" s="152"/>
      <c r="AV2648" s="152"/>
      <c r="AW2648" s="152"/>
      <c r="AX2648" s="152"/>
      <c r="AY2648" s="152"/>
      <c r="AZ2648" s="152"/>
      <c r="BA2648" s="152"/>
      <c r="BB2648" s="152"/>
      <c r="BC2648" s="152"/>
      <c r="BD2648" s="152"/>
      <c r="BE2648" s="152"/>
      <c r="BF2648" s="152"/>
      <c r="BG2648" s="152"/>
      <c r="BH2648" s="152"/>
      <c r="BI2648" s="152"/>
      <c r="BJ2648" s="152"/>
      <c r="BK2648" s="152"/>
      <c r="BL2648" s="152"/>
      <c r="BM2648" s="152"/>
      <c r="BN2648" s="152"/>
      <c r="BO2648" s="152"/>
      <c r="BP2648" s="152"/>
      <c r="BQ2648" s="152"/>
      <c r="BR2648" s="152"/>
      <c r="BS2648" s="152"/>
      <c r="BT2648" s="152"/>
      <c r="BU2648" s="152"/>
      <c r="BV2648" s="152"/>
      <c r="BW2648" s="152"/>
      <c r="BX2648" s="152"/>
      <c r="BY2648" s="152"/>
      <c r="BZ2648" s="152"/>
      <c r="CA2648" s="152"/>
      <c r="CB2648" s="152"/>
      <c r="CC2648" s="152"/>
      <c r="CD2648" s="152"/>
      <c r="CE2648" s="152"/>
      <c r="CF2648" s="152"/>
      <c r="CG2648" s="152"/>
      <c r="CH2648" s="152"/>
      <c r="CI2648" s="152"/>
      <c r="CJ2648" s="152"/>
      <c r="CK2648" s="152"/>
      <c r="CL2648" s="152"/>
      <c r="CM2648" s="152"/>
      <c r="CN2648" s="152"/>
      <c r="CO2648" s="152"/>
      <c r="CP2648" s="152"/>
      <c r="CQ2648" s="152"/>
      <c r="CR2648" s="152"/>
      <c r="CS2648" s="152"/>
      <c r="CT2648" s="152"/>
      <c r="CU2648" s="152"/>
      <c r="CV2648" s="152"/>
      <c r="CW2648" s="152"/>
      <c r="CX2648" s="152"/>
      <c r="CY2648" s="152"/>
      <c r="CZ2648" s="152"/>
      <c r="DA2648" s="152"/>
      <c r="DB2648" s="152"/>
      <c r="DC2648" s="152"/>
      <c r="DD2648" s="152"/>
      <c r="DE2648" s="152"/>
      <c r="DF2648" s="152"/>
      <c r="DG2648" s="152"/>
      <c r="DH2648" s="152"/>
      <c r="DI2648" s="152"/>
      <c r="DJ2648" s="152"/>
      <c r="DK2648" s="152"/>
      <c r="DL2648" s="152"/>
      <c r="DM2648" s="152"/>
      <c r="DN2648" s="152"/>
      <c r="DO2648" s="152"/>
      <c r="DP2648" s="152"/>
      <c r="DQ2648" s="152"/>
      <c r="DR2648" s="152"/>
      <c r="DS2648" s="152"/>
      <c r="DT2648" s="152"/>
      <c r="DU2648" s="152"/>
      <c r="DV2648" s="152"/>
      <c r="DW2648" s="152"/>
      <c r="DX2648" s="152"/>
      <c r="DY2648" s="152"/>
      <c r="DZ2648" s="152"/>
      <c r="EA2648" s="152"/>
      <c r="EB2648" s="152"/>
      <c r="EC2648" s="152"/>
      <c r="ED2648" s="152"/>
      <c r="EE2648" s="152"/>
      <c r="EF2648" s="152"/>
      <c r="EG2648" s="152"/>
      <c r="EH2648" s="152"/>
      <c r="EI2648" s="152"/>
      <c r="EJ2648" s="152"/>
      <c r="EK2648" s="152"/>
      <c r="EL2648" s="152"/>
      <c r="EM2648" s="152"/>
      <c r="EN2648" s="152"/>
      <c r="EO2648" s="152"/>
      <c r="EP2648" s="152"/>
      <c r="EQ2648" s="152"/>
      <c r="ER2648" s="152"/>
      <c r="ES2648" s="152"/>
      <c r="ET2648" s="152"/>
      <c r="EU2648" s="152"/>
      <c r="EV2648" s="152"/>
      <c r="EW2648" s="152"/>
      <c r="EX2648" s="152"/>
      <c r="EY2648" s="152"/>
      <c r="EZ2648" s="152"/>
      <c r="FA2648" s="152"/>
      <c r="FB2648" s="152"/>
      <c r="FC2648" s="152"/>
      <c r="FD2648" s="152"/>
      <c r="FE2648" s="152"/>
      <c r="FF2648" s="152"/>
      <c r="FG2648" s="152"/>
      <c r="FH2648" s="152"/>
      <c r="FI2648" s="152"/>
      <c r="FJ2648" s="152"/>
      <c r="FK2648" s="152"/>
      <c r="FL2648" s="152"/>
      <c r="FM2648" s="152"/>
      <c r="FN2648" s="152"/>
      <c r="FO2648" s="152"/>
      <c r="FP2648" s="152"/>
      <c r="FQ2648" s="152"/>
      <c r="FR2648" s="152"/>
      <c r="FS2648" s="152"/>
      <c r="FT2648" s="152"/>
      <c r="FU2648" s="152"/>
      <c r="FV2648" s="152"/>
      <c r="FW2648" s="152"/>
      <c r="FX2648" s="152"/>
      <c r="FY2648" s="152"/>
      <c r="FZ2648" s="152"/>
      <c r="GA2648" s="152"/>
      <c r="GB2648" s="152"/>
      <c r="GC2648" s="152"/>
      <c r="GD2648" s="152"/>
      <c r="GE2648" s="152"/>
      <c r="GF2648" s="152"/>
      <c r="GG2648" s="152"/>
      <c r="GH2648" s="152"/>
      <c r="GI2648" s="152"/>
      <c r="GJ2648" s="152"/>
      <c r="GK2648" s="152"/>
      <c r="GL2648" s="152"/>
      <c r="GM2648" s="152"/>
      <c r="GN2648" s="152"/>
      <c r="GO2648" s="152"/>
      <c r="GP2648" s="152"/>
      <c r="GQ2648" s="152"/>
      <c r="GR2648" s="152"/>
      <c r="GS2648" s="152"/>
      <c r="GT2648" s="152"/>
      <c r="GU2648" s="152"/>
      <c r="GV2648" s="152"/>
      <c r="GW2648" s="152"/>
      <c r="GX2648" s="152"/>
      <c r="GY2648" s="152"/>
      <c r="GZ2648" s="152"/>
      <c r="HA2648" s="152"/>
      <c r="HB2648" s="152"/>
      <c r="HC2648" s="152"/>
      <c r="HD2648" s="152"/>
      <c r="HE2648" s="152"/>
      <c r="HF2648" s="152"/>
    </row>
    <row r="2649" spans="1:214" x14ac:dyDescent="0.35">
      <c r="A2649" s="289"/>
      <c r="B2649" s="292"/>
      <c r="C2649" s="279"/>
      <c r="D2649" s="274"/>
      <c r="E2649" s="274"/>
      <c r="F2649" s="283"/>
      <c r="G2649" s="271" t="s">
        <v>682</v>
      </c>
      <c r="H2649" s="136" t="s">
        <v>656</v>
      </c>
      <c r="I2649" s="181">
        <v>1007407.18</v>
      </c>
      <c r="J2649" s="181">
        <f>I2649/D2644</f>
        <v>1155.68</v>
      </c>
      <c r="K2649" s="181">
        <f>1176*2</f>
        <v>2352</v>
      </c>
      <c r="L2649" s="152"/>
      <c r="M2649" s="152"/>
      <c r="N2649" s="152"/>
      <c r="O2649" s="152"/>
      <c r="P2649" s="152"/>
      <c r="Q2649" s="152"/>
      <c r="R2649" s="152"/>
      <c r="S2649" s="152"/>
      <c r="T2649" s="152"/>
      <c r="U2649" s="152"/>
      <c r="V2649" s="152"/>
      <c r="W2649" s="152"/>
      <c r="X2649" s="152"/>
      <c r="Y2649" s="152"/>
      <c r="Z2649" s="152"/>
      <c r="AA2649" s="152"/>
      <c r="AB2649" s="152"/>
      <c r="AC2649" s="152"/>
      <c r="AD2649" s="152"/>
      <c r="AE2649" s="152"/>
      <c r="AF2649" s="152"/>
      <c r="AG2649" s="152"/>
      <c r="AH2649" s="152"/>
      <c r="AI2649" s="152"/>
      <c r="AJ2649" s="152"/>
      <c r="AK2649" s="152"/>
      <c r="AL2649" s="152"/>
      <c r="AM2649" s="152"/>
      <c r="AN2649" s="152"/>
      <c r="AO2649" s="152"/>
      <c r="AP2649" s="152"/>
      <c r="AQ2649" s="152"/>
      <c r="AR2649" s="152"/>
      <c r="AS2649" s="152"/>
      <c r="AT2649" s="152"/>
      <c r="AU2649" s="152"/>
      <c r="AV2649" s="152"/>
      <c r="AW2649" s="152"/>
      <c r="AX2649" s="152"/>
      <c r="AY2649" s="152"/>
      <c r="AZ2649" s="152"/>
      <c r="BA2649" s="152"/>
      <c r="BB2649" s="152"/>
      <c r="BC2649" s="152"/>
      <c r="BD2649" s="152"/>
      <c r="BE2649" s="152"/>
      <c r="BF2649" s="152"/>
      <c r="BG2649" s="152"/>
      <c r="BH2649" s="152"/>
      <c r="BI2649" s="152"/>
      <c r="BJ2649" s="152"/>
      <c r="BK2649" s="152"/>
      <c r="BL2649" s="152"/>
      <c r="BM2649" s="152"/>
      <c r="BN2649" s="152"/>
      <c r="BO2649" s="152"/>
      <c r="BP2649" s="152"/>
      <c r="BQ2649" s="152"/>
      <c r="BR2649" s="152"/>
      <c r="BS2649" s="152"/>
      <c r="BT2649" s="152"/>
      <c r="BU2649" s="152"/>
      <c r="BV2649" s="152"/>
      <c r="BW2649" s="152"/>
      <c r="BX2649" s="152"/>
      <c r="BY2649" s="152"/>
      <c r="BZ2649" s="152"/>
      <c r="CA2649" s="152"/>
      <c r="CB2649" s="152"/>
      <c r="CC2649" s="152"/>
      <c r="CD2649" s="152"/>
      <c r="CE2649" s="152"/>
      <c r="CF2649" s="152"/>
      <c r="CG2649" s="152"/>
      <c r="CH2649" s="152"/>
      <c r="CI2649" s="152"/>
      <c r="CJ2649" s="152"/>
      <c r="CK2649" s="152"/>
      <c r="CL2649" s="152"/>
      <c r="CM2649" s="152"/>
      <c r="CN2649" s="152"/>
      <c r="CO2649" s="152"/>
      <c r="CP2649" s="152"/>
      <c r="CQ2649" s="152"/>
      <c r="CR2649" s="152"/>
      <c r="CS2649" s="152"/>
      <c r="CT2649" s="152"/>
      <c r="CU2649" s="152"/>
      <c r="CV2649" s="152"/>
      <c r="CW2649" s="152"/>
      <c r="CX2649" s="152"/>
      <c r="CY2649" s="152"/>
      <c r="CZ2649" s="152"/>
      <c r="DA2649" s="152"/>
      <c r="DB2649" s="152"/>
      <c r="DC2649" s="152"/>
      <c r="DD2649" s="152"/>
      <c r="DE2649" s="152"/>
      <c r="DF2649" s="152"/>
      <c r="DG2649" s="152"/>
      <c r="DH2649" s="152"/>
      <c r="DI2649" s="152"/>
      <c r="DJ2649" s="152"/>
      <c r="DK2649" s="152"/>
      <c r="DL2649" s="152"/>
      <c r="DM2649" s="152"/>
      <c r="DN2649" s="152"/>
      <c r="DO2649" s="152"/>
      <c r="DP2649" s="152"/>
      <c r="DQ2649" s="152"/>
      <c r="DR2649" s="152"/>
      <c r="DS2649" s="152"/>
      <c r="DT2649" s="152"/>
      <c r="DU2649" s="152"/>
      <c r="DV2649" s="152"/>
      <c r="DW2649" s="152"/>
      <c r="DX2649" s="152"/>
      <c r="DY2649" s="152"/>
      <c r="DZ2649" s="152"/>
      <c r="EA2649" s="152"/>
      <c r="EB2649" s="152"/>
      <c r="EC2649" s="152"/>
      <c r="ED2649" s="152"/>
      <c r="EE2649" s="152"/>
      <c r="EF2649" s="152"/>
      <c r="EG2649" s="152"/>
      <c r="EH2649" s="152"/>
      <c r="EI2649" s="152"/>
      <c r="EJ2649" s="152"/>
      <c r="EK2649" s="152"/>
      <c r="EL2649" s="152"/>
      <c r="EM2649" s="152"/>
      <c r="EN2649" s="152"/>
      <c r="EO2649" s="152"/>
      <c r="EP2649" s="152"/>
      <c r="EQ2649" s="152"/>
      <c r="ER2649" s="152"/>
      <c r="ES2649" s="152"/>
      <c r="ET2649" s="152"/>
      <c r="EU2649" s="152"/>
      <c r="EV2649" s="152"/>
      <c r="EW2649" s="152"/>
      <c r="EX2649" s="152"/>
      <c r="EY2649" s="152"/>
      <c r="EZ2649" s="152"/>
      <c r="FA2649" s="152"/>
      <c r="FB2649" s="152"/>
      <c r="FC2649" s="152"/>
      <c r="FD2649" s="152"/>
      <c r="FE2649" s="152"/>
      <c r="FF2649" s="152"/>
      <c r="FG2649" s="152"/>
      <c r="FH2649" s="152"/>
      <c r="FI2649" s="152"/>
      <c r="FJ2649" s="152"/>
      <c r="FK2649" s="152"/>
      <c r="FL2649" s="152"/>
      <c r="FM2649" s="152"/>
      <c r="FN2649" s="152"/>
      <c r="FO2649" s="152"/>
      <c r="FP2649" s="152"/>
      <c r="FQ2649" s="152"/>
      <c r="FR2649" s="152"/>
      <c r="FS2649" s="152"/>
      <c r="FT2649" s="152"/>
      <c r="FU2649" s="152"/>
      <c r="FV2649" s="152"/>
      <c r="FW2649" s="152"/>
      <c r="FX2649" s="152"/>
      <c r="FY2649" s="152"/>
      <c r="FZ2649" s="152"/>
      <c r="GA2649" s="152"/>
      <c r="GB2649" s="152"/>
      <c r="GC2649" s="152"/>
      <c r="GD2649" s="152"/>
      <c r="GE2649" s="152"/>
      <c r="GF2649" s="152"/>
      <c r="GG2649" s="152"/>
      <c r="GH2649" s="152"/>
      <c r="GI2649" s="152"/>
      <c r="GJ2649" s="152"/>
      <c r="GK2649" s="152"/>
      <c r="GL2649" s="152"/>
      <c r="GM2649" s="152"/>
      <c r="GN2649" s="152"/>
      <c r="GO2649" s="152"/>
      <c r="GP2649" s="152"/>
      <c r="GQ2649" s="152"/>
      <c r="GR2649" s="152"/>
      <c r="GS2649" s="152"/>
      <c r="GT2649" s="152"/>
      <c r="GU2649" s="152"/>
      <c r="GV2649" s="152"/>
      <c r="GW2649" s="152"/>
      <c r="GX2649" s="152"/>
      <c r="GY2649" s="152"/>
      <c r="GZ2649" s="152"/>
      <c r="HA2649" s="152"/>
      <c r="HB2649" s="152"/>
      <c r="HC2649" s="152"/>
      <c r="HD2649" s="152"/>
      <c r="HE2649" s="152"/>
      <c r="HF2649" s="152"/>
    </row>
    <row r="2650" spans="1:214" x14ac:dyDescent="0.35">
      <c r="A2650" s="289"/>
      <c r="B2650" s="292"/>
      <c r="C2650" s="279"/>
      <c r="D2650" s="274"/>
      <c r="E2650" s="274"/>
      <c r="F2650" s="283"/>
      <c r="G2650" s="272"/>
      <c r="H2650" s="136" t="s">
        <v>75</v>
      </c>
      <c r="I2650" s="181">
        <f>I2649*0.0214</f>
        <v>21558.51</v>
      </c>
      <c r="J2650" s="181">
        <f>I2650/D2644</f>
        <v>24.73</v>
      </c>
      <c r="K2650" s="181">
        <f>25*2</f>
        <v>50</v>
      </c>
      <c r="L2650" s="152"/>
      <c r="M2650" s="152"/>
      <c r="N2650" s="152"/>
      <c r="O2650" s="152"/>
      <c r="P2650" s="152"/>
      <c r="Q2650" s="152"/>
      <c r="R2650" s="152"/>
      <c r="S2650" s="152"/>
      <c r="T2650" s="152"/>
      <c r="U2650" s="152"/>
      <c r="V2650" s="152"/>
      <c r="W2650" s="152"/>
      <c r="X2650" s="152"/>
      <c r="Y2650" s="152"/>
      <c r="Z2650" s="152"/>
      <c r="AA2650" s="152"/>
      <c r="AB2650" s="152"/>
      <c r="AC2650" s="152"/>
      <c r="AD2650" s="152"/>
      <c r="AE2650" s="152"/>
      <c r="AF2650" s="152"/>
      <c r="AG2650" s="152"/>
      <c r="AH2650" s="152"/>
      <c r="AI2650" s="152"/>
      <c r="AJ2650" s="152"/>
      <c r="AK2650" s="152"/>
      <c r="AL2650" s="152"/>
      <c r="AM2650" s="152"/>
      <c r="AN2650" s="152"/>
      <c r="AO2650" s="152"/>
      <c r="AP2650" s="152"/>
      <c r="AQ2650" s="152"/>
      <c r="AR2650" s="152"/>
      <c r="AS2650" s="152"/>
      <c r="AT2650" s="152"/>
      <c r="AU2650" s="152"/>
      <c r="AV2650" s="152"/>
      <c r="AW2650" s="152"/>
      <c r="AX2650" s="152"/>
      <c r="AY2650" s="152"/>
      <c r="AZ2650" s="152"/>
      <c r="BA2650" s="152"/>
      <c r="BB2650" s="152"/>
      <c r="BC2650" s="152"/>
      <c r="BD2650" s="152"/>
      <c r="BE2650" s="152"/>
      <c r="BF2650" s="152"/>
      <c r="BG2650" s="152"/>
      <c r="BH2650" s="152"/>
      <c r="BI2650" s="152"/>
      <c r="BJ2650" s="152"/>
      <c r="BK2650" s="152"/>
      <c r="BL2650" s="152"/>
      <c r="BM2650" s="152"/>
      <c r="BN2650" s="152"/>
      <c r="BO2650" s="152"/>
      <c r="BP2650" s="152"/>
      <c r="BQ2650" s="152"/>
      <c r="BR2650" s="152"/>
      <c r="BS2650" s="152"/>
      <c r="BT2650" s="152"/>
      <c r="BU2650" s="152"/>
      <c r="BV2650" s="152"/>
      <c r="BW2650" s="152"/>
      <c r="BX2650" s="152"/>
      <c r="BY2650" s="152"/>
      <c r="BZ2650" s="152"/>
      <c r="CA2650" s="152"/>
      <c r="CB2650" s="152"/>
      <c r="CC2650" s="152"/>
      <c r="CD2650" s="152"/>
      <c r="CE2650" s="152"/>
      <c r="CF2650" s="152"/>
      <c r="CG2650" s="152"/>
      <c r="CH2650" s="152"/>
      <c r="CI2650" s="152"/>
      <c r="CJ2650" s="152"/>
      <c r="CK2650" s="152"/>
      <c r="CL2650" s="152"/>
      <c r="CM2650" s="152"/>
      <c r="CN2650" s="152"/>
      <c r="CO2650" s="152"/>
      <c r="CP2650" s="152"/>
      <c r="CQ2650" s="152"/>
      <c r="CR2650" s="152"/>
      <c r="CS2650" s="152"/>
      <c r="CT2650" s="152"/>
      <c r="CU2650" s="152"/>
      <c r="CV2650" s="152"/>
      <c r="CW2650" s="152"/>
      <c r="CX2650" s="152"/>
      <c r="CY2650" s="152"/>
      <c r="CZ2650" s="152"/>
      <c r="DA2650" s="152"/>
      <c r="DB2650" s="152"/>
      <c r="DC2650" s="152"/>
      <c r="DD2650" s="152"/>
      <c r="DE2650" s="152"/>
      <c r="DF2650" s="152"/>
      <c r="DG2650" s="152"/>
      <c r="DH2650" s="152"/>
      <c r="DI2650" s="152"/>
      <c r="DJ2650" s="152"/>
      <c r="DK2650" s="152"/>
      <c r="DL2650" s="152"/>
      <c r="DM2650" s="152"/>
      <c r="DN2650" s="152"/>
      <c r="DO2650" s="152"/>
      <c r="DP2650" s="152"/>
      <c r="DQ2650" s="152"/>
      <c r="DR2650" s="152"/>
      <c r="DS2650" s="152"/>
      <c r="DT2650" s="152"/>
      <c r="DU2650" s="152"/>
      <c r="DV2650" s="152"/>
      <c r="DW2650" s="152"/>
      <c r="DX2650" s="152"/>
      <c r="DY2650" s="152"/>
      <c r="DZ2650" s="152"/>
      <c r="EA2650" s="152"/>
      <c r="EB2650" s="152"/>
      <c r="EC2650" s="152"/>
      <c r="ED2650" s="152"/>
      <c r="EE2650" s="152"/>
      <c r="EF2650" s="152"/>
      <c r="EG2650" s="152"/>
      <c r="EH2650" s="152"/>
      <c r="EI2650" s="152"/>
      <c r="EJ2650" s="152"/>
      <c r="EK2650" s="152"/>
      <c r="EL2650" s="152"/>
      <c r="EM2650" s="152"/>
      <c r="EN2650" s="152"/>
      <c r="EO2650" s="152"/>
      <c r="EP2650" s="152"/>
      <c r="EQ2650" s="152"/>
      <c r="ER2650" s="152"/>
      <c r="ES2650" s="152"/>
      <c r="ET2650" s="152"/>
      <c r="EU2650" s="152"/>
      <c r="EV2650" s="152"/>
      <c r="EW2650" s="152"/>
      <c r="EX2650" s="152"/>
      <c r="EY2650" s="152"/>
      <c r="EZ2650" s="152"/>
      <c r="FA2650" s="152"/>
      <c r="FB2650" s="152"/>
      <c r="FC2650" s="152"/>
      <c r="FD2650" s="152"/>
      <c r="FE2650" s="152"/>
      <c r="FF2650" s="152"/>
      <c r="FG2650" s="152"/>
      <c r="FH2650" s="152"/>
      <c r="FI2650" s="152"/>
      <c r="FJ2650" s="152"/>
      <c r="FK2650" s="152"/>
      <c r="FL2650" s="152"/>
      <c r="FM2650" s="152"/>
      <c r="FN2650" s="152"/>
      <c r="FO2650" s="152"/>
      <c r="FP2650" s="152"/>
      <c r="FQ2650" s="152"/>
      <c r="FR2650" s="152"/>
      <c r="FS2650" s="152"/>
      <c r="FT2650" s="152"/>
      <c r="FU2650" s="152"/>
      <c r="FV2650" s="152"/>
      <c r="FW2650" s="152"/>
      <c r="FX2650" s="152"/>
      <c r="FY2650" s="152"/>
      <c r="FZ2650" s="152"/>
      <c r="GA2650" s="152"/>
      <c r="GB2650" s="152"/>
      <c r="GC2650" s="152"/>
      <c r="GD2650" s="152"/>
      <c r="GE2650" s="152"/>
      <c r="GF2650" s="152"/>
      <c r="GG2650" s="152"/>
      <c r="GH2650" s="152"/>
      <c r="GI2650" s="152"/>
      <c r="GJ2650" s="152"/>
      <c r="GK2650" s="152"/>
      <c r="GL2650" s="152"/>
      <c r="GM2650" s="152"/>
      <c r="GN2650" s="152"/>
      <c r="GO2650" s="152"/>
      <c r="GP2650" s="152"/>
      <c r="GQ2650" s="152"/>
      <c r="GR2650" s="152"/>
      <c r="GS2650" s="152"/>
      <c r="GT2650" s="152"/>
      <c r="GU2650" s="152"/>
      <c r="GV2650" s="152"/>
      <c r="GW2650" s="152"/>
      <c r="GX2650" s="152"/>
      <c r="GY2650" s="152"/>
      <c r="GZ2650" s="152"/>
      <c r="HA2650" s="152"/>
      <c r="HB2650" s="152"/>
      <c r="HC2650" s="152"/>
      <c r="HD2650" s="152"/>
      <c r="HE2650" s="152"/>
      <c r="HF2650" s="152"/>
    </row>
    <row r="2651" spans="1:214" x14ac:dyDescent="0.35">
      <c r="A2651" s="289"/>
      <c r="B2651" s="292"/>
      <c r="C2651" s="279"/>
      <c r="D2651" s="274"/>
      <c r="E2651" s="274"/>
      <c r="F2651" s="283"/>
      <c r="G2651" s="271" t="s">
        <v>89</v>
      </c>
      <c r="H2651" s="136" t="s">
        <v>73</v>
      </c>
      <c r="I2651" s="181">
        <f>D2644*K2651</f>
        <v>390521.59999999998</v>
      </c>
      <c r="J2651" s="181">
        <f>I2651/D2644</f>
        <v>448</v>
      </c>
      <c r="K2651" s="181">
        <v>448</v>
      </c>
      <c r="L2651" s="152"/>
      <c r="M2651" s="152"/>
      <c r="N2651" s="152"/>
      <c r="O2651" s="152"/>
      <c r="P2651" s="152"/>
      <c r="Q2651" s="152"/>
      <c r="R2651" s="152"/>
      <c r="S2651" s="152"/>
      <c r="T2651" s="152"/>
      <c r="U2651" s="152"/>
      <c r="V2651" s="152"/>
      <c r="W2651" s="152"/>
      <c r="X2651" s="152"/>
      <c r="Y2651" s="152"/>
      <c r="Z2651" s="152"/>
      <c r="AA2651" s="152"/>
      <c r="AB2651" s="152"/>
      <c r="AC2651" s="152"/>
      <c r="AD2651" s="152"/>
      <c r="AE2651" s="152"/>
      <c r="AF2651" s="152"/>
      <c r="AG2651" s="152"/>
      <c r="AH2651" s="152"/>
      <c r="AI2651" s="152"/>
      <c r="AJ2651" s="152"/>
      <c r="AK2651" s="152"/>
      <c r="AL2651" s="152"/>
      <c r="AM2651" s="152"/>
      <c r="AN2651" s="152"/>
      <c r="AO2651" s="152"/>
      <c r="AP2651" s="152"/>
      <c r="AQ2651" s="152"/>
      <c r="AR2651" s="152"/>
      <c r="AS2651" s="152"/>
      <c r="AT2651" s="152"/>
      <c r="AU2651" s="152"/>
      <c r="AV2651" s="152"/>
      <c r="AW2651" s="152"/>
      <c r="AX2651" s="152"/>
      <c r="AY2651" s="152"/>
      <c r="AZ2651" s="152"/>
      <c r="BA2651" s="152"/>
      <c r="BB2651" s="152"/>
      <c r="BC2651" s="152"/>
      <c r="BD2651" s="152"/>
      <c r="BE2651" s="152"/>
      <c r="BF2651" s="152"/>
      <c r="BG2651" s="152"/>
      <c r="BH2651" s="152"/>
      <c r="BI2651" s="152"/>
      <c r="BJ2651" s="152"/>
      <c r="BK2651" s="152"/>
      <c r="BL2651" s="152"/>
      <c r="BM2651" s="152"/>
      <c r="BN2651" s="152"/>
      <c r="BO2651" s="152"/>
      <c r="BP2651" s="152"/>
      <c r="BQ2651" s="152"/>
      <c r="BR2651" s="152"/>
      <c r="BS2651" s="152"/>
      <c r="BT2651" s="152"/>
      <c r="BU2651" s="152"/>
      <c r="BV2651" s="152"/>
      <c r="BW2651" s="152"/>
      <c r="BX2651" s="152"/>
      <c r="BY2651" s="152"/>
      <c r="BZ2651" s="152"/>
      <c r="CA2651" s="152"/>
      <c r="CB2651" s="152"/>
      <c r="CC2651" s="152"/>
      <c r="CD2651" s="152"/>
      <c r="CE2651" s="152"/>
      <c r="CF2651" s="152"/>
      <c r="CG2651" s="152"/>
      <c r="CH2651" s="152"/>
      <c r="CI2651" s="152"/>
      <c r="CJ2651" s="152"/>
      <c r="CK2651" s="152"/>
      <c r="CL2651" s="152"/>
      <c r="CM2651" s="152"/>
      <c r="CN2651" s="152"/>
      <c r="CO2651" s="152"/>
      <c r="CP2651" s="152"/>
      <c r="CQ2651" s="152"/>
      <c r="CR2651" s="152"/>
      <c r="CS2651" s="152"/>
      <c r="CT2651" s="152"/>
      <c r="CU2651" s="152"/>
      <c r="CV2651" s="152"/>
      <c r="CW2651" s="152"/>
      <c r="CX2651" s="152"/>
      <c r="CY2651" s="152"/>
      <c r="CZ2651" s="152"/>
      <c r="DA2651" s="152"/>
      <c r="DB2651" s="152"/>
      <c r="DC2651" s="152"/>
      <c r="DD2651" s="152"/>
      <c r="DE2651" s="152"/>
      <c r="DF2651" s="152"/>
      <c r="DG2651" s="152"/>
      <c r="DH2651" s="152"/>
      <c r="DI2651" s="152"/>
      <c r="DJ2651" s="152"/>
      <c r="DK2651" s="152"/>
      <c r="DL2651" s="152"/>
      <c r="DM2651" s="152"/>
      <c r="DN2651" s="152"/>
      <c r="DO2651" s="152"/>
      <c r="DP2651" s="152"/>
      <c r="DQ2651" s="152"/>
      <c r="DR2651" s="152"/>
      <c r="DS2651" s="152"/>
      <c r="DT2651" s="152"/>
      <c r="DU2651" s="152"/>
      <c r="DV2651" s="152"/>
      <c r="DW2651" s="152"/>
      <c r="DX2651" s="152"/>
      <c r="DY2651" s="152"/>
      <c r="DZ2651" s="152"/>
      <c r="EA2651" s="152"/>
      <c r="EB2651" s="152"/>
      <c r="EC2651" s="152"/>
      <c r="ED2651" s="152"/>
      <c r="EE2651" s="152"/>
      <c r="EF2651" s="152"/>
      <c r="EG2651" s="152"/>
      <c r="EH2651" s="152"/>
      <c r="EI2651" s="152"/>
      <c r="EJ2651" s="152"/>
      <c r="EK2651" s="152"/>
      <c r="EL2651" s="152"/>
      <c r="EM2651" s="152"/>
      <c r="EN2651" s="152"/>
      <c r="EO2651" s="152"/>
      <c r="EP2651" s="152"/>
      <c r="EQ2651" s="152"/>
      <c r="ER2651" s="152"/>
      <c r="ES2651" s="152"/>
      <c r="ET2651" s="152"/>
      <c r="EU2651" s="152"/>
      <c r="EV2651" s="152"/>
      <c r="EW2651" s="152"/>
      <c r="EX2651" s="152"/>
      <c r="EY2651" s="152"/>
      <c r="EZ2651" s="152"/>
      <c r="FA2651" s="152"/>
      <c r="FB2651" s="152"/>
      <c r="FC2651" s="152"/>
      <c r="FD2651" s="152"/>
      <c r="FE2651" s="152"/>
      <c r="FF2651" s="152"/>
      <c r="FG2651" s="152"/>
      <c r="FH2651" s="152"/>
      <c r="FI2651" s="152"/>
      <c r="FJ2651" s="152"/>
      <c r="FK2651" s="152"/>
      <c r="FL2651" s="152"/>
      <c r="FM2651" s="152"/>
      <c r="FN2651" s="152"/>
      <c r="FO2651" s="152"/>
      <c r="FP2651" s="152"/>
      <c r="FQ2651" s="152"/>
      <c r="FR2651" s="152"/>
      <c r="FS2651" s="152"/>
      <c r="FT2651" s="152"/>
      <c r="FU2651" s="152"/>
      <c r="FV2651" s="152"/>
      <c r="FW2651" s="152"/>
      <c r="FX2651" s="152"/>
      <c r="FY2651" s="152"/>
      <c r="FZ2651" s="152"/>
      <c r="GA2651" s="152"/>
      <c r="GB2651" s="152"/>
      <c r="GC2651" s="152"/>
      <c r="GD2651" s="152"/>
      <c r="GE2651" s="152"/>
      <c r="GF2651" s="152"/>
      <c r="GG2651" s="152"/>
      <c r="GH2651" s="152"/>
      <c r="GI2651" s="152"/>
      <c r="GJ2651" s="152"/>
      <c r="GK2651" s="152"/>
      <c r="GL2651" s="152"/>
      <c r="GM2651" s="152"/>
      <c r="GN2651" s="152"/>
      <c r="GO2651" s="152"/>
      <c r="GP2651" s="152"/>
      <c r="GQ2651" s="152"/>
      <c r="GR2651" s="152"/>
      <c r="GS2651" s="152"/>
      <c r="GT2651" s="152"/>
      <c r="GU2651" s="152"/>
      <c r="GV2651" s="152"/>
      <c r="GW2651" s="152"/>
      <c r="GX2651" s="152"/>
      <c r="GY2651" s="152"/>
      <c r="GZ2651" s="152"/>
      <c r="HA2651" s="152"/>
      <c r="HB2651" s="152"/>
      <c r="HC2651" s="152"/>
      <c r="HD2651" s="152"/>
      <c r="HE2651" s="152"/>
      <c r="HF2651" s="152"/>
    </row>
    <row r="2652" spans="1:214" x14ac:dyDescent="0.35">
      <c r="A2652" s="290"/>
      <c r="B2652" s="293"/>
      <c r="C2652" s="285"/>
      <c r="D2652" s="275"/>
      <c r="E2652" s="275"/>
      <c r="F2652" s="284"/>
      <c r="G2652" s="272"/>
      <c r="H2652" s="136" t="s">
        <v>75</v>
      </c>
      <c r="I2652" s="181">
        <f>I2651*0.0214</f>
        <v>8357.16</v>
      </c>
      <c r="J2652" s="181">
        <f>I2652/D2644</f>
        <v>9.59</v>
      </c>
      <c r="K2652" s="181">
        <v>10</v>
      </c>
      <c r="L2652" s="152"/>
      <c r="M2652" s="152"/>
      <c r="N2652" s="152"/>
      <c r="O2652" s="152"/>
      <c r="P2652" s="152"/>
      <c r="Q2652" s="152"/>
      <c r="R2652" s="152"/>
      <c r="S2652" s="152"/>
      <c r="T2652" s="152"/>
      <c r="U2652" s="152"/>
      <c r="V2652" s="152"/>
      <c r="W2652" s="152"/>
      <c r="X2652" s="152"/>
      <c r="Y2652" s="152"/>
      <c r="Z2652" s="152"/>
      <c r="AA2652" s="152"/>
      <c r="AB2652" s="152"/>
      <c r="AC2652" s="152"/>
      <c r="AD2652" s="152"/>
      <c r="AE2652" s="152"/>
      <c r="AF2652" s="152"/>
      <c r="AG2652" s="152"/>
      <c r="AH2652" s="152"/>
      <c r="AI2652" s="152"/>
      <c r="AJ2652" s="152"/>
      <c r="AK2652" s="152"/>
      <c r="AL2652" s="152"/>
      <c r="AM2652" s="152"/>
      <c r="AN2652" s="152"/>
      <c r="AO2652" s="152"/>
      <c r="AP2652" s="152"/>
      <c r="AQ2652" s="152"/>
      <c r="AR2652" s="152"/>
      <c r="AS2652" s="152"/>
      <c r="AT2652" s="152"/>
      <c r="AU2652" s="152"/>
      <c r="AV2652" s="152"/>
      <c r="AW2652" s="152"/>
      <c r="AX2652" s="152"/>
      <c r="AY2652" s="152"/>
      <c r="AZ2652" s="152"/>
      <c r="BA2652" s="152"/>
      <c r="BB2652" s="152"/>
      <c r="BC2652" s="152"/>
      <c r="BD2652" s="152"/>
      <c r="BE2652" s="152"/>
      <c r="BF2652" s="152"/>
      <c r="BG2652" s="152"/>
      <c r="BH2652" s="152"/>
      <c r="BI2652" s="152"/>
      <c r="BJ2652" s="152"/>
      <c r="BK2652" s="152"/>
      <c r="BL2652" s="152"/>
      <c r="BM2652" s="152"/>
      <c r="BN2652" s="152"/>
      <c r="BO2652" s="152"/>
      <c r="BP2652" s="152"/>
      <c r="BQ2652" s="152"/>
      <c r="BR2652" s="152"/>
      <c r="BS2652" s="152"/>
      <c r="BT2652" s="152"/>
      <c r="BU2652" s="152"/>
      <c r="BV2652" s="152"/>
      <c r="BW2652" s="152"/>
      <c r="BX2652" s="152"/>
      <c r="BY2652" s="152"/>
      <c r="BZ2652" s="152"/>
      <c r="CA2652" s="152"/>
      <c r="CB2652" s="152"/>
      <c r="CC2652" s="152"/>
      <c r="CD2652" s="152"/>
      <c r="CE2652" s="152"/>
      <c r="CF2652" s="152"/>
      <c r="CG2652" s="152"/>
      <c r="CH2652" s="152"/>
      <c r="CI2652" s="152"/>
      <c r="CJ2652" s="152"/>
      <c r="CK2652" s="152"/>
      <c r="CL2652" s="152"/>
      <c r="CM2652" s="152"/>
      <c r="CN2652" s="152"/>
      <c r="CO2652" s="152"/>
      <c r="CP2652" s="152"/>
      <c r="CQ2652" s="152"/>
      <c r="CR2652" s="152"/>
      <c r="CS2652" s="152"/>
      <c r="CT2652" s="152"/>
      <c r="CU2652" s="152"/>
      <c r="CV2652" s="152"/>
      <c r="CW2652" s="152"/>
      <c r="CX2652" s="152"/>
      <c r="CY2652" s="152"/>
      <c r="CZ2652" s="152"/>
      <c r="DA2652" s="152"/>
      <c r="DB2652" s="152"/>
      <c r="DC2652" s="152"/>
      <c r="DD2652" s="152"/>
      <c r="DE2652" s="152"/>
      <c r="DF2652" s="152"/>
      <c r="DG2652" s="152"/>
      <c r="DH2652" s="152"/>
      <c r="DI2652" s="152"/>
      <c r="DJ2652" s="152"/>
      <c r="DK2652" s="152"/>
      <c r="DL2652" s="152"/>
      <c r="DM2652" s="152"/>
      <c r="DN2652" s="152"/>
      <c r="DO2652" s="152"/>
      <c r="DP2652" s="152"/>
      <c r="DQ2652" s="152"/>
      <c r="DR2652" s="152"/>
      <c r="DS2652" s="152"/>
      <c r="DT2652" s="152"/>
      <c r="DU2652" s="152"/>
      <c r="DV2652" s="152"/>
      <c r="DW2652" s="152"/>
      <c r="DX2652" s="152"/>
      <c r="DY2652" s="152"/>
      <c r="DZ2652" s="152"/>
      <c r="EA2652" s="152"/>
      <c r="EB2652" s="152"/>
      <c r="EC2652" s="152"/>
      <c r="ED2652" s="152"/>
      <c r="EE2652" s="152"/>
      <c r="EF2652" s="152"/>
      <c r="EG2652" s="152"/>
      <c r="EH2652" s="152"/>
      <c r="EI2652" s="152"/>
      <c r="EJ2652" s="152"/>
      <c r="EK2652" s="152"/>
      <c r="EL2652" s="152"/>
      <c r="EM2652" s="152"/>
      <c r="EN2652" s="152"/>
      <c r="EO2652" s="152"/>
      <c r="EP2652" s="152"/>
      <c r="EQ2652" s="152"/>
      <c r="ER2652" s="152"/>
      <c r="ES2652" s="152"/>
      <c r="ET2652" s="152"/>
      <c r="EU2652" s="152"/>
      <c r="EV2652" s="152"/>
      <c r="EW2652" s="152"/>
      <c r="EX2652" s="152"/>
      <c r="EY2652" s="152"/>
      <c r="EZ2652" s="152"/>
      <c r="FA2652" s="152"/>
      <c r="FB2652" s="152"/>
      <c r="FC2652" s="152"/>
      <c r="FD2652" s="152"/>
      <c r="FE2652" s="152"/>
      <c r="FF2652" s="152"/>
      <c r="FG2652" s="152"/>
      <c r="FH2652" s="152"/>
      <c r="FI2652" s="152"/>
      <c r="FJ2652" s="152"/>
      <c r="FK2652" s="152"/>
      <c r="FL2652" s="152"/>
      <c r="FM2652" s="152"/>
      <c r="FN2652" s="152"/>
      <c r="FO2652" s="152"/>
      <c r="FP2652" s="152"/>
      <c r="FQ2652" s="152"/>
      <c r="FR2652" s="152"/>
      <c r="FS2652" s="152"/>
      <c r="FT2652" s="152"/>
      <c r="FU2652" s="152"/>
      <c r="FV2652" s="152"/>
      <c r="FW2652" s="152"/>
      <c r="FX2652" s="152"/>
      <c r="FY2652" s="152"/>
      <c r="FZ2652" s="152"/>
      <c r="GA2652" s="152"/>
      <c r="GB2652" s="152"/>
      <c r="GC2652" s="152"/>
      <c r="GD2652" s="152"/>
      <c r="GE2652" s="152"/>
      <c r="GF2652" s="152"/>
      <c r="GG2652" s="152"/>
      <c r="GH2652" s="152"/>
      <c r="GI2652" s="152"/>
      <c r="GJ2652" s="152"/>
      <c r="GK2652" s="152"/>
      <c r="GL2652" s="152"/>
      <c r="GM2652" s="152"/>
      <c r="GN2652" s="152"/>
      <c r="GO2652" s="152"/>
      <c r="GP2652" s="152"/>
      <c r="GQ2652" s="152"/>
      <c r="GR2652" s="152"/>
      <c r="GS2652" s="152"/>
      <c r="GT2652" s="152"/>
      <c r="GU2652" s="152"/>
      <c r="GV2652" s="152"/>
      <c r="GW2652" s="152"/>
      <c r="GX2652" s="152"/>
      <c r="GY2652" s="152"/>
      <c r="GZ2652" s="152"/>
      <c r="HA2652" s="152"/>
      <c r="HB2652" s="152"/>
      <c r="HC2652" s="152"/>
      <c r="HD2652" s="152"/>
      <c r="HE2652" s="152"/>
      <c r="HF2652" s="152"/>
    </row>
    <row r="2653" spans="1:214" x14ac:dyDescent="0.35">
      <c r="A2653" s="288">
        <f>A2644+1</f>
        <v>15</v>
      </c>
      <c r="B2653" s="314">
        <v>7095</v>
      </c>
      <c r="C2653" s="315" t="s">
        <v>618</v>
      </c>
      <c r="D2653" s="273">
        <v>1205</v>
      </c>
      <c r="E2653" s="273" t="s">
        <v>74</v>
      </c>
      <c r="F2653" s="282">
        <v>6</v>
      </c>
      <c r="G2653" s="270" t="s">
        <v>71</v>
      </c>
      <c r="H2653" s="136" t="s">
        <v>72</v>
      </c>
      <c r="I2653" s="181">
        <f>I2654</f>
        <v>197620</v>
      </c>
      <c r="J2653" s="181">
        <f>J2654</f>
        <v>164</v>
      </c>
      <c r="K2653" s="181">
        <f>K2654</f>
        <v>169</v>
      </c>
      <c r="L2653" s="152"/>
      <c r="M2653" s="152"/>
      <c r="N2653" s="152"/>
      <c r="O2653" s="152"/>
      <c r="P2653" s="152"/>
      <c r="Q2653" s="152"/>
      <c r="R2653" s="152"/>
      <c r="S2653" s="152"/>
      <c r="T2653" s="152"/>
      <c r="U2653" s="152"/>
      <c r="V2653" s="152"/>
      <c r="W2653" s="152"/>
      <c r="X2653" s="152"/>
      <c r="Y2653" s="152"/>
      <c r="Z2653" s="152"/>
      <c r="AA2653" s="152"/>
      <c r="AB2653" s="152"/>
      <c r="AC2653" s="152"/>
      <c r="AD2653" s="152"/>
      <c r="AE2653" s="152"/>
      <c r="AF2653" s="152"/>
      <c r="AG2653" s="152"/>
      <c r="AH2653" s="152"/>
      <c r="AI2653" s="152"/>
      <c r="AJ2653" s="152"/>
      <c r="AK2653" s="152"/>
      <c r="AL2653" s="152"/>
      <c r="AM2653" s="152"/>
      <c r="AN2653" s="152"/>
      <c r="AO2653" s="152"/>
      <c r="AP2653" s="152"/>
      <c r="AQ2653" s="152"/>
      <c r="AR2653" s="152"/>
      <c r="AS2653" s="152"/>
      <c r="AT2653" s="152"/>
      <c r="AU2653" s="152"/>
      <c r="AV2653" s="152"/>
      <c r="AW2653" s="152"/>
      <c r="AX2653" s="152"/>
      <c r="AY2653" s="152"/>
      <c r="AZ2653" s="152"/>
      <c r="BA2653" s="152"/>
      <c r="BB2653" s="152"/>
      <c r="BC2653" s="152"/>
      <c r="BD2653" s="152"/>
      <c r="BE2653" s="152"/>
      <c r="BF2653" s="152"/>
      <c r="BG2653" s="152"/>
      <c r="BH2653" s="152"/>
      <c r="BI2653" s="152"/>
      <c r="BJ2653" s="152"/>
      <c r="BK2653" s="152"/>
      <c r="BL2653" s="152"/>
      <c r="BM2653" s="152"/>
      <c r="BN2653" s="152"/>
      <c r="BO2653" s="152"/>
      <c r="BP2653" s="152"/>
      <c r="BQ2653" s="152"/>
      <c r="BR2653" s="152"/>
      <c r="BS2653" s="152"/>
      <c r="BT2653" s="152"/>
      <c r="BU2653" s="152"/>
      <c r="BV2653" s="152"/>
      <c r="BW2653" s="152"/>
      <c r="BX2653" s="152"/>
      <c r="BY2653" s="152"/>
      <c r="BZ2653" s="152"/>
      <c r="CA2653" s="152"/>
      <c r="CB2653" s="152"/>
      <c r="CC2653" s="152"/>
      <c r="CD2653" s="152"/>
      <c r="CE2653" s="152"/>
      <c r="CF2653" s="152"/>
      <c r="CG2653" s="152"/>
      <c r="CH2653" s="152"/>
      <c r="CI2653" s="152"/>
      <c r="CJ2653" s="152"/>
      <c r="CK2653" s="152"/>
      <c r="CL2653" s="152"/>
      <c r="CM2653" s="152"/>
      <c r="CN2653" s="152"/>
      <c r="CO2653" s="152"/>
      <c r="CP2653" s="152"/>
      <c r="CQ2653" s="152"/>
      <c r="CR2653" s="152"/>
      <c r="CS2653" s="152"/>
      <c r="CT2653" s="152"/>
      <c r="CU2653" s="152"/>
      <c r="CV2653" s="152"/>
      <c r="CW2653" s="152"/>
      <c r="CX2653" s="152"/>
      <c r="CY2653" s="152"/>
      <c r="CZ2653" s="152"/>
      <c r="DA2653" s="152"/>
      <c r="DB2653" s="152"/>
      <c r="DC2653" s="152"/>
      <c r="DD2653" s="152"/>
      <c r="DE2653" s="152"/>
      <c r="DF2653" s="152"/>
      <c r="DG2653" s="152"/>
      <c r="DH2653" s="152"/>
      <c r="DI2653" s="152"/>
      <c r="DJ2653" s="152"/>
      <c r="DK2653" s="152"/>
      <c r="DL2653" s="152"/>
      <c r="DM2653" s="152"/>
      <c r="DN2653" s="152"/>
      <c r="DO2653" s="152"/>
      <c r="DP2653" s="152"/>
      <c r="DQ2653" s="152"/>
      <c r="DR2653" s="152"/>
      <c r="DS2653" s="152"/>
      <c r="DT2653" s="152"/>
      <c r="DU2653" s="152"/>
      <c r="DV2653" s="152"/>
      <c r="DW2653" s="152"/>
      <c r="DX2653" s="152"/>
      <c r="DY2653" s="152"/>
      <c r="DZ2653" s="152"/>
      <c r="EA2653" s="152"/>
      <c r="EB2653" s="152"/>
      <c r="EC2653" s="152"/>
      <c r="ED2653" s="152"/>
      <c r="EE2653" s="152"/>
      <c r="EF2653" s="152"/>
      <c r="EG2653" s="152"/>
      <c r="EH2653" s="152"/>
      <c r="EI2653" s="152"/>
      <c r="EJ2653" s="152"/>
      <c r="EK2653" s="152"/>
      <c r="EL2653" s="152"/>
      <c r="EM2653" s="152"/>
      <c r="EN2653" s="152"/>
      <c r="EO2653" s="152"/>
      <c r="EP2653" s="152"/>
      <c r="EQ2653" s="152"/>
      <c r="ER2653" s="152"/>
      <c r="ES2653" s="152"/>
      <c r="ET2653" s="152"/>
      <c r="EU2653" s="152"/>
      <c r="EV2653" s="152"/>
      <c r="EW2653" s="152"/>
      <c r="EX2653" s="152"/>
      <c r="EY2653" s="152"/>
      <c r="EZ2653" s="152"/>
      <c r="FA2653" s="152"/>
      <c r="FB2653" s="152"/>
      <c r="FC2653" s="152"/>
      <c r="FD2653" s="152"/>
      <c r="FE2653" s="152"/>
      <c r="FF2653" s="152"/>
      <c r="FG2653" s="152"/>
      <c r="FH2653" s="152"/>
      <c r="FI2653" s="152"/>
      <c r="FJ2653" s="152"/>
      <c r="FK2653" s="152"/>
      <c r="FL2653" s="152"/>
      <c r="FM2653" s="152"/>
      <c r="FN2653" s="152"/>
      <c r="FO2653" s="152"/>
      <c r="FP2653" s="152"/>
      <c r="FQ2653" s="152"/>
      <c r="FR2653" s="152"/>
      <c r="FS2653" s="152"/>
      <c r="FT2653" s="152"/>
      <c r="FU2653" s="152"/>
      <c r="FV2653" s="152"/>
      <c r="FW2653" s="152"/>
      <c r="FX2653" s="152"/>
      <c r="FY2653" s="152"/>
      <c r="FZ2653" s="152"/>
      <c r="GA2653" s="152"/>
      <c r="GB2653" s="152"/>
      <c r="GC2653" s="152"/>
      <c r="GD2653" s="152"/>
      <c r="GE2653" s="152"/>
      <c r="GF2653" s="152"/>
      <c r="GG2653" s="152"/>
      <c r="GH2653" s="152"/>
      <c r="GI2653" s="152"/>
      <c r="GJ2653" s="152"/>
      <c r="GK2653" s="152"/>
      <c r="GL2653" s="152"/>
      <c r="GM2653" s="152"/>
      <c r="GN2653" s="152"/>
      <c r="GO2653" s="152"/>
      <c r="GP2653" s="152"/>
      <c r="GQ2653" s="152"/>
      <c r="GR2653" s="152"/>
      <c r="GS2653" s="152"/>
      <c r="GT2653" s="152"/>
      <c r="GU2653" s="152"/>
      <c r="GV2653" s="152"/>
      <c r="GW2653" s="152"/>
      <c r="GX2653" s="152"/>
      <c r="GY2653" s="152"/>
      <c r="GZ2653" s="152"/>
      <c r="HA2653" s="152"/>
      <c r="HB2653" s="152"/>
      <c r="HC2653" s="152"/>
      <c r="HD2653" s="152"/>
      <c r="HE2653" s="152"/>
      <c r="HF2653" s="152"/>
    </row>
    <row r="2654" spans="1:214" ht="61" customHeight="1" x14ac:dyDescent="0.35">
      <c r="A2654" s="313"/>
      <c r="B2654" s="313"/>
      <c r="C2654" s="316"/>
      <c r="D2654" s="274"/>
      <c r="E2654" s="274"/>
      <c r="F2654" s="283"/>
      <c r="G2654" s="271"/>
      <c r="H2654" s="136" t="s">
        <v>673</v>
      </c>
      <c r="I2654" s="181">
        <v>197620</v>
      </c>
      <c r="J2654" s="181">
        <f>I2654/D2653</f>
        <v>164</v>
      </c>
      <c r="K2654" s="181">
        <f>151+18</f>
        <v>169</v>
      </c>
      <c r="L2654" s="152"/>
      <c r="M2654" s="152"/>
      <c r="N2654" s="152"/>
      <c r="O2654" s="152"/>
      <c r="P2654" s="152"/>
      <c r="Q2654" s="152"/>
      <c r="R2654" s="152"/>
      <c r="S2654" s="152"/>
      <c r="T2654" s="152"/>
      <c r="U2654" s="152"/>
      <c r="V2654" s="152"/>
      <c r="W2654" s="152"/>
      <c r="X2654" s="152"/>
      <c r="Y2654" s="152"/>
      <c r="Z2654" s="152"/>
      <c r="AA2654" s="152"/>
      <c r="AB2654" s="152"/>
      <c r="AC2654" s="152"/>
      <c r="AD2654" s="152"/>
      <c r="AE2654" s="152"/>
      <c r="AF2654" s="152"/>
      <c r="AG2654" s="152"/>
      <c r="AH2654" s="152"/>
      <c r="AI2654" s="152"/>
      <c r="AJ2654" s="152"/>
      <c r="AK2654" s="152"/>
      <c r="AL2654" s="152"/>
      <c r="AM2654" s="152"/>
      <c r="AN2654" s="152"/>
      <c r="AO2654" s="152"/>
      <c r="AP2654" s="152"/>
      <c r="AQ2654" s="152"/>
      <c r="AR2654" s="152"/>
      <c r="AS2654" s="152"/>
      <c r="AT2654" s="152"/>
      <c r="AU2654" s="152"/>
      <c r="AV2654" s="152"/>
      <c r="AW2654" s="152"/>
      <c r="AX2654" s="152"/>
      <c r="AY2654" s="152"/>
      <c r="AZ2654" s="152"/>
      <c r="BA2654" s="152"/>
      <c r="BB2654" s="152"/>
      <c r="BC2654" s="152"/>
      <c r="BD2654" s="152"/>
      <c r="BE2654" s="152"/>
      <c r="BF2654" s="152"/>
      <c r="BG2654" s="152"/>
      <c r="BH2654" s="152"/>
      <c r="BI2654" s="152"/>
      <c r="BJ2654" s="152"/>
      <c r="BK2654" s="152"/>
      <c r="BL2654" s="152"/>
      <c r="BM2654" s="152"/>
      <c r="BN2654" s="152"/>
      <c r="BO2654" s="152"/>
      <c r="BP2654" s="152"/>
      <c r="BQ2654" s="152"/>
      <c r="BR2654" s="152"/>
      <c r="BS2654" s="152"/>
      <c r="BT2654" s="152"/>
      <c r="BU2654" s="152"/>
      <c r="BV2654" s="152"/>
      <c r="BW2654" s="152"/>
      <c r="BX2654" s="152"/>
      <c r="BY2654" s="152"/>
      <c r="BZ2654" s="152"/>
      <c r="CA2654" s="152"/>
      <c r="CB2654" s="152"/>
      <c r="CC2654" s="152"/>
      <c r="CD2654" s="152"/>
      <c r="CE2654" s="152"/>
      <c r="CF2654" s="152"/>
      <c r="CG2654" s="152"/>
      <c r="CH2654" s="152"/>
      <c r="CI2654" s="152"/>
      <c r="CJ2654" s="152"/>
      <c r="CK2654" s="152"/>
      <c r="CL2654" s="152"/>
      <c r="CM2654" s="152"/>
      <c r="CN2654" s="152"/>
      <c r="CO2654" s="152"/>
      <c r="CP2654" s="152"/>
      <c r="CQ2654" s="152"/>
      <c r="CR2654" s="152"/>
      <c r="CS2654" s="152"/>
      <c r="CT2654" s="152"/>
      <c r="CU2654" s="152"/>
      <c r="CV2654" s="152"/>
      <c r="CW2654" s="152"/>
      <c r="CX2654" s="152"/>
      <c r="CY2654" s="152"/>
      <c r="CZ2654" s="152"/>
      <c r="DA2654" s="152"/>
      <c r="DB2654" s="152"/>
      <c r="DC2654" s="152"/>
      <c r="DD2654" s="152"/>
      <c r="DE2654" s="152"/>
      <c r="DF2654" s="152"/>
      <c r="DG2654" s="152"/>
      <c r="DH2654" s="152"/>
      <c r="DI2654" s="152"/>
      <c r="DJ2654" s="152"/>
      <c r="DK2654" s="152"/>
      <c r="DL2654" s="152"/>
      <c r="DM2654" s="152"/>
      <c r="DN2654" s="152"/>
      <c r="DO2654" s="152"/>
      <c r="DP2654" s="152"/>
      <c r="DQ2654" s="152"/>
      <c r="DR2654" s="152"/>
      <c r="DS2654" s="152"/>
      <c r="DT2654" s="152"/>
      <c r="DU2654" s="152"/>
      <c r="DV2654" s="152"/>
      <c r="DW2654" s="152"/>
      <c r="DX2654" s="152"/>
      <c r="DY2654" s="152"/>
      <c r="DZ2654" s="152"/>
      <c r="EA2654" s="152"/>
      <c r="EB2654" s="152"/>
      <c r="EC2654" s="152"/>
      <c r="ED2654" s="152"/>
      <c r="EE2654" s="152"/>
      <c r="EF2654" s="152"/>
      <c r="EG2654" s="152"/>
      <c r="EH2654" s="152"/>
      <c r="EI2654" s="152"/>
      <c r="EJ2654" s="152"/>
      <c r="EK2654" s="152"/>
      <c r="EL2654" s="152"/>
      <c r="EM2654" s="152"/>
      <c r="EN2654" s="152"/>
      <c r="EO2654" s="152"/>
      <c r="EP2654" s="152"/>
      <c r="EQ2654" s="152"/>
      <c r="ER2654" s="152"/>
      <c r="ES2654" s="152"/>
      <c r="ET2654" s="152"/>
      <c r="EU2654" s="152"/>
      <c r="EV2654" s="152"/>
      <c r="EW2654" s="152"/>
      <c r="EX2654" s="152"/>
      <c r="EY2654" s="152"/>
      <c r="EZ2654" s="152"/>
      <c r="FA2654" s="152"/>
      <c r="FB2654" s="152"/>
      <c r="FC2654" s="152"/>
      <c r="FD2654" s="152"/>
      <c r="FE2654" s="152"/>
      <c r="FF2654" s="152"/>
      <c r="FG2654" s="152"/>
      <c r="FH2654" s="152"/>
      <c r="FI2654" s="152"/>
      <c r="FJ2654" s="152"/>
      <c r="FK2654" s="152"/>
      <c r="FL2654" s="152"/>
      <c r="FM2654" s="152"/>
      <c r="FN2654" s="152"/>
      <c r="FO2654" s="152"/>
      <c r="FP2654" s="152"/>
      <c r="FQ2654" s="152"/>
      <c r="FR2654" s="152"/>
      <c r="FS2654" s="152"/>
      <c r="FT2654" s="152"/>
      <c r="FU2654" s="152"/>
      <c r="FV2654" s="152"/>
      <c r="FW2654" s="152"/>
      <c r="FX2654" s="152"/>
      <c r="FY2654" s="152"/>
      <c r="FZ2654" s="152"/>
      <c r="GA2654" s="152"/>
      <c r="GB2654" s="152"/>
      <c r="GC2654" s="152"/>
      <c r="GD2654" s="152"/>
      <c r="GE2654" s="152"/>
      <c r="GF2654" s="152"/>
      <c r="GG2654" s="152"/>
      <c r="GH2654" s="152"/>
      <c r="GI2654" s="152"/>
      <c r="GJ2654" s="152"/>
      <c r="GK2654" s="152"/>
      <c r="GL2654" s="152"/>
      <c r="GM2654" s="152"/>
      <c r="GN2654" s="152"/>
      <c r="GO2654" s="152"/>
      <c r="GP2654" s="152"/>
      <c r="GQ2654" s="152"/>
      <c r="GR2654" s="152"/>
      <c r="GS2654" s="152"/>
      <c r="GT2654" s="152"/>
      <c r="GU2654" s="152"/>
      <c r="GV2654" s="152"/>
      <c r="GW2654" s="152"/>
      <c r="GX2654" s="152"/>
      <c r="GY2654" s="152"/>
      <c r="GZ2654" s="152"/>
      <c r="HA2654" s="152"/>
      <c r="HB2654" s="152"/>
      <c r="HC2654" s="152"/>
      <c r="HD2654" s="152"/>
      <c r="HE2654" s="152"/>
      <c r="HF2654" s="152"/>
    </row>
    <row r="2655" spans="1:214" x14ac:dyDescent="0.35">
      <c r="A2655" s="161" t="s">
        <v>57</v>
      </c>
      <c r="B2655" s="162"/>
      <c r="C2655" s="163"/>
      <c r="D2655" s="181">
        <f>D2656</f>
        <v>909.3</v>
      </c>
      <c r="E2655" s="174"/>
      <c r="F2655" s="174"/>
      <c r="G2655" s="166"/>
      <c r="H2655" s="164"/>
      <c r="I2655" s="181">
        <f>I2656</f>
        <v>181591.1</v>
      </c>
      <c r="J2655" s="181"/>
      <c r="K2655" s="181"/>
      <c r="L2655" s="152"/>
      <c r="M2655" s="152"/>
      <c r="N2655" s="152"/>
      <c r="O2655" s="152"/>
      <c r="P2655" s="152"/>
      <c r="Q2655" s="152"/>
      <c r="R2655" s="152"/>
      <c r="S2655" s="152"/>
      <c r="T2655" s="152"/>
      <c r="U2655" s="152"/>
      <c r="V2655" s="152"/>
      <c r="W2655" s="152"/>
      <c r="X2655" s="152"/>
      <c r="Y2655" s="152"/>
      <c r="Z2655" s="152"/>
      <c r="AA2655" s="152"/>
      <c r="AB2655" s="152"/>
      <c r="AC2655" s="152"/>
      <c r="AD2655" s="152"/>
      <c r="AE2655" s="152"/>
      <c r="AF2655" s="152"/>
      <c r="AG2655" s="152"/>
      <c r="AH2655" s="152"/>
      <c r="AI2655" s="152"/>
      <c r="AJ2655" s="152"/>
      <c r="AK2655" s="152"/>
      <c r="AL2655" s="152"/>
      <c r="AM2655" s="152"/>
      <c r="AN2655" s="152"/>
      <c r="AO2655" s="152"/>
      <c r="AP2655" s="152"/>
      <c r="AQ2655" s="152"/>
      <c r="AR2655" s="152"/>
      <c r="AS2655" s="152"/>
      <c r="AT2655" s="152"/>
      <c r="AU2655" s="152"/>
      <c r="AV2655" s="152"/>
      <c r="AW2655" s="152"/>
      <c r="AX2655" s="152"/>
      <c r="AY2655" s="152"/>
      <c r="AZ2655" s="152"/>
      <c r="BA2655" s="152"/>
      <c r="BB2655" s="152"/>
      <c r="BC2655" s="152"/>
      <c r="BD2655" s="152"/>
      <c r="BE2655" s="152"/>
      <c r="BF2655" s="152"/>
      <c r="BG2655" s="152"/>
      <c r="BH2655" s="152"/>
      <c r="BI2655" s="152"/>
      <c r="BJ2655" s="152"/>
      <c r="BK2655" s="152"/>
      <c r="BL2655" s="152"/>
      <c r="BM2655" s="152"/>
      <c r="BN2655" s="152"/>
      <c r="BO2655" s="152"/>
      <c r="BP2655" s="152"/>
      <c r="BQ2655" s="152"/>
      <c r="BR2655" s="152"/>
      <c r="BS2655" s="152"/>
      <c r="BT2655" s="152"/>
      <c r="BU2655" s="152"/>
      <c r="BV2655" s="152"/>
      <c r="BW2655" s="152"/>
      <c r="BX2655" s="152"/>
      <c r="BY2655" s="152"/>
      <c r="BZ2655" s="152"/>
      <c r="CA2655" s="152"/>
      <c r="CB2655" s="152"/>
      <c r="CC2655" s="152"/>
      <c r="CD2655" s="152"/>
      <c r="CE2655" s="152"/>
      <c r="CF2655" s="152"/>
      <c r="CG2655" s="152"/>
      <c r="CH2655" s="152"/>
      <c r="CI2655" s="152"/>
      <c r="CJ2655" s="152"/>
      <c r="CK2655" s="152"/>
      <c r="CL2655" s="152"/>
      <c r="CM2655" s="152"/>
      <c r="CN2655" s="152"/>
      <c r="CO2655" s="152"/>
      <c r="CP2655" s="152"/>
      <c r="CQ2655" s="152"/>
      <c r="CR2655" s="152"/>
      <c r="CS2655" s="152"/>
      <c r="CT2655" s="152"/>
      <c r="CU2655" s="152"/>
      <c r="CV2655" s="152"/>
      <c r="CW2655" s="152"/>
      <c r="CX2655" s="152"/>
      <c r="CY2655" s="152"/>
      <c r="CZ2655" s="152"/>
      <c r="DA2655" s="152"/>
      <c r="DB2655" s="152"/>
      <c r="DC2655" s="152"/>
      <c r="DD2655" s="152"/>
      <c r="DE2655" s="152"/>
      <c r="DF2655" s="152"/>
      <c r="DG2655" s="152"/>
      <c r="DH2655" s="152"/>
      <c r="DI2655" s="152"/>
      <c r="DJ2655" s="152"/>
      <c r="DK2655" s="152"/>
      <c r="DL2655" s="152"/>
      <c r="DM2655" s="152"/>
      <c r="DN2655" s="152"/>
      <c r="DO2655" s="152"/>
      <c r="DP2655" s="152"/>
      <c r="DQ2655" s="152"/>
      <c r="DR2655" s="152"/>
      <c r="DS2655" s="152"/>
      <c r="DT2655" s="152"/>
      <c r="DU2655" s="152"/>
      <c r="DV2655" s="152"/>
      <c r="DW2655" s="152"/>
      <c r="DX2655" s="152"/>
      <c r="DY2655" s="152"/>
      <c r="DZ2655" s="152"/>
      <c r="EA2655" s="152"/>
      <c r="EB2655" s="152"/>
      <c r="EC2655" s="152"/>
      <c r="ED2655" s="152"/>
      <c r="EE2655" s="152"/>
      <c r="EF2655" s="152"/>
      <c r="EG2655" s="152"/>
      <c r="EH2655" s="152"/>
      <c r="EI2655" s="152"/>
      <c r="EJ2655" s="152"/>
      <c r="EK2655" s="152"/>
      <c r="EL2655" s="152"/>
      <c r="EM2655" s="152"/>
      <c r="EN2655" s="152"/>
      <c r="EO2655" s="152"/>
      <c r="EP2655" s="152"/>
      <c r="EQ2655" s="152"/>
      <c r="ER2655" s="152"/>
      <c r="ES2655" s="152"/>
      <c r="ET2655" s="152"/>
      <c r="EU2655" s="152"/>
      <c r="EV2655" s="152"/>
      <c r="EW2655" s="152"/>
      <c r="EX2655" s="152"/>
      <c r="EY2655" s="152"/>
      <c r="EZ2655" s="152"/>
      <c r="FA2655" s="152"/>
      <c r="FB2655" s="152"/>
      <c r="FC2655" s="152"/>
      <c r="FD2655" s="152"/>
      <c r="FE2655" s="152"/>
      <c r="FF2655" s="152"/>
      <c r="FG2655" s="152"/>
      <c r="FH2655" s="152"/>
      <c r="FI2655" s="152"/>
      <c r="FJ2655" s="152"/>
      <c r="FK2655" s="152"/>
      <c r="FL2655" s="152"/>
      <c r="FM2655" s="152"/>
      <c r="FN2655" s="152"/>
      <c r="FO2655" s="152"/>
      <c r="FP2655" s="152"/>
      <c r="FQ2655" s="152"/>
      <c r="FR2655" s="152"/>
      <c r="FS2655" s="152"/>
      <c r="FT2655" s="152"/>
      <c r="FU2655" s="152"/>
      <c r="FV2655" s="152"/>
      <c r="FW2655" s="152"/>
      <c r="FX2655" s="152"/>
      <c r="FY2655" s="152"/>
      <c r="FZ2655" s="152"/>
      <c r="GA2655" s="152"/>
      <c r="GB2655" s="152"/>
      <c r="GC2655" s="152"/>
      <c r="GD2655" s="152"/>
      <c r="GE2655" s="152"/>
      <c r="GF2655" s="152"/>
      <c r="GG2655" s="152"/>
      <c r="GH2655" s="152"/>
      <c r="GI2655" s="152"/>
      <c r="GJ2655" s="152"/>
      <c r="GK2655" s="152"/>
      <c r="GL2655" s="152"/>
      <c r="GM2655" s="152"/>
      <c r="GN2655" s="152"/>
      <c r="GO2655" s="152"/>
      <c r="GP2655" s="152"/>
      <c r="GQ2655" s="152"/>
      <c r="GR2655" s="152"/>
      <c r="GS2655" s="152"/>
      <c r="GT2655" s="152"/>
      <c r="GU2655" s="152"/>
      <c r="GV2655" s="152"/>
      <c r="GW2655" s="152"/>
      <c r="GX2655" s="152"/>
      <c r="GY2655" s="152"/>
      <c r="GZ2655" s="152"/>
      <c r="HA2655" s="152"/>
      <c r="HB2655" s="152"/>
      <c r="HC2655" s="152"/>
      <c r="HD2655" s="152"/>
      <c r="HE2655" s="152"/>
      <c r="HF2655" s="152"/>
    </row>
    <row r="2656" spans="1:214" x14ac:dyDescent="0.35">
      <c r="A2656" s="270">
        <v>1</v>
      </c>
      <c r="B2656" s="270">
        <v>4999</v>
      </c>
      <c r="C2656" s="278" t="s">
        <v>619</v>
      </c>
      <c r="D2656" s="273">
        <v>909.3</v>
      </c>
      <c r="E2656" s="282" t="s">
        <v>74</v>
      </c>
      <c r="F2656" s="282">
        <v>2</v>
      </c>
      <c r="G2656" s="270" t="s">
        <v>71</v>
      </c>
      <c r="H2656" s="136" t="s">
        <v>72</v>
      </c>
      <c r="I2656" s="181">
        <f>I2657</f>
        <v>181591.1</v>
      </c>
      <c r="J2656" s="181">
        <f>J2657</f>
        <v>199.7</v>
      </c>
      <c r="K2656" s="181">
        <f>K2657</f>
        <v>250</v>
      </c>
      <c r="L2656" s="152"/>
      <c r="M2656" s="152"/>
      <c r="N2656" s="152"/>
      <c r="O2656" s="152"/>
      <c r="P2656" s="152"/>
      <c r="Q2656" s="152"/>
      <c r="R2656" s="152"/>
      <c r="S2656" s="152"/>
      <c r="T2656" s="152"/>
      <c r="U2656" s="152"/>
      <c r="V2656" s="152"/>
      <c r="W2656" s="152"/>
      <c r="X2656" s="152"/>
      <c r="Y2656" s="152"/>
      <c r="Z2656" s="152"/>
      <c r="AA2656" s="152"/>
      <c r="AB2656" s="152"/>
      <c r="AC2656" s="152"/>
      <c r="AD2656" s="152"/>
      <c r="AE2656" s="152"/>
      <c r="AF2656" s="152"/>
      <c r="AG2656" s="152"/>
      <c r="AH2656" s="152"/>
      <c r="AI2656" s="152"/>
      <c r="AJ2656" s="152"/>
      <c r="AK2656" s="152"/>
      <c r="AL2656" s="152"/>
      <c r="AM2656" s="152"/>
      <c r="AN2656" s="152"/>
      <c r="AO2656" s="152"/>
      <c r="AP2656" s="152"/>
      <c r="AQ2656" s="152"/>
      <c r="AR2656" s="152"/>
      <c r="AS2656" s="152"/>
      <c r="AT2656" s="152"/>
      <c r="AU2656" s="152"/>
      <c r="AV2656" s="152"/>
      <c r="AW2656" s="152"/>
      <c r="AX2656" s="152"/>
      <c r="AY2656" s="152"/>
      <c r="AZ2656" s="152"/>
      <c r="BA2656" s="152"/>
      <c r="BB2656" s="152"/>
      <c r="BC2656" s="152"/>
      <c r="BD2656" s="152"/>
      <c r="BE2656" s="152"/>
      <c r="BF2656" s="152"/>
      <c r="BG2656" s="152"/>
      <c r="BH2656" s="152"/>
      <c r="BI2656" s="152"/>
      <c r="BJ2656" s="152"/>
      <c r="BK2656" s="152"/>
      <c r="BL2656" s="152"/>
      <c r="BM2656" s="152"/>
      <c r="BN2656" s="152"/>
      <c r="BO2656" s="152"/>
      <c r="BP2656" s="152"/>
      <c r="BQ2656" s="152"/>
      <c r="BR2656" s="152"/>
      <c r="BS2656" s="152"/>
      <c r="BT2656" s="152"/>
      <c r="BU2656" s="152"/>
      <c r="BV2656" s="152"/>
      <c r="BW2656" s="152"/>
      <c r="BX2656" s="152"/>
      <c r="BY2656" s="152"/>
      <c r="BZ2656" s="152"/>
      <c r="CA2656" s="152"/>
      <c r="CB2656" s="152"/>
      <c r="CC2656" s="152"/>
      <c r="CD2656" s="152"/>
      <c r="CE2656" s="152"/>
      <c r="CF2656" s="152"/>
      <c r="CG2656" s="152"/>
      <c r="CH2656" s="152"/>
      <c r="CI2656" s="152"/>
      <c r="CJ2656" s="152"/>
      <c r="CK2656" s="152"/>
      <c r="CL2656" s="152"/>
      <c r="CM2656" s="152"/>
      <c r="CN2656" s="152"/>
      <c r="CO2656" s="152"/>
      <c r="CP2656" s="152"/>
      <c r="CQ2656" s="152"/>
      <c r="CR2656" s="152"/>
      <c r="CS2656" s="152"/>
      <c r="CT2656" s="152"/>
      <c r="CU2656" s="152"/>
      <c r="CV2656" s="152"/>
      <c r="CW2656" s="152"/>
      <c r="CX2656" s="152"/>
      <c r="CY2656" s="152"/>
      <c r="CZ2656" s="152"/>
      <c r="DA2656" s="152"/>
      <c r="DB2656" s="152"/>
      <c r="DC2656" s="152"/>
      <c r="DD2656" s="152"/>
      <c r="DE2656" s="152"/>
      <c r="DF2656" s="152"/>
      <c r="DG2656" s="152"/>
      <c r="DH2656" s="152"/>
      <c r="DI2656" s="152"/>
      <c r="DJ2656" s="152"/>
      <c r="DK2656" s="152"/>
      <c r="DL2656" s="152"/>
      <c r="DM2656" s="152"/>
      <c r="DN2656" s="152"/>
      <c r="DO2656" s="152"/>
      <c r="DP2656" s="152"/>
      <c r="DQ2656" s="152"/>
      <c r="DR2656" s="152"/>
      <c r="DS2656" s="152"/>
      <c r="DT2656" s="152"/>
      <c r="DU2656" s="152"/>
      <c r="DV2656" s="152"/>
      <c r="DW2656" s="152"/>
      <c r="DX2656" s="152"/>
      <c r="DY2656" s="152"/>
      <c r="DZ2656" s="152"/>
      <c r="EA2656" s="152"/>
      <c r="EB2656" s="152"/>
      <c r="EC2656" s="152"/>
      <c r="ED2656" s="152"/>
      <c r="EE2656" s="152"/>
      <c r="EF2656" s="152"/>
      <c r="EG2656" s="152"/>
      <c r="EH2656" s="152"/>
      <c r="EI2656" s="152"/>
      <c r="EJ2656" s="152"/>
      <c r="EK2656" s="152"/>
      <c r="EL2656" s="152"/>
      <c r="EM2656" s="152"/>
      <c r="EN2656" s="152"/>
      <c r="EO2656" s="152"/>
      <c r="EP2656" s="152"/>
      <c r="EQ2656" s="152"/>
      <c r="ER2656" s="152"/>
      <c r="ES2656" s="152"/>
      <c r="ET2656" s="152"/>
      <c r="EU2656" s="152"/>
      <c r="EV2656" s="152"/>
      <c r="EW2656" s="152"/>
      <c r="EX2656" s="152"/>
      <c r="EY2656" s="152"/>
      <c r="EZ2656" s="152"/>
      <c r="FA2656" s="152"/>
      <c r="FB2656" s="152"/>
      <c r="FC2656" s="152"/>
      <c r="FD2656" s="152"/>
      <c r="FE2656" s="152"/>
      <c r="FF2656" s="152"/>
      <c r="FG2656" s="152"/>
      <c r="FH2656" s="152"/>
      <c r="FI2656" s="152"/>
      <c r="FJ2656" s="152"/>
      <c r="FK2656" s="152"/>
      <c r="FL2656" s="152"/>
      <c r="FM2656" s="152"/>
      <c r="FN2656" s="152"/>
      <c r="FO2656" s="152"/>
      <c r="FP2656" s="152"/>
      <c r="FQ2656" s="152"/>
      <c r="FR2656" s="152"/>
      <c r="FS2656" s="152"/>
      <c r="FT2656" s="152"/>
      <c r="FU2656" s="152"/>
      <c r="FV2656" s="152"/>
      <c r="FW2656" s="152"/>
      <c r="FX2656" s="152"/>
      <c r="FY2656" s="152"/>
      <c r="FZ2656" s="152"/>
      <c r="GA2656" s="152"/>
      <c r="GB2656" s="152"/>
      <c r="GC2656" s="152"/>
      <c r="GD2656" s="152"/>
      <c r="GE2656" s="152"/>
      <c r="GF2656" s="152"/>
      <c r="GG2656" s="152"/>
      <c r="GH2656" s="152"/>
      <c r="GI2656" s="152"/>
      <c r="GJ2656" s="152"/>
      <c r="GK2656" s="152"/>
      <c r="GL2656" s="152"/>
      <c r="GM2656" s="152"/>
      <c r="GN2656" s="152"/>
      <c r="GO2656" s="152"/>
      <c r="GP2656" s="152"/>
      <c r="GQ2656" s="152"/>
      <c r="GR2656" s="152"/>
      <c r="GS2656" s="152"/>
      <c r="GT2656" s="152"/>
      <c r="GU2656" s="152"/>
      <c r="GV2656" s="152"/>
      <c r="GW2656" s="152"/>
      <c r="GX2656" s="152"/>
      <c r="GY2656" s="152"/>
      <c r="GZ2656" s="152"/>
      <c r="HA2656" s="152"/>
      <c r="HB2656" s="152"/>
      <c r="HC2656" s="152"/>
      <c r="HD2656" s="152"/>
      <c r="HE2656" s="152"/>
      <c r="HF2656" s="152"/>
    </row>
    <row r="2657" spans="1:214" ht="64.5" customHeight="1" x14ac:dyDescent="0.35">
      <c r="A2657" s="272">
        <v>1174</v>
      </c>
      <c r="B2657" s="272"/>
      <c r="C2657" s="285"/>
      <c r="D2657" s="275"/>
      <c r="E2657" s="284"/>
      <c r="F2657" s="284"/>
      <c r="G2657" s="272"/>
      <c r="H2657" s="136" t="s">
        <v>673</v>
      </c>
      <c r="I2657" s="181">
        <f>94298.3+D2656*96</f>
        <v>181591.1</v>
      </c>
      <c r="J2657" s="181">
        <f>I2657/D2656</f>
        <v>199.7</v>
      </c>
      <c r="K2657" s="181">
        <f>154+96</f>
        <v>250</v>
      </c>
      <c r="L2657" s="152"/>
      <c r="M2657" s="152"/>
      <c r="N2657" s="152"/>
      <c r="O2657" s="152"/>
      <c r="P2657" s="152"/>
      <c r="Q2657" s="152"/>
      <c r="R2657" s="152"/>
      <c r="S2657" s="152"/>
      <c r="T2657" s="152"/>
      <c r="U2657" s="152"/>
      <c r="V2657" s="152"/>
      <c r="W2657" s="152"/>
      <c r="X2657" s="152"/>
      <c r="Y2657" s="152"/>
      <c r="Z2657" s="152"/>
      <c r="AA2657" s="152"/>
      <c r="AB2657" s="152"/>
      <c r="AC2657" s="152"/>
      <c r="AD2657" s="152"/>
      <c r="AE2657" s="152"/>
      <c r="AF2657" s="152"/>
      <c r="AG2657" s="152"/>
      <c r="AH2657" s="152"/>
      <c r="AI2657" s="152"/>
      <c r="AJ2657" s="152"/>
      <c r="AK2657" s="152"/>
      <c r="AL2657" s="152"/>
      <c r="AM2657" s="152"/>
      <c r="AN2657" s="152"/>
      <c r="AO2657" s="152"/>
      <c r="AP2657" s="152"/>
      <c r="AQ2657" s="152"/>
      <c r="AR2657" s="152"/>
      <c r="AS2657" s="152"/>
      <c r="AT2657" s="152"/>
      <c r="AU2657" s="152"/>
      <c r="AV2657" s="152"/>
      <c r="AW2657" s="152"/>
      <c r="AX2657" s="152"/>
      <c r="AY2657" s="152"/>
      <c r="AZ2657" s="152"/>
      <c r="BA2657" s="152"/>
      <c r="BB2657" s="152"/>
      <c r="BC2657" s="152"/>
      <c r="BD2657" s="152"/>
      <c r="BE2657" s="152"/>
      <c r="BF2657" s="152"/>
      <c r="BG2657" s="152"/>
      <c r="BH2657" s="152"/>
      <c r="BI2657" s="152"/>
      <c r="BJ2657" s="152"/>
      <c r="BK2657" s="152"/>
      <c r="BL2657" s="152"/>
      <c r="BM2657" s="152"/>
      <c r="BN2657" s="152"/>
      <c r="BO2657" s="152"/>
      <c r="BP2657" s="152"/>
      <c r="BQ2657" s="152"/>
      <c r="BR2657" s="152"/>
      <c r="BS2657" s="152"/>
      <c r="BT2657" s="152"/>
      <c r="BU2657" s="152"/>
      <c r="BV2657" s="152"/>
      <c r="BW2657" s="152"/>
      <c r="BX2657" s="152"/>
      <c r="BY2657" s="152"/>
      <c r="BZ2657" s="152"/>
      <c r="CA2657" s="152"/>
      <c r="CB2657" s="152"/>
      <c r="CC2657" s="152"/>
      <c r="CD2657" s="152"/>
      <c r="CE2657" s="152"/>
      <c r="CF2657" s="152"/>
      <c r="CG2657" s="152"/>
      <c r="CH2657" s="152"/>
      <c r="CI2657" s="152"/>
      <c r="CJ2657" s="152"/>
      <c r="CK2657" s="152"/>
      <c r="CL2657" s="152"/>
      <c r="CM2657" s="152"/>
      <c r="CN2657" s="152"/>
      <c r="CO2657" s="152"/>
      <c r="CP2657" s="152"/>
      <c r="CQ2657" s="152"/>
      <c r="CR2657" s="152"/>
      <c r="CS2657" s="152"/>
      <c r="CT2657" s="152"/>
      <c r="CU2657" s="152"/>
      <c r="CV2657" s="152"/>
      <c r="CW2657" s="152"/>
      <c r="CX2657" s="152"/>
      <c r="CY2657" s="152"/>
      <c r="CZ2657" s="152"/>
      <c r="DA2657" s="152"/>
      <c r="DB2657" s="152"/>
      <c r="DC2657" s="152"/>
      <c r="DD2657" s="152"/>
      <c r="DE2657" s="152"/>
      <c r="DF2657" s="152"/>
      <c r="DG2657" s="152"/>
      <c r="DH2657" s="152"/>
      <c r="DI2657" s="152"/>
      <c r="DJ2657" s="152"/>
      <c r="DK2657" s="152"/>
      <c r="DL2657" s="152"/>
      <c r="DM2657" s="152"/>
      <c r="DN2657" s="152"/>
      <c r="DO2657" s="152"/>
      <c r="DP2657" s="152"/>
      <c r="DQ2657" s="152"/>
      <c r="DR2657" s="152"/>
      <c r="DS2657" s="152"/>
      <c r="DT2657" s="152"/>
      <c r="DU2657" s="152"/>
      <c r="DV2657" s="152"/>
      <c r="DW2657" s="152"/>
      <c r="DX2657" s="152"/>
      <c r="DY2657" s="152"/>
      <c r="DZ2657" s="152"/>
      <c r="EA2657" s="152"/>
      <c r="EB2657" s="152"/>
      <c r="EC2657" s="152"/>
      <c r="ED2657" s="152"/>
      <c r="EE2657" s="152"/>
      <c r="EF2657" s="152"/>
      <c r="EG2657" s="152"/>
      <c r="EH2657" s="152"/>
      <c r="EI2657" s="152"/>
      <c r="EJ2657" s="152"/>
      <c r="EK2657" s="152"/>
      <c r="EL2657" s="152"/>
      <c r="EM2657" s="152"/>
      <c r="EN2657" s="152"/>
      <c r="EO2657" s="152"/>
      <c r="EP2657" s="152"/>
      <c r="EQ2657" s="152"/>
      <c r="ER2657" s="152"/>
      <c r="ES2657" s="152"/>
      <c r="ET2657" s="152"/>
      <c r="EU2657" s="152"/>
      <c r="EV2657" s="152"/>
      <c r="EW2657" s="152"/>
      <c r="EX2657" s="152"/>
      <c r="EY2657" s="152"/>
      <c r="EZ2657" s="152"/>
      <c r="FA2657" s="152"/>
      <c r="FB2657" s="152"/>
      <c r="FC2657" s="152"/>
      <c r="FD2657" s="152"/>
      <c r="FE2657" s="152"/>
      <c r="FF2657" s="152"/>
      <c r="FG2657" s="152"/>
      <c r="FH2657" s="152"/>
      <c r="FI2657" s="152"/>
      <c r="FJ2657" s="152"/>
      <c r="FK2657" s="152"/>
      <c r="FL2657" s="152"/>
      <c r="FM2657" s="152"/>
      <c r="FN2657" s="152"/>
      <c r="FO2657" s="152"/>
      <c r="FP2657" s="152"/>
      <c r="FQ2657" s="152"/>
      <c r="FR2657" s="152"/>
      <c r="FS2657" s="152"/>
      <c r="FT2657" s="152"/>
      <c r="FU2657" s="152"/>
      <c r="FV2657" s="152"/>
      <c r="FW2657" s="152"/>
      <c r="FX2657" s="152"/>
      <c r="FY2657" s="152"/>
      <c r="FZ2657" s="152"/>
      <c r="GA2657" s="152"/>
      <c r="GB2657" s="152"/>
      <c r="GC2657" s="152"/>
      <c r="GD2657" s="152"/>
      <c r="GE2657" s="152"/>
      <c r="GF2657" s="152"/>
      <c r="GG2657" s="152"/>
      <c r="GH2657" s="152"/>
      <c r="GI2657" s="152"/>
      <c r="GJ2657" s="152"/>
      <c r="GK2657" s="152"/>
      <c r="GL2657" s="152"/>
      <c r="GM2657" s="152"/>
      <c r="GN2657" s="152"/>
      <c r="GO2657" s="152"/>
      <c r="GP2657" s="152"/>
      <c r="GQ2657" s="152"/>
      <c r="GR2657" s="152"/>
      <c r="GS2657" s="152"/>
      <c r="GT2657" s="152"/>
      <c r="GU2657" s="152"/>
      <c r="GV2657" s="152"/>
      <c r="GW2657" s="152"/>
      <c r="GX2657" s="152"/>
      <c r="GY2657" s="152"/>
      <c r="GZ2657" s="152"/>
      <c r="HA2657" s="152"/>
      <c r="HB2657" s="152"/>
      <c r="HC2657" s="152"/>
      <c r="HD2657" s="152"/>
      <c r="HE2657" s="152"/>
      <c r="HF2657" s="152"/>
    </row>
    <row r="2658" spans="1:214" x14ac:dyDescent="0.35">
      <c r="A2658" s="161" t="s">
        <v>50</v>
      </c>
      <c r="B2658" s="162"/>
      <c r="C2658" s="163"/>
      <c r="D2658" s="199">
        <f>D2659+D2663</f>
        <v>1009.9</v>
      </c>
      <c r="E2658" s="203"/>
      <c r="F2658" s="203"/>
      <c r="G2658" s="204"/>
      <c r="H2658" s="205"/>
      <c r="I2658" s="181">
        <f>I2659+I2663</f>
        <v>2988470.89</v>
      </c>
      <c r="J2658" s="181"/>
      <c r="K2658" s="181"/>
      <c r="L2658" s="152"/>
      <c r="M2658" s="152"/>
      <c r="N2658" s="152"/>
      <c r="O2658" s="152"/>
      <c r="P2658" s="152"/>
      <c r="Q2658" s="152"/>
      <c r="R2658" s="152"/>
      <c r="S2658" s="152"/>
      <c r="T2658" s="152"/>
      <c r="U2658" s="152"/>
      <c r="V2658" s="152"/>
      <c r="W2658" s="152"/>
      <c r="X2658" s="152"/>
      <c r="Y2658" s="152"/>
      <c r="Z2658" s="152"/>
      <c r="AA2658" s="152"/>
      <c r="AB2658" s="152"/>
      <c r="AC2658" s="152"/>
      <c r="AD2658" s="152"/>
      <c r="AE2658" s="152"/>
      <c r="AF2658" s="152"/>
      <c r="AG2658" s="152"/>
      <c r="AH2658" s="152"/>
      <c r="AI2658" s="152"/>
      <c r="AJ2658" s="152"/>
      <c r="AK2658" s="152"/>
      <c r="AL2658" s="152"/>
      <c r="AM2658" s="152"/>
      <c r="AN2658" s="152"/>
      <c r="AO2658" s="152"/>
      <c r="AP2658" s="152"/>
      <c r="AQ2658" s="152"/>
      <c r="AR2658" s="152"/>
      <c r="AS2658" s="152"/>
      <c r="AT2658" s="152"/>
      <c r="AU2658" s="152"/>
      <c r="AV2658" s="152"/>
      <c r="AW2658" s="152"/>
      <c r="AX2658" s="152"/>
      <c r="AY2658" s="152"/>
      <c r="AZ2658" s="152"/>
      <c r="BA2658" s="152"/>
      <c r="BB2658" s="152"/>
      <c r="BC2658" s="152"/>
      <c r="BD2658" s="152"/>
      <c r="BE2658" s="152"/>
      <c r="BF2658" s="152"/>
      <c r="BG2658" s="152"/>
      <c r="BH2658" s="152"/>
      <c r="BI2658" s="152"/>
      <c r="BJ2658" s="152"/>
      <c r="BK2658" s="152"/>
      <c r="BL2658" s="152"/>
      <c r="BM2658" s="152"/>
      <c r="BN2658" s="152"/>
      <c r="BO2658" s="152"/>
      <c r="BP2658" s="152"/>
      <c r="BQ2658" s="152"/>
      <c r="BR2658" s="152"/>
      <c r="BS2658" s="152"/>
      <c r="BT2658" s="152"/>
      <c r="BU2658" s="152"/>
      <c r="BV2658" s="152"/>
      <c r="BW2658" s="152"/>
      <c r="BX2658" s="152"/>
      <c r="BY2658" s="152"/>
      <c r="BZ2658" s="152"/>
      <c r="CA2658" s="152"/>
      <c r="CB2658" s="152"/>
      <c r="CC2658" s="152"/>
      <c r="CD2658" s="152"/>
      <c r="CE2658" s="152"/>
      <c r="CF2658" s="152"/>
      <c r="CG2658" s="152"/>
      <c r="CH2658" s="152"/>
      <c r="CI2658" s="152"/>
      <c r="CJ2658" s="152"/>
      <c r="CK2658" s="152"/>
      <c r="CL2658" s="152"/>
      <c r="CM2658" s="152"/>
      <c r="CN2658" s="152"/>
      <c r="CO2658" s="152"/>
      <c r="CP2658" s="152"/>
      <c r="CQ2658" s="152"/>
      <c r="CR2658" s="152"/>
      <c r="CS2658" s="152"/>
      <c r="CT2658" s="152"/>
      <c r="CU2658" s="152"/>
      <c r="CV2658" s="152"/>
      <c r="CW2658" s="152"/>
      <c r="CX2658" s="152"/>
      <c r="CY2658" s="152"/>
      <c r="CZ2658" s="152"/>
      <c r="DA2658" s="152"/>
      <c r="DB2658" s="152"/>
      <c r="DC2658" s="152"/>
      <c r="DD2658" s="152"/>
      <c r="DE2658" s="152"/>
      <c r="DF2658" s="152"/>
      <c r="DG2658" s="152"/>
      <c r="DH2658" s="152"/>
      <c r="DI2658" s="152"/>
      <c r="DJ2658" s="152"/>
      <c r="DK2658" s="152"/>
      <c r="DL2658" s="152"/>
      <c r="DM2658" s="152"/>
      <c r="DN2658" s="152"/>
      <c r="DO2658" s="152"/>
      <c r="DP2658" s="152"/>
      <c r="DQ2658" s="152"/>
      <c r="DR2658" s="152"/>
      <c r="DS2658" s="152"/>
      <c r="DT2658" s="152"/>
      <c r="DU2658" s="152"/>
      <c r="DV2658" s="152"/>
      <c r="DW2658" s="152"/>
      <c r="DX2658" s="152"/>
      <c r="DY2658" s="152"/>
      <c r="DZ2658" s="152"/>
      <c r="EA2658" s="152"/>
      <c r="EB2658" s="152"/>
      <c r="EC2658" s="152"/>
      <c r="ED2658" s="152"/>
      <c r="EE2658" s="152"/>
      <c r="EF2658" s="152"/>
      <c r="EG2658" s="152"/>
      <c r="EH2658" s="152"/>
      <c r="EI2658" s="152"/>
      <c r="EJ2658" s="152"/>
      <c r="EK2658" s="152"/>
      <c r="EL2658" s="152"/>
      <c r="EM2658" s="152"/>
      <c r="EN2658" s="152"/>
      <c r="EO2658" s="152"/>
      <c r="EP2658" s="152"/>
      <c r="EQ2658" s="152"/>
      <c r="ER2658" s="152"/>
      <c r="ES2658" s="152"/>
      <c r="ET2658" s="152"/>
      <c r="EU2658" s="152"/>
      <c r="EV2658" s="152"/>
      <c r="EW2658" s="152"/>
      <c r="EX2658" s="152"/>
      <c r="EY2658" s="152"/>
      <c r="EZ2658" s="152"/>
      <c r="FA2658" s="152"/>
      <c r="FB2658" s="152"/>
      <c r="FC2658" s="152"/>
      <c r="FD2658" s="152"/>
      <c r="FE2658" s="152"/>
      <c r="FF2658" s="152"/>
      <c r="FG2658" s="152"/>
      <c r="FH2658" s="152"/>
      <c r="FI2658" s="152"/>
      <c r="FJ2658" s="152"/>
      <c r="FK2658" s="152"/>
      <c r="FL2658" s="152"/>
      <c r="FM2658" s="152"/>
      <c r="FN2658" s="152"/>
      <c r="FO2658" s="152"/>
      <c r="FP2658" s="152"/>
      <c r="FQ2658" s="152"/>
      <c r="FR2658" s="152"/>
      <c r="FS2658" s="152"/>
      <c r="FT2658" s="152"/>
      <c r="FU2658" s="152"/>
      <c r="FV2658" s="152"/>
      <c r="FW2658" s="152"/>
      <c r="FX2658" s="152"/>
      <c r="FY2658" s="152"/>
      <c r="FZ2658" s="152"/>
      <c r="GA2658" s="152"/>
      <c r="GB2658" s="152"/>
      <c r="GC2658" s="152"/>
      <c r="GD2658" s="152"/>
      <c r="GE2658" s="152"/>
      <c r="GF2658" s="152"/>
      <c r="GG2658" s="152"/>
      <c r="GH2658" s="152"/>
      <c r="GI2658" s="152"/>
      <c r="GJ2658" s="152"/>
      <c r="GK2658" s="152"/>
      <c r="GL2658" s="152"/>
      <c r="GM2658" s="152"/>
      <c r="GN2658" s="152"/>
      <c r="GO2658" s="152"/>
      <c r="GP2658" s="152"/>
      <c r="GQ2658" s="152"/>
      <c r="GR2658" s="152"/>
      <c r="GS2658" s="152"/>
      <c r="GT2658" s="152"/>
      <c r="GU2658" s="152"/>
      <c r="GV2658" s="152"/>
      <c r="GW2658" s="152"/>
      <c r="GX2658" s="152"/>
      <c r="GY2658" s="152"/>
      <c r="GZ2658" s="152"/>
      <c r="HA2658" s="152"/>
      <c r="HB2658" s="152"/>
      <c r="HC2658" s="152"/>
      <c r="HD2658" s="152"/>
      <c r="HE2658" s="152"/>
      <c r="HF2658" s="152"/>
    </row>
    <row r="2659" spans="1:214" x14ac:dyDescent="0.35">
      <c r="A2659" s="270">
        <v>1</v>
      </c>
      <c r="B2659" s="270">
        <v>7187</v>
      </c>
      <c r="C2659" s="278" t="s">
        <v>621</v>
      </c>
      <c r="D2659" s="273">
        <v>389.2</v>
      </c>
      <c r="E2659" s="282" t="s">
        <v>74</v>
      </c>
      <c r="F2659" s="282">
        <v>2</v>
      </c>
      <c r="G2659" s="270" t="s">
        <v>71</v>
      </c>
      <c r="H2659" s="136" t="s">
        <v>72</v>
      </c>
      <c r="I2659" s="181">
        <f>I2662+I2661+I2660</f>
        <v>2845925.77</v>
      </c>
      <c r="J2659" s="181">
        <f>J2660+J2662+J2661</f>
        <v>7312.25</v>
      </c>
      <c r="K2659" s="181">
        <f>K2660+K2662+K2661</f>
        <v>7313</v>
      </c>
      <c r="L2659" s="152"/>
      <c r="M2659" s="152"/>
      <c r="N2659" s="152"/>
      <c r="O2659" s="152"/>
      <c r="P2659" s="152"/>
      <c r="Q2659" s="152"/>
      <c r="R2659" s="152"/>
      <c r="S2659" s="152"/>
      <c r="T2659" s="152"/>
      <c r="U2659" s="152"/>
      <c r="V2659" s="152"/>
      <c r="W2659" s="152"/>
      <c r="X2659" s="152"/>
      <c r="Y2659" s="152"/>
      <c r="Z2659" s="152"/>
      <c r="AA2659" s="152"/>
      <c r="AB2659" s="152"/>
      <c r="AC2659" s="152"/>
      <c r="AD2659" s="152"/>
      <c r="AE2659" s="152"/>
      <c r="AF2659" s="152"/>
      <c r="AG2659" s="152"/>
      <c r="AH2659" s="152"/>
      <c r="AI2659" s="152"/>
      <c r="AJ2659" s="152"/>
      <c r="AK2659" s="152"/>
      <c r="AL2659" s="152"/>
      <c r="AM2659" s="152"/>
      <c r="AN2659" s="152"/>
      <c r="AO2659" s="152"/>
      <c r="AP2659" s="152"/>
      <c r="AQ2659" s="152"/>
      <c r="AR2659" s="152"/>
      <c r="AS2659" s="152"/>
      <c r="AT2659" s="152"/>
      <c r="AU2659" s="152"/>
      <c r="AV2659" s="152"/>
      <c r="AW2659" s="152"/>
      <c r="AX2659" s="152"/>
      <c r="AY2659" s="152"/>
      <c r="AZ2659" s="152"/>
      <c r="BA2659" s="152"/>
      <c r="BB2659" s="152"/>
      <c r="BC2659" s="152"/>
      <c r="BD2659" s="152"/>
      <c r="BE2659" s="152"/>
      <c r="BF2659" s="152"/>
      <c r="BG2659" s="152"/>
      <c r="BH2659" s="152"/>
      <c r="BI2659" s="152"/>
      <c r="BJ2659" s="152"/>
      <c r="BK2659" s="152"/>
      <c r="BL2659" s="152"/>
      <c r="BM2659" s="152"/>
      <c r="BN2659" s="152"/>
      <c r="BO2659" s="152"/>
      <c r="BP2659" s="152"/>
      <c r="BQ2659" s="152"/>
      <c r="BR2659" s="152"/>
      <c r="BS2659" s="152"/>
      <c r="BT2659" s="152"/>
      <c r="BU2659" s="152"/>
      <c r="BV2659" s="152"/>
      <c r="BW2659" s="152"/>
      <c r="BX2659" s="152"/>
      <c r="BY2659" s="152"/>
      <c r="BZ2659" s="152"/>
      <c r="CA2659" s="152"/>
      <c r="CB2659" s="152"/>
      <c r="CC2659" s="152"/>
      <c r="CD2659" s="152"/>
      <c r="CE2659" s="152"/>
      <c r="CF2659" s="152"/>
      <c r="CG2659" s="152"/>
      <c r="CH2659" s="152"/>
      <c r="CI2659" s="152"/>
      <c r="CJ2659" s="152"/>
      <c r="CK2659" s="152"/>
      <c r="CL2659" s="152"/>
      <c r="CM2659" s="152"/>
      <c r="CN2659" s="152"/>
      <c r="CO2659" s="152"/>
      <c r="CP2659" s="152"/>
      <c r="CQ2659" s="152"/>
      <c r="CR2659" s="152"/>
      <c r="CS2659" s="152"/>
      <c r="CT2659" s="152"/>
      <c r="CU2659" s="152"/>
      <c r="CV2659" s="152"/>
      <c r="CW2659" s="152"/>
      <c r="CX2659" s="152"/>
      <c r="CY2659" s="152"/>
      <c r="CZ2659" s="152"/>
      <c r="DA2659" s="152"/>
      <c r="DB2659" s="152"/>
      <c r="DC2659" s="152"/>
      <c r="DD2659" s="152"/>
      <c r="DE2659" s="152"/>
      <c r="DF2659" s="152"/>
      <c r="DG2659" s="152"/>
      <c r="DH2659" s="152"/>
      <c r="DI2659" s="152"/>
      <c r="DJ2659" s="152"/>
      <c r="DK2659" s="152"/>
      <c r="DL2659" s="152"/>
      <c r="DM2659" s="152"/>
      <c r="DN2659" s="152"/>
      <c r="DO2659" s="152"/>
      <c r="DP2659" s="152"/>
      <c r="DQ2659" s="152"/>
      <c r="DR2659" s="152"/>
      <c r="DS2659" s="152"/>
      <c r="DT2659" s="152"/>
      <c r="DU2659" s="152"/>
      <c r="DV2659" s="152"/>
      <c r="DW2659" s="152"/>
      <c r="DX2659" s="152"/>
      <c r="DY2659" s="152"/>
      <c r="DZ2659" s="152"/>
      <c r="EA2659" s="152"/>
      <c r="EB2659" s="152"/>
      <c r="EC2659" s="152"/>
      <c r="ED2659" s="152"/>
      <c r="EE2659" s="152"/>
      <c r="EF2659" s="152"/>
      <c r="EG2659" s="152"/>
      <c r="EH2659" s="152"/>
      <c r="EI2659" s="152"/>
      <c r="EJ2659" s="152"/>
      <c r="EK2659" s="152"/>
      <c r="EL2659" s="152"/>
      <c r="EM2659" s="152"/>
      <c r="EN2659" s="152"/>
      <c r="EO2659" s="152"/>
      <c r="EP2659" s="152"/>
      <c r="EQ2659" s="152"/>
      <c r="ER2659" s="152"/>
      <c r="ES2659" s="152"/>
      <c r="ET2659" s="152"/>
      <c r="EU2659" s="152"/>
      <c r="EV2659" s="152"/>
      <c r="EW2659" s="152"/>
      <c r="EX2659" s="152"/>
      <c r="EY2659" s="152"/>
      <c r="EZ2659" s="152"/>
      <c r="FA2659" s="152"/>
      <c r="FB2659" s="152"/>
      <c r="FC2659" s="152"/>
      <c r="FD2659" s="152"/>
      <c r="FE2659" s="152"/>
      <c r="FF2659" s="152"/>
      <c r="FG2659" s="152"/>
      <c r="FH2659" s="152"/>
      <c r="FI2659" s="152"/>
      <c r="FJ2659" s="152"/>
      <c r="FK2659" s="152"/>
      <c r="FL2659" s="152"/>
      <c r="FM2659" s="152"/>
      <c r="FN2659" s="152"/>
      <c r="FO2659" s="152"/>
      <c r="FP2659" s="152"/>
      <c r="FQ2659" s="152"/>
      <c r="FR2659" s="152"/>
      <c r="FS2659" s="152"/>
      <c r="FT2659" s="152"/>
      <c r="FU2659" s="152"/>
      <c r="FV2659" s="152"/>
      <c r="FW2659" s="152"/>
      <c r="FX2659" s="152"/>
      <c r="FY2659" s="152"/>
      <c r="FZ2659" s="152"/>
      <c r="GA2659" s="152"/>
      <c r="GB2659" s="152"/>
      <c r="GC2659" s="152"/>
      <c r="GD2659" s="152"/>
      <c r="GE2659" s="152"/>
      <c r="GF2659" s="152"/>
      <c r="GG2659" s="152"/>
      <c r="GH2659" s="152"/>
      <c r="GI2659" s="152"/>
      <c r="GJ2659" s="152"/>
      <c r="GK2659" s="152"/>
      <c r="GL2659" s="152"/>
      <c r="GM2659" s="152"/>
      <c r="GN2659" s="152"/>
      <c r="GO2659" s="152"/>
      <c r="GP2659" s="152"/>
      <c r="GQ2659" s="152"/>
      <c r="GR2659" s="152"/>
      <c r="GS2659" s="152"/>
      <c r="GT2659" s="152"/>
      <c r="GU2659" s="152"/>
      <c r="GV2659" s="152"/>
      <c r="GW2659" s="152"/>
      <c r="GX2659" s="152"/>
      <c r="GY2659" s="152"/>
      <c r="GZ2659" s="152"/>
      <c r="HA2659" s="152"/>
      <c r="HB2659" s="152"/>
      <c r="HC2659" s="152"/>
      <c r="HD2659" s="152"/>
      <c r="HE2659" s="152"/>
      <c r="HF2659" s="152"/>
    </row>
    <row r="2660" spans="1:214" ht="64.5" customHeight="1" x14ac:dyDescent="0.35">
      <c r="A2660" s="271"/>
      <c r="B2660" s="271"/>
      <c r="C2660" s="279"/>
      <c r="D2660" s="274"/>
      <c r="E2660" s="283"/>
      <c r="F2660" s="283"/>
      <c r="G2660" s="271"/>
      <c r="H2660" s="136" t="s">
        <v>673</v>
      </c>
      <c r="I2660" s="181">
        <f>58475.37+96*D2659</f>
        <v>95838.57</v>
      </c>
      <c r="J2660" s="181">
        <f>I2660/D2659</f>
        <v>246.25</v>
      </c>
      <c r="K2660" s="181">
        <f>151+96</f>
        <v>247</v>
      </c>
      <c r="L2660" s="152"/>
      <c r="M2660" s="152"/>
      <c r="N2660" s="152"/>
      <c r="O2660" s="152"/>
      <c r="P2660" s="152"/>
      <c r="Q2660" s="152"/>
      <c r="R2660" s="152"/>
      <c r="S2660" s="152"/>
      <c r="T2660" s="152"/>
      <c r="U2660" s="152"/>
      <c r="V2660" s="152"/>
      <c r="W2660" s="152"/>
      <c r="X2660" s="152"/>
      <c r="Y2660" s="152"/>
      <c r="Z2660" s="152"/>
      <c r="AA2660" s="152"/>
      <c r="AB2660" s="152"/>
      <c r="AC2660" s="152"/>
      <c r="AD2660" s="152"/>
      <c r="AE2660" s="152"/>
      <c r="AF2660" s="152"/>
      <c r="AG2660" s="152"/>
      <c r="AH2660" s="152"/>
      <c r="AI2660" s="152"/>
      <c r="AJ2660" s="152"/>
      <c r="AK2660" s="152"/>
      <c r="AL2660" s="152"/>
      <c r="AM2660" s="152"/>
      <c r="AN2660" s="152"/>
      <c r="AO2660" s="152"/>
      <c r="AP2660" s="152"/>
      <c r="AQ2660" s="152"/>
      <c r="AR2660" s="152"/>
      <c r="AS2660" s="152"/>
      <c r="AT2660" s="152"/>
      <c r="AU2660" s="152"/>
      <c r="AV2660" s="152"/>
      <c r="AW2660" s="152"/>
      <c r="AX2660" s="152"/>
      <c r="AY2660" s="152"/>
      <c r="AZ2660" s="152"/>
      <c r="BA2660" s="152"/>
      <c r="BB2660" s="152"/>
      <c r="BC2660" s="152"/>
      <c r="BD2660" s="152"/>
      <c r="BE2660" s="152"/>
      <c r="BF2660" s="152"/>
      <c r="BG2660" s="152"/>
      <c r="BH2660" s="152"/>
      <c r="BI2660" s="152"/>
      <c r="BJ2660" s="152"/>
      <c r="BK2660" s="152"/>
      <c r="BL2660" s="152"/>
      <c r="BM2660" s="152"/>
      <c r="BN2660" s="152"/>
      <c r="BO2660" s="152"/>
      <c r="BP2660" s="152"/>
      <c r="BQ2660" s="152"/>
      <c r="BR2660" s="152"/>
      <c r="BS2660" s="152"/>
      <c r="BT2660" s="152"/>
      <c r="BU2660" s="152"/>
      <c r="BV2660" s="152"/>
      <c r="BW2660" s="152"/>
      <c r="BX2660" s="152"/>
      <c r="BY2660" s="152"/>
      <c r="BZ2660" s="152"/>
      <c r="CA2660" s="152"/>
      <c r="CB2660" s="152"/>
      <c r="CC2660" s="152"/>
      <c r="CD2660" s="152"/>
      <c r="CE2660" s="152"/>
      <c r="CF2660" s="152"/>
      <c r="CG2660" s="152"/>
      <c r="CH2660" s="152"/>
      <c r="CI2660" s="152"/>
      <c r="CJ2660" s="152"/>
      <c r="CK2660" s="152"/>
      <c r="CL2660" s="152"/>
      <c r="CM2660" s="152"/>
      <c r="CN2660" s="152"/>
      <c r="CO2660" s="152"/>
      <c r="CP2660" s="152"/>
      <c r="CQ2660" s="152"/>
      <c r="CR2660" s="152"/>
      <c r="CS2660" s="152"/>
      <c r="CT2660" s="152"/>
      <c r="CU2660" s="152"/>
      <c r="CV2660" s="152"/>
      <c r="CW2660" s="152"/>
      <c r="CX2660" s="152"/>
      <c r="CY2660" s="152"/>
      <c r="CZ2660" s="152"/>
      <c r="DA2660" s="152"/>
      <c r="DB2660" s="152"/>
      <c r="DC2660" s="152"/>
      <c r="DD2660" s="152"/>
      <c r="DE2660" s="152"/>
      <c r="DF2660" s="152"/>
      <c r="DG2660" s="152"/>
      <c r="DH2660" s="152"/>
      <c r="DI2660" s="152"/>
      <c r="DJ2660" s="152"/>
      <c r="DK2660" s="152"/>
      <c r="DL2660" s="152"/>
      <c r="DM2660" s="152"/>
      <c r="DN2660" s="152"/>
      <c r="DO2660" s="152"/>
      <c r="DP2660" s="152"/>
      <c r="DQ2660" s="152"/>
      <c r="DR2660" s="152"/>
      <c r="DS2660" s="152"/>
      <c r="DT2660" s="152"/>
      <c r="DU2660" s="152"/>
      <c r="DV2660" s="152"/>
      <c r="DW2660" s="152"/>
      <c r="DX2660" s="152"/>
      <c r="DY2660" s="152"/>
      <c r="DZ2660" s="152"/>
      <c r="EA2660" s="152"/>
      <c r="EB2660" s="152"/>
      <c r="EC2660" s="152"/>
      <c r="ED2660" s="152"/>
      <c r="EE2660" s="152"/>
      <c r="EF2660" s="152"/>
      <c r="EG2660" s="152"/>
      <c r="EH2660" s="152"/>
      <c r="EI2660" s="152"/>
      <c r="EJ2660" s="152"/>
      <c r="EK2660" s="152"/>
      <c r="EL2660" s="152"/>
      <c r="EM2660" s="152"/>
      <c r="EN2660" s="152"/>
      <c r="EO2660" s="152"/>
      <c r="EP2660" s="152"/>
      <c r="EQ2660" s="152"/>
      <c r="ER2660" s="152"/>
      <c r="ES2660" s="152"/>
      <c r="ET2660" s="152"/>
      <c r="EU2660" s="152"/>
      <c r="EV2660" s="152"/>
      <c r="EW2660" s="152"/>
      <c r="EX2660" s="152"/>
      <c r="EY2660" s="152"/>
      <c r="EZ2660" s="152"/>
      <c r="FA2660" s="152"/>
      <c r="FB2660" s="152"/>
      <c r="FC2660" s="152"/>
      <c r="FD2660" s="152"/>
      <c r="FE2660" s="152"/>
      <c r="FF2660" s="152"/>
      <c r="FG2660" s="152"/>
      <c r="FH2660" s="152"/>
      <c r="FI2660" s="152"/>
      <c r="FJ2660" s="152"/>
      <c r="FK2660" s="152"/>
      <c r="FL2660" s="152"/>
      <c r="FM2660" s="152"/>
      <c r="FN2660" s="152"/>
      <c r="FO2660" s="152"/>
      <c r="FP2660" s="152"/>
      <c r="FQ2660" s="152"/>
      <c r="FR2660" s="152"/>
      <c r="FS2660" s="152"/>
      <c r="FT2660" s="152"/>
      <c r="FU2660" s="152"/>
      <c r="FV2660" s="152"/>
      <c r="FW2660" s="152"/>
      <c r="FX2660" s="152"/>
      <c r="FY2660" s="152"/>
      <c r="FZ2660" s="152"/>
      <c r="GA2660" s="152"/>
      <c r="GB2660" s="152"/>
      <c r="GC2660" s="152"/>
      <c r="GD2660" s="152"/>
      <c r="GE2660" s="152"/>
      <c r="GF2660" s="152"/>
      <c r="GG2660" s="152"/>
      <c r="GH2660" s="152"/>
      <c r="GI2660" s="152"/>
      <c r="GJ2660" s="152"/>
      <c r="GK2660" s="152"/>
      <c r="GL2660" s="152"/>
      <c r="GM2660" s="152"/>
      <c r="GN2660" s="152"/>
      <c r="GO2660" s="152"/>
      <c r="GP2660" s="152"/>
      <c r="GQ2660" s="152"/>
      <c r="GR2660" s="152"/>
      <c r="GS2660" s="152"/>
      <c r="GT2660" s="152"/>
      <c r="GU2660" s="152"/>
      <c r="GV2660" s="152"/>
      <c r="GW2660" s="152"/>
      <c r="GX2660" s="152"/>
      <c r="GY2660" s="152"/>
      <c r="GZ2660" s="152"/>
      <c r="HA2660" s="152"/>
      <c r="HB2660" s="152"/>
      <c r="HC2660" s="152"/>
      <c r="HD2660" s="152"/>
      <c r="HE2660" s="152"/>
      <c r="HF2660" s="152"/>
    </row>
    <row r="2661" spans="1:214" x14ac:dyDescent="0.35">
      <c r="A2661" s="271"/>
      <c r="B2661" s="271"/>
      <c r="C2661" s="279"/>
      <c r="D2661" s="274"/>
      <c r="E2661" s="283"/>
      <c r="F2661" s="283"/>
      <c r="G2661" s="271"/>
      <c r="H2661" s="136" t="s">
        <v>73</v>
      </c>
      <c r="I2661" s="181">
        <f>K2661*D2659</f>
        <v>2692485.6</v>
      </c>
      <c r="J2661" s="181">
        <f>I2661/D2659</f>
        <v>6918</v>
      </c>
      <c r="K2661" s="181">
        <v>6918</v>
      </c>
      <c r="L2661" s="152"/>
      <c r="M2661" s="152"/>
      <c r="N2661" s="152"/>
      <c r="O2661" s="152"/>
      <c r="P2661" s="152"/>
      <c r="Q2661" s="152"/>
      <c r="R2661" s="152"/>
      <c r="S2661" s="152"/>
      <c r="T2661" s="152"/>
      <c r="U2661" s="152"/>
      <c r="V2661" s="152"/>
      <c r="W2661" s="152"/>
      <c r="X2661" s="152"/>
      <c r="Y2661" s="152"/>
      <c r="Z2661" s="152"/>
      <c r="AA2661" s="152"/>
      <c r="AB2661" s="152"/>
      <c r="AC2661" s="152"/>
      <c r="AD2661" s="152"/>
      <c r="AE2661" s="152"/>
      <c r="AF2661" s="152"/>
      <c r="AG2661" s="152"/>
      <c r="AH2661" s="152"/>
      <c r="AI2661" s="152"/>
      <c r="AJ2661" s="152"/>
      <c r="AK2661" s="152"/>
      <c r="AL2661" s="152"/>
      <c r="AM2661" s="152"/>
      <c r="AN2661" s="152"/>
      <c r="AO2661" s="152"/>
      <c r="AP2661" s="152"/>
      <c r="AQ2661" s="152"/>
      <c r="AR2661" s="152"/>
      <c r="AS2661" s="152"/>
      <c r="AT2661" s="152"/>
      <c r="AU2661" s="152"/>
      <c r="AV2661" s="152"/>
      <c r="AW2661" s="152"/>
      <c r="AX2661" s="152"/>
      <c r="AY2661" s="152"/>
      <c r="AZ2661" s="152"/>
      <c r="BA2661" s="152"/>
      <c r="BB2661" s="152"/>
      <c r="BC2661" s="152"/>
      <c r="BD2661" s="152"/>
      <c r="BE2661" s="152"/>
      <c r="BF2661" s="152"/>
      <c r="BG2661" s="152"/>
      <c r="BH2661" s="152"/>
      <c r="BI2661" s="152"/>
      <c r="BJ2661" s="152"/>
      <c r="BK2661" s="152"/>
      <c r="BL2661" s="152"/>
      <c r="BM2661" s="152"/>
      <c r="BN2661" s="152"/>
      <c r="BO2661" s="152"/>
      <c r="BP2661" s="152"/>
      <c r="BQ2661" s="152"/>
      <c r="BR2661" s="152"/>
      <c r="BS2661" s="152"/>
      <c r="BT2661" s="152"/>
      <c r="BU2661" s="152"/>
      <c r="BV2661" s="152"/>
      <c r="BW2661" s="152"/>
      <c r="BX2661" s="152"/>
      <c r="BY2661" s="152"/>
      <c r="BZ2661" s="152"/>
      <c r="CA2661" s="152"/>
      <c r="CB2661" s="152"/>
      <c r="CC2661" s="152"/>
      <c r="CD2661" s="152"/>
      <c r="CE2661" s="152"/>
      <c r="CF2661" s="152"/>
      <c r="CG2661" s="152"/>
      <c r="CH2661" s="152"/>
      <c r="CI2661" s="152"/>
      <c r="CJ2661" s="152"/>
      <c r="CK2661" s="152"/>
      <c r="CL2661" s="152"/>
      <c r="CM2661" s="152"/>
      <c r="CN2661" s="152"/>
      <c r="CO2661" s="152"/>
      <c r="CP2661" s="152"/>
      <c r="CQ2661" s="152"/>
      <c r="CR2661" s="152"/>
      <c r="CS2661" s="152"/>
      <c r="CT2661" s="152"/>
      <c r="CU2661" s="152"/>
      <c r="CV2661" s="152"/>
      <c r="CW2661" s="152"/>
      <c r="CX2661" s="152"/>
      <c r="CY2661" s="152"/>
      <c r="CZ2661" s="152"/>
      <c r="DA2661" s="152"/>
      <c r="DB2661" s="152"/>
      <c r="DC2661" s="152"/>
      <c r="DD2661" s="152"/>
      <c r="DE2661" s="152"/>
      <c r="DF2661" s="152"/>
      <c r="DG2661" s="152"/>
      <c r="DH2661" s="152"/>
      <c r="DI2661" s="152"/>
      <c r="DJ2661" s="152"/>
      <c r="DK2661" s="152"/>
      <c r="DL2661" s="152"/>
      <c r="DM2661" s="152"/>
      <c r="DN2661" s="152"/>
      <c r="DO2661" s="152"/>
      <c r="DP2661" s="152"/>
      <c r="DQ2661" s="152"/>
      <c r="DR2661" s="152"/>
      <c r="DS2661" s="152"/>
      <c r="DT2661" s="152"/>
      <c r="DU2661" s="152"/>
      <c r="DV2661" s="152"/>
      <c r="DW2661" s="152"/>
      <c r="DX2661" s="152"/>
      <c r="DY2661" s="152"/>
      <c r="DZ2661" s="152"/>
      <c r="EA2661" s="152"/>
      <c r="EB2661" s="152"/>
      <c r="EC2661" s="152"/>
      <c r="ED2661" s="152"/>
      <c r="EE2661" s="152"/>
      <c r="EF2661" s="152"/>
      <c r="EG2661" s="152"/>
      <c r="EH2661" s="152"/>
      <c r="EI2661" s="152"/>
      <c r="EJ2661" s="152"/>
      <c r="EK2661" s="152"/>
      <c r="EL2661" s="152"/>
      <c r="EM2661" s="152"/>
      <c r="EN2661" s="152"/>
      <c r="EO2661" s="152"/>
      <c r="EP2661" s="152"/>
      <c r="EQ2661" s="152"/>
      <c r="ER2661" s="152"/>
      <c r="ES2661" s="152"/>
      <c r="ET2661" s="152"/>
      <c r="EU2661" s="152"/>
      <c r="EV2661" s="152"/>
      <c r="EW2661" s="152"/>
      <c r="EX2661" s="152"/>
      <c r="EY2661" s="152"/>
      <c r="EZ2661" s="152"/>
      <c r="FA2661" s="152"/>
      <c r="FB2661" s="152"/>
      <c r="FC2661" s="152"/>
      <c r="FD2661" s="152"/>
      <c r="FE2661" s="152"/>
      <c r="FF2661" s="152"/>
      <c r="FG2661" s="152"/>
      <c r="FH2661" s="152"/>
      <c r="FI2661" s="152"/>
      <c r="FJ2661" s="152"/>
      <c r="FK2661" s="152"/>
      <c r="FL2661" s="152"/>
      <c r="FM2661" s="152"/>
      <c r="FN2661" s="152"/>
      <c r="FO2661" s="152"/>
      <c r="FP2661" s="152"/>
      <c r="FQ2661" s="152"/>
      <c r="FR2661" s="152"/>
      <c r="FS2661" s="152"/>
      <c r="FT2661" s="152"/>
      <c r="FU2661" s="152"/>
      <c r="FV2661" s="152"/>
      <c r="FW2661" s="152"/>
      <c r="FX2661" s="152"/>
      <c r="FY2661" s="152"/>
      <c r="FZ2661" s="152"/>
      <c r="GA2661" s="152"/>
      <c r="GB2661" s="152"/>
      <c r="GC2661" s="152"/>
      <c r="GD2661" s="152"/>
      <c r="GE2661" s="152"/>
      <c r="GF2661" s="152"/>
      <c r="GG2661" s="152"/>
      <c r="GH2661" s="152"/>
      <c r="GI2661" s="152"/>
      <c r="GJ2661" s="152"/>
      <c r="GK2661" s="152"/>
      <c r="GL2661" s="152"/>
      <c r="GM2661" s="152"/>
      <c r="GN2661" s="152"/>
      <c r="GO2661" s="152"/>
      <c r="GP2661" s="152"/>
      <c r="GQ2661" s="152"/>
      <c r="GR2661" s="152"/>
      <c r="GS2661" s="152"/>
      <c r="GT2661" s="152"/>
      <c r="GU2661" s="152"/>
      <c r="GV2661" s="152"/>
      <c r="GW2661" s="152"/>
      <c r="GX2661" s="152"/>
      <c r="GY2661" s="152"/>
      <c r="GZ2661" s="152"/>
      <c r="HA2661" s="152"/>
      <c r="HB2661" s="152"/>
      <c r="HC2661" s="152"/>
      <c r="HD2661" s="152"/>
      <c r="HE2661" s="152"/>
      <c r="HF2661" s="152"/>
    </row>
    <row r="2662" spans="1:214" x14ac:dyDescent="0.35">
      <c r="A2662" s="271"/>
      <c r="B2662" s="271"/>
      <c r="C2662" s="279"/>
      <c r="D2662" s="274"/>
      <c r="E2662" s="283"/>
      <c r="F2662" s="283"/>
      <c r="G2662" s="272"/>
      <c r="H2662" s="136" t="s">
        <v>75</v>
      </c>
      <c r="I2662" s="181">
        <f>K2662*D2659</f>
        <v>57601.599999999999</v>
      </c>
      <c r="J2662" s="181">
        <f>I2662/D2659</f>
        <v>148</v>
      </c>
      <c r="K2662" s="181">
        <v>148</v>
      </c>
      <c r="L2662" s="152"/>
      <c r="M2662" s="152"/>
      <c r="N2662" s="152"/>
      <c r="O2662" s="152"/>
      <c r="P2662" s="152"/>
      <c r="Q2662" s="152"/>
      <c r="R2662" s="152"/>
      <c r="S2662" s="152"/>
      <c r="T2662" s="152"/>
      <c r="U2662" s="152"/>
      <c r="V2662" s="152"/>
      <c r="W2662" s="152"/>
      <c r="X2662" s="152"/>
      <c r="Y2662" s="152"/>
      <c r="Z2662" s="152"/>
      <c r="AA2662" s="152"/>
      <c r="AB2662" s="152"/>
      <c r="AC2662" s="152"/>
      <c r="AD2662" s="152"/>
      <c r="AE2662" s="152"/>
      <c r="AF2662" s="152"/>
      <c r="AG2662" s="152"/>
      <c r="AH2662" s="152"/>
      <c r="AI2662" s="152"/>
      <c r="AJ2662" s="152"/>
      <c r="AK2662" s="152"/>
      <c r="AL2662" s="152"/>
      <c r="AM2662" s="152"/>
      <c r="AN2662" s="152"/>
      <c r="AO2662" s="152"/>
      <c r="AP2662" s="152"/>
      <c r="AQ2662" s="152"/>
      <c r="AR2662" s="152"/>
      <c r="AS2662" s="152"/>
      <c r="AT2662" s="152"/>
      <c r="AU2662" s="152"/>
      <c r="AV2662" s="152"/>
      <c r="AW2662" s="152"/>
      <c r="AX2662" s="152"/>
      <c r="AY2662" s="152"/>
      <c r="AZ2662" s="152"/>
      <c r="BA2662" s="152"/>
      <c r="BB2662" s="152"/>
      <c r="BC2662" s="152"/>
      <c r="BD2662" s="152"/>
      <c r="BE2662" s="152"/>
      <c r="BF2662" s="152"/>
      <c r="BG2662" s="152"/>
      <c r="BH2662" s="152"/>
      <c r="BI2662" s="152"/>
      <c r="BJ2662" s="152"/>
      <c r="BK2662" s="152"/>
      <c r="BL2662" s="152"/>
      <c r="BM2662" s="152"/>
      <c r="BN2662" s="152"/>
      <c r="BO2662" s="152"/>
      <c r="BP2662" s="152"/>
      <c r="BQ2662" s="152"/>
      <c r="BR2662" s="152"/>
      <c r="BS2662" s="152"/>
      <c r="BT2662" s="152"/>
      <c r="BU2662" s="152"/>
      <c r="BV2662" s="152"/>
      <c r="BW2662" s="152"/>
      <c r="BX2662" s="152"/>
      <c r="BY2662" s="152"/>
      <c r="BZ2662" s="152"/>
      <c r="CA2662" s="152"/>
      <c r="CB2662" s="152"/>
      <c r="CC2662" s="152"/>
      <c r="CD2662" s="152"/>
      <c r="CE2662" s="152"/>
      <c r="CF2662" s="152"/>
      <c r="CG2662" s="152"/>
      <c r="CH2662" s="152"/>
      <c r="CI2662" s="152"/>
      <c r="CJ2662" s="152"/>
      <c r="CK2662" s="152"/>
      <c r="CL2662" s="152"/>
      <c r="CM2662" s="152"/>
      <c r="CN2662" s="152"/>
      <c r="CO2662" s="152"/>
      <c r="CP2662" s="152"/>
      <c r="CQ2662" s="152"/>
      <c r="CR2662" s="152"/>
      <c r="CS2662" s="152"/>
      <c r="CT2662" s="152"/>
      <c r="CU2662" s="152"/>
      <c r="CV2662" s="152"/>
      <c r="CW2662" s="152"/>
      <c r="CX2662" s="152"/>
      <c r="CY2662" s="152"/>
      <c r="CZ2662" s="152"/>
      <c r="DA2662" s="152"/>
      <c r="DB2662" s="152"/>
      <c r="DC2662" s="152"/>
      <c r="DD2662" s="152"/>
      <c r="DE2662" s="152"/>
      <c r="DF2662" s="152"/>
      <c r="DG2662" s="152"/>
      <c r="DH2662" s="152"/>
      <c r="DI2662" s="152"/>
      <c r="DJ2662" s="152"/>
      <c r="DK2662" s="152"/>
      <c r="DL2662" s="152"/>
      <c r="DM2662" s="152"/>
      <c r="DN2662" s="152"/>
      <c r="DO2662" s="152"/>
      <c r="DP2662" s="152"/>
      <c r="DQ2662" s="152"/>
      <c r="DR2662" s="152"/>
      <c r="DS2662" s="152"/>
      <c r="DT2662" s="152"/>
      <c r="DU2662" s="152"/>
      <c r="DV2662" s="152"/>
      <c r="DW2662" s="152"/>
      <c r="DX2662" s="152"/>
      <c r="DY2662" s="152"/>
      <c r="DZ2662" s="152"/>
      <c r="EA2662" s="152"/>
      <c r="EB2662" s="152"/>
      <c r="EC2662" s="152"/>
      <c r="ED2662" s="152"/>
      <c r="EE2662" s="152"/>
      <c r="EF2662" s="152"/>
      <c r="EG2662" s="152"/>
      <c r="EH2662" s="152"/>
      <c r="EI2662" s="152"/>
      <c r="EJ2662" s="152"/>
      <c r="EK2662" s="152"/>
      <c r="EL2662" s="152"/>
      <c r="EM2662" s="152"/>
      <c r="EN2662" s="152"/>
      <c r="EO2662" s="152"/>
      <c r="EP2662" s="152"/>
      <c r="EQ2662" s="152"/>
      <c r="ER2662" s="152"/>
      <c r="ES2662" s="152"/>
      <c r="ET2662" s="152"/>
      <c r="EU2662" s="152"/>
      <c r="EV2662" s="152"/>
      <c r="EW2662" s="152"/>
      <c r="EX2662" s="152"/>
      <c r="EY2662" s="152"/>
      <c r="EZ2662" s="152"/>
      <c r="FA2662" s="152"/>
      <c r="FB2662" s="152"/>
      <c r="FC2662" s="152"/>
      <c r="FD2662" s="152"/>
      <c r="FE2662" s="152"/>
      <c r="FF2662" s="152"/>
      <c r="FG2662" s="152"/>
      <c r="FH2662" s="152"/>
      <c r="FI2662" s="152"/>
      <c r="FJ2662" s="152"/>
      <c r="FK2662" s="152"/>
      <c r="FL2662" s="152"/>
      <c r="FM2662" s="152"/>
      <c r="FN2662" s="152"/>
      <c r="FO2662" s="152"/>
      <c r="FP2662" s="152"/>
      <c r="FQ2662" s="152"/>
      <c r="FR2662" s="152"/>
      <c r="FS2662" s="152"/>
      <c r="FT2662" s="152"/>
      <c r="FU2662" s="152"/>
      <c r="FV2662" s="152"/>
      <c r="FW2662" s="152"/>
      <c r="FX2662" s="152"/>
      <c r="FY2662" s="152"/>
      <c r="FZ2662" s="152"/>
      <c r="GA2662" s="152"/>
      <c r="GB2662" s="152"/>
      <c r="GC2662" s="152"/>
      <c r="GD2662" s="152"/>
      <c r="GE2662" s="152"/>
      <c r="GF2662" s="152"/>
      <c r="GG2662" s="152"/>
      <c r="GH2662" s="152"/>
      <c r="GI2662" s="152"/>
      <c r="GJ2662" s="152"/>
      <c r="GK2662" s="152"/>
      <c r="GL2662" s="152"/>
      <c r="GM2662" s="152"/>
      <c r="GN2662" s="152"/>
      <c r="GO2662" s="152"/>
      <c r="GP2662" s="152"/>
      <c r="GQ2662" s="152"/>
      <c r="GR2662" s="152"/>
      <c r="GS2662" s="152"/>
      <c r="GT2662" s="152"/>
      <c r="GU2662" s="152"/>
      <c r="GV2662" s="152"/>
      <c r="GW2662" s="152"/>
      <c r="GX2662" s="152"/>
      <c r="GY2662" s="152"/>
      <c r="GZ2662" s="152"/>
      <c r="HA2662" s="152"/>
      <c r="HB2662" s="152"/>
      <c r="HC2662" s="152"/>
      <c r="HD2662" s="152"/>
      <c r="HE2662" s="152"/>
      <c r="HF2662" s="152"/>
    </row>
    <row r="2663" spans="1:214" x14ac:dyDescent="0.35">
      <c r="A2663" s="270">
        <f>A2659+1</f>
        <v>2</v>
      </c>
      <c r="B2663" s="270">
        <v>7203</v>
      </c>
      <c r="C2663" s="286" t="s">
        <v>622</v>
      </c>
      <c r="D2663" s="273">
        <v>620.70000000000005</v>
      </c>
      <c r="E2663" s="282" t="s">
        <v>74</v>
      </c>
      <c r="F2663" s="282">
        <v>2</v>
      </c>
      <c r="G2663" s="270" t="s">
        <v>71</v>
      </c>
      <c r="H2663" s="136" t="s">
        <v>72</v>
      </c>
      <c r="I2663" s="181">
        <f>I2664</f>
        <v>142545.12</v>
      </c>
      <c r="J2663" s="181">
        <f>J2664</f>
        <v>229.65</v>
      </c>
      <c r="K2663" s="181">
        <f>K2664</f>
        <v>247</v>
      </c>
      <c r="L2663" s="152"/>
      <c r="M2663" s="152"/>
      <c r="N2663" s="152"/>
      <c r="O2663" s="152"/>
      <c r="P2663" s="152"/>
      <c r="Q2663" s="152"/>
      <c r="R2663" s="152"/>
      <c r="S2663" s="152"/>
      <c r="T2663" s="152"/>
      <c r="U2663" s="152"/>
      <c r="V2663" s="152"/>
      <c r="W2663" s="152"/>
      <c r="X2663" s="152"/>
      <c r="Y2663" s="152"/>
      <c r="Z2663" s="152"/>
      <c r="AA2663" s="152"/>
      <c r="AB2663" s="152"/>
      <c r="AC2663" s="152"/>
      <c r="AD2663" s="152"/>
      <c r="AE2663" s="152"/>
      <c r="AF2663" s="152"/>
      <c r="AG2663" s="152"/>
      <c r="AH2663" s="152"/>
      <c r="AI2663" s="152"/>
      <c r="AJ2663" s="152"/>
      <c r="AK2663" s="152"/>
      <c r="AL2663" s="152"/>
      <c r="AM2663" s="152"/>
      <c r="AN2663" s="152"/>
      <c r="AO2663" s="152"/>
      <c r="AP2663" s="152"/>
      <c r="AQ2663" s="152"/>
      <c r="AR2663" s="152"/>
      <c r="AS2663" s="152"/>
      <c r="AT2663" s="152"/>
      <c r="AU2663" s="152"/>
      <c r="AV2663" s="152"/>
      <c r="AW2663" s="152"/>
      <c r="AX2663" s="152"/>
      <c r="AY2663" s="152"/>
      <c r="AZ2663" s="152"/>
      <c r="BA2663" s="152"/>
      <c r="BB2663" s="152"/>
      <c r="BC2663" s="152"/>
      <c r="BD2663" s="152"/>
      <c r="BE2663" s="152"/>
      <c r="BF2663" s="152"/>
      <c r="BG2663" s="152"/>
      <c r="BH2663" s="152"/>
      <c r="BI2663" s="152"/>
      <c r="BJ2663" s="152"/>
      <c r="BK2663" s="152"/>
      <c r="BL2663" s="152"/>
      <c r="BM2663" s="152"/>
      <c r="BN2663" s="152"/>
      <c r="BO2663" s="152"/>
      <c r="BP2663" s="152"/>
      <c r="BQ2663" s="152"/>
      <c r="BR2663" s="152"/>
      <c r="BS2663" s="152"/>
      <c r="BT2663" s="152"/>
      <c r="BU2663" s="152"/>
      <c r="BV2663" s="152"/>
      <c r="BW2663" s="152"/>
      <c r="BX2663" s="152"/>
      <c r="BY2663" s="152"/>
      <c r="BZ2663" s="152"/>
      <c r="CA2663" s="152"/>
      <c r="CB2663" s="152"/>
      <c r="CC2663" s="152"/>
      <c r="CD2663" s="152"/>
      <c r="CE2663" s="152"/>
      <c r="CF2663" s="152"/>
      <c r="CG2663" s="152"/>
      <c r="CH2663" s="152"/>
      <c r="CI2663" s="152"/>
      <c r="CJ2663" s="152"/>
      <c r="CK2663" s="152"/>
      <c r="CL2663" s="152"/>
      <c r="CM2663" s="152"/>
      <c r="CN2663" s="152"/>
      <c r="CO2663" s="152"/>
      <c r="CP2663" s="152"/>
      <c r="CQ2663" s="152"/>
      <c r="CR2663" s="152"/>
      <c r="CS2663" s="152"/>
      <c r="CT2663" s="152"/>
      <c r="CU2663" s="152"/>
      <c r="CV2663" s="152"/>
      <c r="CW2663" s="152"/>
      <c r="CX2663" s="152"/>
      <c r="CY2663" s="152"/>
      <c r="CZ2663" s="152"/>
      <c r="DA2663" s="152"/>
      <c r="DB2663" s="152"/>
      <c r="DC2663" s="152"/>
      <c r="DD2663" s="152"/>
      <c r="DE2663" s="152"/>
      <c r="DF2663" s="152"/>
      <c r="DG2663" s="152"/>
      <c r="DH2663" s="152"/>
      <c r="DI2663" s="152"/>
      <c r="DJ2663" s="152"/>
      <c r="DK2663" s="152"/>
      <c r="DL2663" s="152"/>
      <c r="DM2663" s="152"/>
      <c r="DN2663" s="152"/>
      <c r="DO2663" s="152"/>
      <c r="DP2663" s="152"/>
      <c r="DQ2663" s="152"/>
      <c r="DR2663" s="152"/>
      <c r="DS2663" s="152"/>
      <c r="DT2663" s="152"/>
      <c r="DU2663" s="152"/>
      <c r="DV2663" s="152"/>
      <c r="DW2663" s="152"/>
      <c r="DX2663" s="152"/>
      <c r="DY2663" s="152"/>
      <c r="DZ2663" s="152"/>
      <c r="EA2663" s="152"/>
      <c r="EB2663" s="152"/>
      <c r="EC2663" s="152"/>
      <c r="ED2663" s="152"/>
      <c r="EE2663" s="152"/>
      <c r="EF2663" s="152"/>
      <c r="EG2663" s="152"/>
      <c r="EH2663" s="152"/>
      <c r="EI2663" s="152"/>
      <c r="EJ2663" s="152"/>
      <c r="EK2663" s="152"/>
      <c r="EL2663" s="152"/>
      <c r="EM2663" s="152"/>
      <c r="EN2663" s="152"/>
      <c r="EO2663" s="152"/>
      <c r="EP2663" s="152"/>
      <c r="EQ2663" s="152"/>
      <c r="ER2663" s="152"/>
      <c r="ES2663" s="152"/>
      <c r="ET2663" s="152"/>
      <c r="EU2663" s="152"/>
      <c r="EV2663" s="152"/>
      <c r="EW2663" s="152"/>
      <c r="EX2663" s="152"/>
      <c r="EY2663" s="152"/>
      <c r="EZ2663" s="152"/>
      <c r="FA2663" s="152"/>
      <c r="FB2663" s="152"/>
      <c r="FC2663" s="152"/>
      <c r="FD2663" s="152"/>
      <c r="FE2663" s="152"/>
      <c r="FF2663" s="152"/>
      <c r="FG2663" s="152"/>
      <c r="FH2663" s="152"/>
      <c r="FI2663" s="152"/>
      <c r="FJ2663" s="152"/>
      <c r="FK2663" s="152"/>
      <c r="FL2663" s="152"/>
      <c r="FM2663" s="152"/>
      <c r="FN2663" s="152"/>
      <c r="FO2663" s="152"/>
      <c r="FP2663" s="152"/>
      <c r="FQ2663" s="152"/>
      <c r="FR2663" s="152"/>
      <c r="FS2663" s="152"/>
      <c r="FT2663" s="152"/>
      <c r="FU2663" s="152"/>
      <c r="FV2663" s="152"/>
      <c r="FW2663" s="152"/>
      <c r="FX2663" s="152"/>
      <c r="FY2663" s="152"/>
      <c r="FZ2663" s="152"/>
      <c r="GA2663" s="152"/>
      <c r="GB2663" s="152"/>
      <c r="GC2663" s="152"/>
      <c r="GD2663" s="152"/>
      <c r="GE2663" s="152"/>
      <c r="GF2663" s="152"/>
      <c r="GG2663" s="152"/>
      <c r="GH2663" s="152"/>
      <c r="GI2663" s="152"/>
      <c r="GJ2663" s="152"/>
      <c r="GK2663" s="152"/>
      <c r="GL2663" s="152"/>
      <c r="GM2663" s="152"/>
      <c r="GN2663" s="152"/>
      <c r="GO2663" s="152"/>
      <c r="GP2663" s="152"/>
      <c r="GQ2663" s="152"/>
      <c r="GR2663" s="152"/>
      <c r="GS2663" s="152"/>
      <c r="GT2663" s="152"/>
      <c r="GU2663" s="152"/>
      <c r="GV2663" s="152"/>
      <c r="GW2663" s="152"/>
      <c r="GX2663" s="152"/>
      <c r="GY2663" s="152"/>
      <c r="GZ2663" s="152"/>
      <c r="HA2663" s="152"/>
      <c r="HB2663" s="152"/>
      <c r="HC2663" s="152"/>
      <c r="HD2663" s="152"/>
      <c r="HE2663" s="152"/>
      <c r="HF2663" s="152"/>
    </row>
    <row r="2664" spans="1:214" ht="46.5" x14ac:dyDescent="0.35">
      <c r="A2664" s="271"/>
      <c r="B2664" s="271"/>
      <c r="C2664" s="286"/>
      <c r="D2664" s="274"/>
      <c r="E2664" s="283"/>
      <c r="F2664" s="283"/>
      <c r="G2664" s="272"/>
      <c r="H2664" s="136" t="s">
        <v>673</v>
      </c>
      <c r="I2664" s="181">
        <f>82957.92+96*D2663</f>
        <v>142545.12</v>
      </c>
      <c r="J2664" s="181">
        <f>I2664/D2663</f>
        <v>229.65</v>
      </c>
      <c r="K2664" s="181">
        <f>151+96</f>
        <v>247</v>
      </c>
      <c r="L2664" s="152"/>
      <c r="M2664" s="152"/>
      <c r="N2664" s="152"/>
      <c r="O2664" s="152"/>
      <c r="P2664" s="152"/>
      <c r="Q2664" s="152"/>
      <c r="R2664" s="152"/>
      <c r="S2664" s="152"/>
      <c r="T2664" s="152"/>
      <c r="U2664" s="152"/>
      <c r="V2664" s="152"/>
      <c r="W2664" s="152"/>
      <c r="X2664" s="152"/>
      <c r="Y2664" s="152"/>
      <c r="Z2664" s="152"/>
      <c r="AA2664" s="152"/>
      <c r="AB2664" s="152"/>
      <c r="AC2664" s="152"/>
      <c r="AD2664" s="152"/>
      <c r="AE2664" s="152"/>
      <c r="AF2664" s="152"/>
      <c r="AG2664" s="152"/>
      <c r="AH2664" s="152"/>
      <c r="AI2664" s="152"/>
      <c r="AJ2664" s="152"/>
      <c r="AK2664" s="152"/>
      <c r="AL2664" s="152"/>
      <c r="AM2664" s="152"/>
      <c r="AN2664" s="152"/>
      <c r="AO2664" s="152"/>
      <c r="AP2664" s="152"/>
      <c r="AQ2664" s="152"/>
      <c r="AR2664" s="152"/>
      <c r="AS2664" s="152"/>
      <c r="AT2664" s="152"/>
      <c r="AU2664" s="152"/>
      <c r="AV2664" s="152"/>
      <c r="AW2664" s="152"/>
      <c r="AX2664" s="152"/>
      <c r="AY2664" s="152"/>
      <c r="AZ2664" s="152"/>
      <c r="BA2664" s="152"/>
      <c r="BB2664" s="152"/>
      <c r="BC2664" s="152"/>
      <c r="BD2664" s="152"/>
      <c r="BE2664" s="152"/>
      <c r="BF2664" s="152"/>
      <c r="BG2664" s="152"/>
      <c r="BH2664" s="152"/>
      <c r="BI2664" s="152"/>
      <c r="BJ2664" s="152"/>
      <c r="BK2664" s="152"/>
      <c r="BL2664" s="152"/>
      <c r="BM2664" s="152"/>
      <c r="BN2664" s="152"/>
      <c r="BO2664" s="152"/>
      <c r="BP2664" s="152"/>
      <c r="BQ2664" s="152"/>
      <c r="BR2664" s="152"/>
      <c r="BS2664" s="152"/>
      <c r="BT2664" s="152"/>
      <c r="BU2664" s="152"/>
      <c r="BV2664" s="152"/>
      <c r="BW2664" s="152"/>
      <c r="BX2664" s="152"/>
      <c r="BY2664" s="152"/>
      <c r="BZ2664" s="152"/>
      <c r="CA2664" s="152"/>
      <c r="CB2664" s="152"/>
      <c r="CC2664" s="152"/>
      <c r="CD2664" s="152"/>
      <c r="CE2664" s="152"/>
      <c r="CF2664" s="152"/>
      <c r="CG2664" s="152"/>
      <c r="CH2664" s="152"/>
      <c r="CI2664" s="152"/>
      <c r="CJ2664" s="152"/>
      <c r="CK2664" s="152"/>
      <c r="CL2664" s="152"/>
      <c r="CM2664" s="152"/>
      <c r="CN2664" s="152"/>
      <c r="CO2664" s="152"/>
      <c r="CP2664" s="152"/>
      <c r="CQ2664" s="152"/>
      <c r="CR2664" s="152"/>
      <c r="CS2664" s="152"/>
      <c r="CT2664" s="152"/>
      <c r="CU2664" s="152"/>
      <c r="CV2664" s="152"/>
      <c r="CW2664" s="152"/>
      <c r="CX2664" s="152"/>
      <c r="CY2664" s="152"/>
      <c r="CZ2664" s="152"/>
      <c r="DA2664" s="152"/>
      <c r="DB2664" s="152"/>
      <c r="DC2664" s="152"/>
      <c r="DD2664" s="152"/>
      <c r="DE2664" s="152"/>
      <c r="DF2664" s="152"/>
      <c r="DG2664" s="152"/>
      <c r="DH2664" s="152"/>
      <c r="DI2664" s="152"/>
      <c r="DJ2664" s="152"/>
      <c r="DK2664" s="152"/>
      <c r="DL2664" s="152"/>
      <c r="DM2664" s="152"/>
      <c r="DN2664" s="152"/>
      <c r="DO2664" s="152"/>
      <c r="DP2664" s="152"/>
      <c r="DQ2664" s="152"/>
      <c r="DR2664" s="152"/>
      <c r="DS2664" s="152"/>
      <c r="DT2664" s="152"/>
      <c r="DU2664" s="152"/>
      <c r="DV2664" s="152"/>
      <c r="DW2664" s="152"/>
      <c r="DX2664" s="152"/>
      <c r="DY2664" s="152"/>
      <c r="DZ2664" s="152"/>
      <c r="EA2664" s="152"/>
      <c r="EB2664" s="152"/>
      <c r="EC2664" s="152"/>
      <c r="ED2664" s="152"/>
      <c r="EE2664" s="152"/>
      <c r="EF2664" s="152"/>
      <c r="EG2664" s="152"/>
      <c r="EH2664" s="152"/>
      <c r="EI2664" s="152"/>
      <c r="EJ2664" s="152"/>
      <c r="EK2664" s="152"/>
      <c r="EL2664" s="152"/>
      <c r="EM2664" s="152"/>
      <c r="EN2664" s="152"/>
      <c r="EO2664" s="152"/>
      <c r="EP2664" s="152"/>
      <c r="EQ2664" s="152"/>
      <c r="ER2664" s="152"/>
      <c r="ES2664" s="152"/>
      <c r="ET2664" s="152"/>
      <c r="EU2664" s="152"/>
      <c r="EV2664" s="152"/>
      <c r="EW2664" s="152"/>
      <c r="EX2664" s="152"/>
      <c r="EY2664" s="152"/>
      <c r="EZ2664" s="152"/>
      <c r="FA2664" s="152"/>
      <c r="FB2664" s="152"/>
      <c r="FC2664" s="152"/>
      <c r="FD2664" s="152"/>
      <c r="FE2664" s="152"/>
      <c r="FF2664" s="152"/>
      <c r="FG2664" s="152"/>
      <c r="FH2664" s="152"/>
      <c r="FI2664" s="152"/>
      <c r="FJ2664" s="152"/>
      <c r="FK2664" s="152"/>
      <c r="FL2664" s="152"/>
      <c r="FM2664" s="152"/>
      <c r="FN2664" s="152"/>
      <c r="FO2664" s="152"/>
      <c r="FP2664" s="152"/>
      <c r="FQ2664" s="152"/>
      <c r="FR2664" s="152"/>
      <c r="FS2664" s="152"/>
      <c r="FT2664" s="152"/>
      <c r="FU2664" s="152"/>
      <c r="FV2664" s="152"/>
      <c r="FW2664" s="152"/>
      <c r="FX2664" s="152"/>
      <c r="FY2664" s="152"/>
      <c r="FZ2664" s="152"/>
      <c r="GA2664" s="152"/>
      <c r="GB2664" s="152"/>
      <c r="GC2664" s="152"/>
      <c r="GD2664" s="152"/>
      <c r="GE2664" s="152"/>
      <c r="GF2664" s="152"/>
      <c r="GG2664" s="152"/>
      <c r="GH2664" s="152"/>
      <c r="GI2664" s="152"/>
      <c r="GJ2664" s="152"/>
      <c r="GK2664" s="152"/>
      <c r="GL2664" s="152"/>
      <c r="GM2664" s="152"/>
      <c r="GN2664" s="152"/>
      <c r="GO2664" s="152"/>
      <c r="GP2664" s="152"/>
      <c r="GQ2664" s="152"/>
      <c r="GR2664" s="152"/>
      <c r="GS2664" s="152"/>
      <c r="GT2664" s="152"/>
      <c r="GU2664" s="152"/>
      <c r="GV2664" s="152"/>
      <c r="GW2664" s="152"/>
      <c r="GX2664" s="152"/>
      <c r="GY2664" s="152"/>
      <c r="GZ2664" s="152"/>
      <c r="HA2664" s="152"/>
      <c r="HB2664" s="152"/>
      <c r="HC2664" s="152"/>
      <c r="HD2664" s="152"/>
      <c r="HE2664" s="152"/>
      <c r="HF2664" s="152"/>
    </row>
    <row r="2665" spans="1:214" x14ac:dyDescent="0.35">
      <c r="A2665" s="132" t="s">
        <v>30</v>
      </c>
      <c r="B2665" s="133"/>
      <c r="C2665" s="134"/>
      <c r="D2665" s="181">
        <f>D2666+D2673+D2686+D2690+D2700+D2836+D3149+D3153+D3164+D3168+D3201+D3205+D3222+D3226+D3244+D2897+D2694+D3190</f>
        <v>354962.45</v>
      </c>
      <c r="E2665" s="135"/>
      <c r="F2665" s="135"/>
      <c r="G2665" s="136"/>
      <c r="H2665" s="136"/>
      <c r="I2665" s="137">
        <f>I2666+I2673+I2686+I2690+I2700+I2836+I2897+I3149+I3153+I3164+I3168+I3201+I3205+I3222+I3226+I3244+I2694+I3190</f>
        <v>922476582.52999997</v>
      </c>
      <c r="J2665" s="137"/>
      <c r="K2665" s="137"/>
      <c r="L2665" s="152"/>
      <c r="M2665" s="152"/>
      <c r="N2665" s="152"/>
      <c r="O2665" s="152"/>
      <c r="P2665" s="152"/>
      <c r="Q2665" s="152"/>
      <c r="R2665" s="152"/>
      <c r="S2665" s="152"/>
      <c r="T2665" s="152"/>
      <c r="U2665" s="152"/>
      <c r="V2665" s="152"/>
      <c r="W2665" s="152"/>
      <c r="X2665" s="152"/>
      <c r="Y2665" s="152"/>
      <c r="Z2665" s="152"/>
      <c r="AA2665" s="152"/>
      <c r="AB2665" s="152"/>
      <c r="AC2665" s="152"/>
      <c r="AD2665" s="152"/>
      <c r="AE2665" s="152"/>
      <c r="AF2665" s="152"/>
      <c r="AG2665" s="152"/>
      <c r="AH2665" s="152"/>
      <c r="AI2665" s="152"/>
      <c r="AJ2665" s="152"/>
      <c r="AK2665" s="152"/>
      <c r="AL2665" s="152"/>
      <c r="AM2665" s="152"/>
      <c r="AN2665" s="152"/>
      <c r="AO2665" s="152"/>
      <c r="AP2665" s="152"/>
      <c r="AQ2665" s="152"/>
      <c r="AR2665" s="152"/>
      <c r="AS2665" s="152"/>
      <c r="AT2665" s="152"/>
      <c r="AU2665" s="152"/>
      <c r="AV2665" s="152"/>
      <c r="AW2665" s="152"/>
      <c r="AX2665" s="152"/>
      <c r="AY2665" s="152"/>
      <c r="AZ2665" s="152"/>
      <c r="BA2665" s="152"/>
      <c r="BB2665" s="152"/>
      <c r="BC2665" s="152"/>
      <c r="BD2665" s="152"/>
      <c r="BE2665" s="152"/>
      <c r="BF2665" s="152"/>
      <c r="BG2665" s="152"/>
      <c r="BH2665" s="152"/>
      <c r="BI2665" s="152"/>
      <c r="BJ2665" s="152"/>
      <c r="BK2665" s="152"/>
      <c r="BL2665" s="152"/>
      <c r="BM2665" s="152"/>
      <c r="BN2665" s="152"/>
      <c r="BO2665" s="152"/>
      <c r="BP2665" s="152"/>
      <c r="BQ2665" s="152"/>
      <c r="BR2665" s="152"/>
      <c r="BS2665" s="152"/>
      <c r="BT2665" s="152"/>
      <c r="BU2665" s="152"/>
      <c r="BV2665" s="152"/>
      <c r="BW2665" s="152"/>
      <c r="BX2665" s="152"/>
      <c r="BY2665" s="152"/>
      <c r="BZ2665" s="152"/>
      <c r="CA2665" s="152"/>
      <c r="CB2665" s="152"/>
      <c r="CC2665" s="152"/>
      <c r="CD2665" s="152"/>
      <c r="CE2665" s="152"/>
      <c r="CF2665" s="152"/>
      <c r="CG2665" s="152"/>
      <c r="CH2665" s="152"/>
      <c r="CI2665" s="152"/>
      <c r="CJ2665" s="152"/>
      <c r="CK2665" s="152"/>
      <c r="CL2665" s="152"/>
      <c r="CM2665" s="152"/>
      <c r="CN2665" s="152"/>
      <c r="CO2665" s="152"/>
      <c r="CP2665" s="152"/>
      <c r="CQ2665" s="152"/>
      <c r="CR2665" s="152"/>
      <c r="CS2665" s="152"/>
      <c r="CT2665" s="152"/>
      <c r="CU2665" s="152"/>
      <c r="CV2665" s="152"/>
      <c r="CW2665" s="152"/>
      <c r="CX2665" s="152"/>
      <c r="CY2665" s="152"/>
      <c r="CZ2665" s="152"/>
      <c r="DA2665" s="152"/>
      <c r="DB2665" s="152"/>
      <c r="DC2665" s="152"/>
      <c r="DD2665" s="152"/>
      <c r="DE2665" s="152"/>
      <c r="DF2665" s="152"/>
      <c r="DG2665" s="152"/>
      <c r="DH2665" s="152"/>
      <c r="DI2665" s="152"/>
      <c r="DJ2665" s="152"/>
      <c r="DK2665" s="152"/>
      <c r="DL2665" s="152"/>
      <c r="DM2665" s="152"/>
      <c r="DN2665" s="152"/>
      <c r="DO2665" s="152"/>
      <c r="DP2665" s="152"/>
      <c r="DQ2665" s="152"/>
      <c r="DR2665" s="152"/>
      <c r="DS2665" s="152"/>
      <c r="DT2665" s="152"/>
      <c r="DU2665" s="152"/>
      <c r="DV2665" s="152"/>
      <c r="DW2665" s="152"/>
      <c r="DX2665" s="152"/>
      <c r="DY2665" s="152"/>
      <c r="DZ2665" s="152"/>
      <c r="EA2665" s="152"/>
      <c r="EB2665" s="152"/>
      <c r="EC2665" s="152"/>
      <c r="ED2665" s="152"/>
      <c r="EE2665" s="152"/>
      <c r="EF2665" s="152"/>
      <c r="EG2665" s="152"/>
      <c r="EH2665" s="152"/>
      <c r="EI2665" s="152"/>
      <c r="EJ2665" s="152"/>
      <c r="EK2665" s="152"/>
      <c r="EL2665" s="152"/>
      <c r="EM2665" s="152"/>
      <c r="EN2665" s="152"/>
      <c r="EO2665" s="152"/>
      <c r="EP2665" s="152"/>
      <c r="EQ2665" s="152"/>
      <c r="ER2665" s="152"/>
      <c r="ES2665" s="152"/>
      <c r="ET2665" s="152"/>
      <c r="EU2665" s="152"/>
      <c r="EV2665" s="152"/>
      <c r="EW2665" s="152"/>
      <c r="EX2665" s="152"/>
      <c r="EY2665" s="152"/>
      <c r="EZ2665" s="152"/>
      <c r="FA2665" s="152"/>
      <c r="FB2665" s="152"/>
      <c r="FC2665" s="152"/>
      <c r="FD2665" s="152"/>
      <c r="FE2665" s="152"/>
      <c r="FF2665" s="152"/>
      <c r="FG2665" s="152"/>
      <c r="FH2665" s="152"/>
      <c r="FI2665" s="152"/>
      <c r="FJ2665" s="152"/>
      <c r="FK2665" s="152"/>
      <c r="FL2665" s="152"/>
      <c r="FM2665" s="152"/>
      <c r="FN2665" s="152"/>
      <c r="FO2665" s="152"/>
      <c r="FP2665" s="152"/>
      <c r="FQ2665" s="152"/>
      <c r="FR2665" s="152"/>
      <c r="FS2665" s="152"/>
      <c r="FT2665" s="152"/>
      <c r="FU2665" s="152"/>
      <c r="FV2665" s="152"/>
      <c r="FW2665" s="152"/>
      <c r="FX2665" s="152"/>
      <c r="FY2665" s="152"/>
      <c r="FZ2665" s="152"/>
      <c r="GA2665" s="152"/>
      <c r="GB2665" s="152"/>
      <c r="GC2665" s="152"/>
      <c r="GD2665" s="152"/>
      <c r="GE2665" s="152"/>
      <c r="GF2665" s="152"/>
      <c r="GG2665" s="152"/>
      <c r="GH2665" s="152"/>
      <c r="GI2665" s="152"/>
      <c r="GJ2665" s="152"/>
      <c r="GK2665" s="152"/>
      <c r="GL2665" s="152"/>
      <c r="GM2665" s="152"/>
      <c r="GN2665" s="152"/>
      <c r="GO2665" s="152"/>
      <c r="GP2665" s="152"/>
      <c r="GQ2665" s="152"/>
      <c r="GR2665" s="152"/>
      <c r="GS2665" s="152"/>
      <c r="GT2665" s="152"/>
      <c r="GU2665" s="152"/>
      <c r="GV2665" s="152"/>
      <c r="GW2665" s="152"/>
      <c r="GX2665" s="152"/>
      <c r="GY2665" s="152"/>
      <c r="GZ2665" s="152"/>
      <c r="HA2665" s="152"/>
      <c r="HB2665" s="152"/>
      <c r="HC2665" s="152"/>
      <c r="HD2665" s="152"/>
      <c r="HE2665" s="152"/>
      <c r="HF2665" s="152"/>
    </row>
    <row r="2666" spans="1:214" s="152" customFormat="1" x14ac:dyDescent="0.3">
      <c r="A2666" s="142" t="s">
        <v>16</v>
      </c>
      <c r="B2666" s="143"/>
      <c r="C2666" s="144"/>
      <c r="D2666" s="166">
        <f>D2667+D2670</f>
        <v>735.2</v>
      </c>
      <c r="E2666" s="166"/>
      <c r="F2666" s="166"/>
      <c r="G2666" s="146"/>
      <c r="H2666" s="131"/>
      <c r="I2666" s="166">
        <f>I2667+I2670</f>
        <v>5133265.5999999996</v>
      </c>
      <c r="J2666" s="146"/>
      <c r="K2666" s="146"/>
    </row>
    <row r="2667" spans="1:214" s="152" customFormat="1" x14ac:dyDescent="0.35">
      <c r="A2667" s="270">
        <v>1</v>
      </c>
      <c r="B2667" s="303">
        <v>4692</v>
      </c>
      <c r="C2667" s="278" t="s">
        <v>476</v>
      </c>
      <c r="D2667" s="273">
        <v>237.2</v>
      </c>
      <c r="E2667" s="273" t="s">
        <v>74</v>
      </c>
      <c r="F2667" s="282">
        <v>2</v>
      </c>
      <c r="G2667" s="270" t="s">
        <v>81</v>
      </c>
      <c r="H2667" s="136" t="s">
        <v>72</v>
      </c>
      <c r="I2667" s="181">
        <f>SUM(I2668:I2669)</f>
        <v>1378843.6</v>
      </c>
      <c r="J2667" s="181">
        <f>SUM(J2668:J2669)</f>
        <v>5813</v>
      </c>
      <c r="K2667" s="181">
        <f>SUM(K2668:K2669)</f>
        <v>5813</v>
      </c>
    </row>
    <row r="2668" spans="1:214" s="152" customFormat="1" x14ac:dyDescent="0.35">
      <c r="A2668" s="271"/>
      <c r="B2668" s="303"/>
      <c r="C2668" s="279"/>
      <c r="D2668" s="274"/>
      <c r="E2668" s="274"/>
      <c r="F2668" s="283"/>
      <c r="G2668" s="271"/>
      <c r="H2668" s="136" t="s">
        <v>635</v>
      </c>
      <c r="I2668" s="181">
        <f>K2668*D2667</f>
        <v>1349905.2</v>
      </c>
      <c r="J2668" s="181">
        <f>I2668/D2667</f>
        <v>5691</v>
      </c>
      <c r="K2668" s="181">
        <v>5691</v>
      </c>
    </row>
    <row r="2669" spans="1:214" x14ac:dyDescent="0.35">
      <c r="A2669" s="272"/>
      <c r="B2669" s="303"/>
      <c r="C2669" s="285"/>
      <c r="D2669" s="275"/>
      <c r="E2669" s="275"/>
      <c r="F2669" s="284"/>
      <c r="G2669" s="272"/>
      <c r="H2669" s="136" t="s">
        <v>75</v>
      </c>
      <c r="I2669" s="181">
        <f>K2669*D2667</f>
        <v>28938.400000000001</v>
      </c>
      <c r="J2669" s="181">
        <f>I2669/D2667</f>
        <v>122</v>
      </c>
      <c r="K2669" s="181">
        <v>122</v>
      </c>
      <c r="L2669" s="152"/>
      <c r="M2669" s="152"/>
      <c r="N2669" s="152"/>
      <c r="O2669" s="152"/>
      <c r="P2669" s="152"/>
      <c r="Q2669" s="152"/>
      <c r="R2669" s="152"/>
      <c r="S2669" s="152"/>
      <c r="T2669" s="152"/>
      <c r="U2669" s="152"/>
      <c r="V2669" s="152"/>
      <c r="W2669" s="152"/>
      <c r="X2669" s="152"/>
      <c r="Y2669" s="152"/>
      <c r="Z2669" s="152"/>
      <c r="AA2669" s="152"/>
      <c r="AB2669" s="152"/>
      <c r="AC2669" s="152"/>
      <c r="AD2669" s="152"/>
      <c r="AE2669" s="152"/>
      <c r="AF2669" s="152"/>
      <c r="AG2669" s="152"/>
      <c r="AH2669" s="152"/>
      <c r="AI2669" s="152"/>
      <c r="AJ2669" s="152"/>
      <c r="AK2669" s="152"/>
      <c r="AL2669" s="152"/>
      <c r="AM2669" s="152"/>
      <c r="AN2669" s="152"/>
      <c r="AO2669" s="152"/>
      <c r="AP2669" s="152"/>
      <c r="AQ2669" s="152"/>
      <c r="AR2669" s="152"/>
      <c r="AS2669" s="152"/>
      <c r="AT2669" s="152"/>
      <c r="AU2669" s="152"/>
      <c r="AV2669" s="152"/>
      <c r="AW2669" s="152"/>
      <c r="AX2669" s="152"/>
      <c r="AY2669" s="152"/>
      <c r="AZ2669" s="152"/>
      <c r="BA2669" s="152"/>
      <c r="BB2669" s="152"/>
      <c r="BC2669" s="152"/>
      <c r="BD2669" s="152"/>
      <c r="BE2669" s="152"/>
      <c r="BF2669" s="152"/>
      <c r="BG2669" s="152"/>
      <c r="BH2669" s="152"/>
      <c r="BI2669" s="152"/>
      <c r="BJ2669" s="152"/>
      <c r="BK2669" s="152"/>
      <c r="BL2669" s="152"/>
      <c r="BM2669" s="152"/>
      <c r="BN2669" s="152"/>
      <c r="BO2669" s="152"/>
      <c r="BP2669" s="152"/>
      <c r="BQ2669" s="152"/>
      <c r="BR2669" s="152"/>
      <c r="BS2669" s="152"/>
      <c r="BT2669" s="152"/>
      <c r="BU2669" s="152"/>
      <c r="BV2669" s="152"/>
      <c r="BW2669" s="152"/>
      <c r="BX2669" s="152"/>
      <c r="BY2669" s="152"/>
      <c r="BZ2669" s="152"/>
      <c r="CA2669" s="152"/>
      <c r="CB2669" s="152"/>
      <c r="CC2669" s="152"/>
      <c r="CD2669" s="152"/>
      <c r="CE2669" s="152"/>
      <c r="CF2669" s="152"/>
      <c r="CG2669" s="152"/>
      <c r="CH2669" s="152"/>
      <c r="CI2669" s="152"/>
      <c r="CJ2669" s="152"/>
      <c r="CK2669" s="152"/>
      <c r="CL2669" s="152"/>
      <c r="CM2669" s="152"/>
      <c r="CN2669" s="152"/>
      <c r="CO2669" s="152"/>
      <c r="CP2669" s="152"/>
      <c r="CQ2669" s="152"/>
      <c r="CR2669" s="152"/>
      <c r="CS2669" s="152"/>
      <c r="CT2669" s="152"/>
      <c r="CU2669" s="152"/>
      <c r="CV2669" s="152"/>
      <c r="CW2669" s="152"/>
      <c r="CX2669" s="152"/>
      <c r="CY2669" s="152"/>
      <c r="CZ2669" s="152"/>
      <c r="DA2669" s="152"/>
      <c r="DB2669" s="152"/>
      <c r="DC2669" s="152"/>
      <c r="DD2669" s="152"/>
      <c r="DE2669" s="152"/>
      <c r="DF2669" s="152"/>
      <c r="DG2669" s="152"/>
      <c r="DH2669" s="152"/>
      <c r="DI2669" s="152"/>
      <c r="DJ2669" s="152"/>
      <c r="DK2669" s="152"/>
      <c r="DL2669" s="152"/>
      <c r="DM2669" s="152"/>
      <c r="DN2669" s="152"/>
      <c r="DO2669" s="152"/>
      <c r="DP2669" s="152"/>
      <c r="DQ2669" s="152"/>
      <c r="DR2669" s="152"/>
      <c r="DS2669" s="152"/>
      <c r="DT2669" s="152"/>
      <c r="DU2669" s="152"/>
      <c r="DV2669" s="152"/>
      <c r="DW2669" s="152"/>
      <c r="DX2669" s="152"/>
      <c r="DY2669" s="152"/>
      <c r="DZ2669" s="152"/>
      <c r="EA2669" s="152"/>
      <c r="EB2669" s="152"/>
      <c r="EC2669" s="152"/>
      <c r="ED2669" s="152"/>
      <c r="EE2669" s="152"/>
      <c r="EF2669" s="152"/>
      <c r="EG2669" s="152"/>
      <c r="EH2669" s="152"/>
      <c r="EI2669" s="152"/>
      <c r="EJ2669" s="152"/>
      <c r="EK2669" s="152"/>
      <c r="EL2669" s="152"/>
      <c r="EM2669" s="152"/>
      <c r="EN2669" s="152"/>
      <c r="EO2669" s="152"/>
      <c r="EP2669" s="152"/>
      <c r="EQ2669" s="152"/>
      <c r="ER2669" s="152"/>
      <c r="ES2669" s="152"/>
      <c r="ET2669" s="152"/>
      <c r="EU2669" s="152"/>
      <c r="EV2669" s="152"/>
      <c r="EW2669" s="152"/>
      <c r="EX2669" s="152"/>
      <c r="EY2669" s="152"/>
      <c r="EZ2669" s="152"/>
      <c r="FA2669" s="152"/>
      <c r="FB2669" s="152"/>
      <c r="FC2669" s="152"/>
      <c r="FD2669" s="152"/>
      <c r="FE2669" s="152"/>
      <c r="FF2669" s="152"/>
      <c r="FG2669" s="152"/>
      <c r="FH2669" s="152"/>
      <c r="FI2669" s="152"/>
      <c r="FJ2669" s="152"/>
      <c r="FK2669" s="152"/>
      <c r="FL2669" s="152"/>
      <c r="FM2669" s="152"/>
      <c r="FN2669" s="152"/>
      <c r="FO2669" s="152"/>
      <c r="FP2669" s="152"/>
      <c r="FQ2669" s="152"/>
      <c r="FR2669" s="152"/>
      <c r="FS2669" s="152"/>
      <c r="FT2669" s="152"/>
      <c r="FU2669" s="152"/>
      <c r="FV2669" s="152"/>
      <c r="FW2669" s="152"/>
      <c r="FX2669" s="152"/>
      <c r="FY2669" s="152"/>
      <c r="FZ2669" s="152"/>
      <c r="GA2669" s="152"/>
      <c r="GB2669" s="152"/>
      <c r="GC2669" s="152"/>
      <c r="GD2669" s="152"/>
      <c r="GE2669" s="152"/>
      <c r="GF2669" s="152"/>
      <c r="GG2669" s="152"/>
      <c r="GH2669" s="152"/>
      <c r="GI2669" s="152"/>
      <c r="GJ2669" s="152"/>
      <c r="GK2669" s="152"/>
      <c r="GL2669" s="152"/>
      <c r="GM2669" s="152"/>
      <c r="GN2669" s="152"/>
      <c r="GO2669" s="152"/>
      <c r="GP2669" s="152"/>
      <c r="GQ2669" s="152"/>
      <c r="GR2669" s="152"/>
      <c r="GS2669" s="152"/>
      <c r="GT2669" s="152"/>
      <c r="GU2669" s="152"/>
      <c r="GV2669" s="152"/>
      <c r="GW2669" s="152"/>
      <c r="GX2669" s="152"/>
      <c r="GY2669" s="152"/>
      <c r="GZ2669" s="152"/>
      <c r="HA2669" s="152"/>
      <c r="HB2669" s="152"/>
      <c r="HC2669" s="152"/>
      <c r="HD2669" s="152"/>
      <c r="HE2669" s="152"/>
      <c r="HF2669" s="152"/>
    </row>
    <row r="2670" spans="1:214" x14ac:dyDescent="0.35">
      <c r="A2670" s="270">
        <f>A2667+1</f>
        <v>2</v>
      </c>
      <c r="B2670" s="303">
        <v>4743</v>
      </c>
      <c r="C2670" s="278" t="s">
        <v>151</v>
      </c>
      <c r="D2670" s="273">
        <v>498</v>
      </c>
      <c r="E2670" s="273" t="s">
        <v>633</v>
      </c>
      <c r="F2670" s="282">
        <v>2</v>
      </c>
      <c r="G2670" s="270" t="s">
        <v>71</v>
      </c>
      <c r="H2670" s="136" t="s">
        <v>72</v>
      </c>
      <c r="I2670" s="181">
        <f>SUM(I2671:I2672)</f>
        <v>3754422</v>
      </c>
      <c r="J2670" s="181">
        <f>SUM(J2671:J2672)</f>
        <v>7539</v>
      </c>
      <c r="K2670" s="181">
        <f>SUM(K2671:K2672)</f>
        <v>7539</v>
      </c>
      <c r="L2670" s="152"/>
      <c r="M2670" s="152"/>
      <c r="N2670" s="152"/>
      <c r="O2670" s="152"/>
      <c r="P2670" s="152"/>
      <c r="Q2670" s="152"/>
      <c r="R2670" s="152"/>
      <c r="S2670" s="152"/>
      <c r="T2670" s="152"/>
      <c r="U2670" s="152"/>
      <c r="V2670" s="152"/>
      <c r="W2670" s="152"/>
      <c r="X2670" s="152"/>
      <c r="Y2670" s="152"/>
      <c r="Z2670" s="152"/>
      <c r="AA2670" s="152"/>
      <c r="AB2670" s="152"/>
      <c r="AC2670" s="152"/>
      <c r="AD2670" s="152"/>
      <c r="AE2670" s="152"/>
      <c r="AF2670" s="152"/>
      <c r="AG2670" s="152"/>
      <c r="AH2670" s="152"/>
      <c r="AI2670" s="152"/>
      <c r="AJ2670" s="152"/>
      <c r="AK2670" s="152"/>
      <c r="AL2670" s="152"/>
      <c r="AM2670" s="152"/>
      <c r="AN2670" s="152"/>
      <c r="AO2670" s="152"/>
      <c r="AP2670" s="152"/>
      <c r="AQ2670" s="152"/>
      <c r="AR2670" s="152"/>
      <c r="AS2670" s="152"/>
      <c r="AT2670" s="152"/>
      <c r="AU2670" s="152"/>
      <c r="AV2670" s="152"/>
      <c r="AW2670" s="152"/>
      <c r="AX2670" s="152"/>
      <c r="AY2670" s="152"/>
      <c r="AZ2670" s="152"/>
      <c r="BA2670" s="152"/>
      <c r="BB2670" s="152"/>
      <c r="BC2670" s="152"/>
      <c r="BD2670" s="152"/>
      <c r="BE2670" s="152"/>
      <c r="BF2670" s="152"/>
      <c r="BG2670" s="152"/>
      <c r="BH2670" s="152"/>
      <c r="BI2670" s="152"/>
      <c r="BJ2670" s="152"/>
      <c r="BK2670" s="152"/>
      <c r="BL2670" s="152"/>
      <c r="BM2670" s="152"/>
      <c r="BN2670" s="152"/>
      <c r="BO2670" s="152"/>
      <c r="BP2670" s="152"/>
      <c r="BQ2670" s="152"/>
      <c r="BR2670" s="152"/>
      <c r="BS2670" s="152"/>
      <c r="BT2670" s="152"/>
      <c r="BU2670" s="152"/>
      <c r="BV2670" s="152"/>
      <c r="BW2670" s="152"/>
      <c r="BX2670" s="152"/>
      <c r="BY2670" s="152"/>
      <c r="BZ2670" s="152"/>
      <c r="CA2670" s="152"/>
      <c r="CB2670" s="152"/>
      <c r="CC2670" s="152"/>
      <c r="CD2670" s="152"/>
      <c r="CE2670" s="152"/>
      <c r="CF2670" s="152"/>
      <c r="CG2670" s="152"/>
      <c r="CH2670" s="152"/>
      <c r="CI2670" s="152"/>
      <c r="CJ2670" s="152"/>
      <c r="CK2670" s="152"/>
      <c r="CL2670" s="152"/>
      <c r="CM2670" s="152"/>
      <c r="CN2670" s="152"/>
      <c r="CO2670" s="152"/>
      <c r="CP2670" s="152"/>
      <c r="CQ2670" s="152"/>
      <c r="CR2670" s="152"/>
      <c r="CS2670" s="152"/>
      <c r="CT2670" s="152"/>
      <c r="CU2670" s="152"/>
      <c r="CV2670" s="152"/>
      <c r="CW2670" s="152"/>
      <c r="CX2670" s="152"/>
      <c r="CY2670" s="152"/>
      <c r="CZ2670" s="152"/>
      <c r="DA2670" s="152"/>
      <c r="DB2670" s="152"/>
      <c r="DC2670" s="152"/>
      <c r="DD2670" s="152"/>
      <c r="DE2670" s="152"/>
      <c r="DF2670" s="152"/>
      <c r="DG2670" s="152"/>
      <c r="DH2670" s="152"/>
      <c r="DI2670" s="152"/>
      <c r="DJ2670" s="152"/>
      <c r="DK2670" s="152"/>
      <c r="DL2670" s="152"/>
      <c r="DM2670" s="152"/>
      <c r="DN2670" s="152"/>
      <c r="DO2670" s="152"/>
      <c r="DP2670" s="152"/>
      <c r="DQ2670" s="152"/>
      <c r="DR2670" s="152"/>
      <c r="DS2670" s="152"/>
      <c r="DT2670" s="152"/>
      <c r="DU2670" s="152"/>
      <c r="DV2670" s="152"/>
      <c r="DW2670" s="152"/>
      <c r="DX2670" s="152"/>
      <c r="DY2670" s="152"/>
      <c r="DZ2670" s="152"/>
      <c r="EA2670" s="152"/>
      <c r="EB2670" s="152"/>
      <c r="EC2670" s="152"/>
      <c r="ED2670" s="152"/>
      <c r="EE2670" s="152"/>
      <c r="EF2670" s="152"/>
      <c r="EG2670" s="152"/>
      <c r="EH2670" s="152"/>
      <c r="EI2670" s="152"/>
      <c r="EJ2670" s="152"/>
      <c r="EK2670" s="152"/>
      <c r="EL2670" s="152"/>
      <c r="EM2670" s="152"/>
      <c r="EN2670" s="152"/>
      <c r="EO2670" s="152"/>
      <c r="EP2670" s="152"/>
      <c r="EQ2670" s="152"/>
      <c r="ER2670" s="152"/>
      <c r="ES2670" s="152"/>
      <c r="ET2670" s="152"/>
      <c r="EU2670" s="152"/>
      <c r="EV2670" s="152"/>
      <c r="EW2670" s="152"/>
      <c r="EX2670" s="152"/>
      <c r="EY2670" s="152"/>
      <c r="EZ2670" s="152"/>
      <c r="FA2670" s="152"/>
      <c r="FB2670" s="152"/>
      <c r="FC2670" s="152"/>
      <c r="FD2670" s="152"/>
      <c r="FE2670" s="152"/>
      <c r="FF2670" s="152"/>
      <c r="FG2670" s="152"/>
      <c r="FH2670" s="152"/>
      <c r="FI2670" s="152"/>
      <c r="FJ2670" s="152"/>
      <c r="FK2670" s="152"/>
      <c r="FL2670" s="152"/>
      <c r="FM2670" s="152"/>
      <c r="FN2670" s="152"/>
      <c r="FO2670" s="152"/>
      <c r="FP2670" s="152"/>
      <c r="FQ2670" s="152"/>
      <c r="FR2670" s="152"/>
      <c r="FS2670" s="152"/>
      <c r="FT2670" s="152"/>
      <c r="FU2670" s="152"/>
      <c r="FV2670" s="152"/>
      <c r="FW2670" s="152"/>
      <c r="FX2670" s="152"/>
      <c r="FY2670" s="152"/>
      <c r="FZ2670" s="152"/>
      <c r="GA2670" s="152"/>
      <c r="GB2670" s="152"/>
      <c r="GC2670" s="152"/>
      <c r="GD2670" s="152"/>
      <c r="GE2670" s="152"/>
      <c r="GF2670" s="152"/>
      <c r="GG2670" s="152"/>
      <c r="GH2670" s="152"/>
      <c r="GI2670" s="152"/>
      <c r="GJ2670" s="152"/>
      <c r="GK2670" s="152"/>
      <c r="GL2670" s="152"/>
      <c r="GM2670" s="152"/>
      <c r="GN2670" s="152"/>
      <c r="GO2670" s="152"/>
      <c r="GP2670" s="152"/>
      <c r="GQ2670" s="152"/>
      <c r="GR2670" s="152"/>
      <c r="GS2670" s="152"/>
      <c r="GT2670" s="152"/>
      <c r="GU2670" s="152"/>
      <c r="GV2670" s="152"/>
      <c r="GW2670" s="152"/>
      <c r="GX2670" s="152"/>
      <c r="GY2670" s="152"/>
      <c r="GZ2670" s="152"/>
      <c r="HA2670" s="152"/>
      <c r="HB2670" s="152"/>
      <c r="HC2670" s="152"/>
      <c r="HD2670" s="152"/>
      <c r="HE2670" s="152"/>
      <c r="HF2670" s="152"/>
    </row>
    <row r="2671" spans="1:214" x14ac:dyDescent="0.35">
      <c r="A2671" s="271"/>
      <c r="B2671" s="303"/>
      <c r="C2671" s="279"/>
      <c r="D2671" s="274"/>
      <c r="E2671" s="274"/>
      <c r="F2671" s="283"/>
      <c r="G2671" s="271"/>
      <c r="H2671" s="136" t="s">
        <v>635</v>
      </c>
      <c r="I2671" s="181">
        <v>3675738</v>
      </c>
      <c r="J2671" s="181">
        <f>I2671/D2670</f>
        <v>7381</v>
      </c>
      <c r="K2671" s="181">
        <v>7381</v>
      </c>
      <c r="L2671" s="152"/>
      <c r="M2671" s="152"/>
      <c r="N2671" s="152"/>
      <c r="O2671" s="152"/>
      <c r="P2671" s="152"/>
      <c r="Q2671" s="152"/>
      <c r="R2671" s="152"/>
      <c r="S2671" s="152"/>
      <c r="T2671" s="152"/>
      <c r="U2671" s="152"/>
      <c r="V2671" s="152"/>
      <c r="W2671" s="152"/>
      <c r="X2671" s="152"/>
      <c r="Y2671" s="152"/>
      <c r="Z2671" s="152"/>
      <c r="AA2671" s="152"/>
      <c r="AB2671" s="152"/>
      <c r="AC2671" s="152"/>
      <c r="AD2671" s="152"/>
      <c r="AE2671" s="152"/>
      <c r="AF2671" s="152"/>
      <c r="AG2671" s="152"/>
      <c r="AH2671" s="152"/>
      <c r="AI2671" s="152"/>
      <c r="AJ2671" s="152"/>
      <c r="AK2671" s="152"/>
      <c r="AL2671" s="152"/>
      <c r="AM2671" s="152"/>
      <c r="AN2671" s="152"/>
      <c r="AO2671" s="152"/>
      <c r="AP2671" s="152"/>
      <c r="AQ2671" s="152"/>
      <c r="AR2671" s="152"/>
      <c r="AS2671" s="152"/>
      <c r="AT2671" s="152"/>
      <c r="AU2671" s="152"/>
      <c r="AV2671" s="152"/>
      <c r="AW2671" s="152"/>
      <c r="AX2671" s="152"/>
      <c r="AY2671" s="152"/>
      <c r="AZ2671" s="152"/>
      <c r="BA2671" s="152"/>
      <c r="BB2671" s="152"/>
      <c r="BC2671" s="152"/>
      <c r="BD2671" s="152"/>
      <c r="BE2671" s="152"/>
      <c r="BF2671" s="152"/>
      <c r="BG2671" s="152"/>
      <c r="BH2671" s="152"/>
      <c r="BI2671" s="152"/>
      <c r="BJ2671" s="152"/>
      <c r="BK2671" s="152"/>
      <c r="BL2671" s="152"/>
      <c r="BM2671" s="152"/>
      <c r="BN2671" s="152"/>
      <c r="BO2671" s="152"/>
      <c r="BP2671" s="152"/>
      <c r="BQ2671" s="152"/>
      <c r="BR2671" s="152"/>
      <c r="BS2671" s="152"/>
      <c r="BT2671" s="152"/>
      <c r="BU2671" s="152"/>
      <c r="BV2671" s="152"/>
      <c r="BW2671" s="152"/>
      <c r="BX2671" s="152"/>
      <c r="BY2671" s="152"/>
      <c r="BZ2671" s="152"/>
      <c r="CA2671" s="152"/>
      <c r="CB2671" s="152"/>
      <c r="CC2671" s="152"/>
      <c r="CD2671" s="152"/>
      <c r="CE2671" s="152"/>
      <c r="CF2671" s="152"/>
      <c r="CG2671" s="152"/>
      <c r="CH2671" s="152"/>
      <c r="CI2671" s="152"/>
      <c r="CJ2671" s="152"/>
      <c r="CK2671" s="152"/>
      <c r="CL2671" s="152"/>
      <c r="CM2671" s="152"/>
      <c r="CN2671" s="152"/>
      <c r="CO2671" s="152"/>
      <c r="CP2671" s="152"/>
      <c r="CQ2671" s="152"/>
      <c r="CR2671" s="152"/>
      <c r="CS2671" s="152"/>
      <c r="CT2671" s="152"/>
      <c r="CU2671" s="152"/>
      <c r="CV2671" s="152"/>
      <c r="CW2671" s="152"/>
      <c r="CX2671" s="152"/>
      <c r="CY2671" s="152"/>
      <c r="CZ2671" s="152"/>
      <c r="DA2671" s="152"/>
      <c r="DB2671" s="152"/>
      <c r="DC2671" s="152"/>
      <c r="DD2671" s="152"/>
      <c r="DE2671" s="152"/>
      <c r="DF2671" s="152"/>
      <c r="DG2671" s="152"/>
      <c r="DH2671" s="152"/>
      <c r="DI2671" s="152"/>
      <c r="DJ2671" s="152"/>
      <c r="DK2671" s="152"/>
      <c r="DL2671" s="152"/>
      <c r="DM2671" s="152"/>
      <c r="DN2671" s="152"/>
      <c r="DO2671" s="152"/>
      <c r="DP2671" s="152"/>
      <c r="DQ2671" s="152"/>
      <c r="DR2671" s="152"/>
      <c r="DS2671" s="152"/>
      <c r="DT2671" s="152"/>
      <c r="DU2671" s="152"/>
      <c r="DV2671" s="152"/>
      <c r="DW2671" s="152"/>
      <c r="DX2671" s="152"/>
      <c r="DY2671" s="152"/>
      <c r="DZ2671" s="152"/>
      <c r="EA2671" s="152"/>
      <c r="EB2671" s="152"/>
      <c r="EC2671" s="152"/>
      <c r="ED2671" s="152"/>
      <c r="EE2671" s="152"/>
      <c r="EF2671" s="152"/>
      <c r="EG2671" s="152"/>
      <c r="EH2671" s="152"/>
      <c r="EI2671" s="152"/>
      <c r="EJ2671" s="152"/>
      <c r="EK2671" s="152"/>
      <c r="EL2671" s="152"/>
      <c r="EM2671" s="152"/>
      <c r="EN2671" s="152"/>
      <c r="EO2671" s="152"/>
      <c r="EP2671" s="152"/>
      <c r="EQ2671" s="152"/>
      <c r="ER2671" s="152"/>
      <c r="ES2671" s="152"/>
      <c r="ET2671" s="152"/>
      <c r="EU2671" s="152"/>
      <c r="EV2671" s="152"/>
      <c r="EW2671" s="152"/>
      <c r="EX2671" s="152"/>
      <c r="EY2671" s="152"/>
      <c r="EZ2671" s="152"/>
      <c r="FA2671" s="152"/>
      <c r="FB2671" s="152"/>
      <c r="FC2671" s="152"/>
      <c r="FD2671" s="152"/>
      <c r="FE2671" s="152"/>
      <c r="FF2671" s="152"/>
      <c r="FG2671" s="152"/>
      <c r="FH2671" s="152"/>
      <c r="FI2671" s="152"/>
      <c r="FJ2671" s="152"/>
      <c r="FK2671" s="152"/>
      <c r="FL2671" s="152"/>
      <c r="FM2671" s="152"/>
      <c r="FN2671" s="152"/>
      <c r="FO2671" s="152"/>
      <c r="FP2671" s="152"/>
      <c r="FQ2671" s="152"/>
      <c r="FR2671" s="152"/>
      <c r="FS2671" s="152"/>
      <c r="FT2671" s="152"/>
      <c r="FU2671" s="152"/>
      <c r="FV2671" s="152"/>
      <c r="FW2671" s="152"/>
      <c r="FX2671" s="152"/>
      <c r="FY2671" s="152"/>
      <c r="FZ2671" s="152"/>
      <c r="GA2671" s="152"/>
      <c r="GB2671" s="152"/>
      <c r="GC2671" s="152"/>
      <c r="GD2671" s="152"/>
      <c r="GE2671" s="152"/>
      <c r="GF2671" s="152"/>
      <c r="GG2671" s="152"/>
      <c r="GH2671" s="152"/>
      <c r="GI2671" s="152"/>
      <c r="GJ2671" s="152"/>
      <c r="GK2671" s="152"/>
      <c r="GL2671" s="152"/>
      <c r="GM2671" s="152"/>
      <c r="GN2671" s="152"/>
      <c r="GO2671" s="152"/>
      <c r="GP2671" s="152"/>
      <c r="GQ2671" s="152"/>
      <c r="GR2671" s="152"/>
      <c r="GS2671" s="152"/>
      <c r="GT2671" s="152"/>
      <c r="GU2671" s="152"/>
      <c r="GV2671" s="152"/>
      <c r="GW2671" s="152"/>
      <c r="GX2671" s="152"/>
      <c r="GY2671" s="152"/>
      <c r="GZ2671" s="152"/>
      <c r="HA2671" s="152"/>
      <c r="HB2671" s="152"/>
      <c r="HC2671" s="152"/>
      <c r="HD2671" s="152"/>
      <c r="HE2671" s="152"/>
      <c r="HF2671" s="152"/>
    </row>
    <row r="2672" spans="1:214" x14ac:dyDescent="0.35">
      <c r="A2672" s="272"/>
      <c r="B2672" s="303"/>
      <c r="C2672" s="285"/>
      <c r="D2672" s="275"/>
      <c r="E2672" s="275"/>
      <c r="F2672" s="284"/>
      <c r="G2672" s="272"/>
      <c r="H2672" s="136" t="s">
        <v>75</v>
      </c>
      <c r="I2672" s="181">
        <f>D2670*K2672</f>
        <v>78684</v>
      </c>
      <c r="J2672" s="181">
        <f>I2672/D2670</f>
        <v>158</v>
      </c>
      <c r="K2672" s="181">
        <v>158</v>
      </c>
      <c r="L2672" s="152"/>
      <c r="M2672" s="152"/>
      <c r="N2672" s="152"/>
      <c r="O2672" s="152"/>
      <c r="P2672" s="152"/>
      <c r="Q2672" s="152"/>
      <c r="R2672" s="152"/>
      <c r="S2672" s="152"/>
      <c r="T2672" s="152"/>
      <c r="U2672" s="152"/>
      <c r="V2672" s="152"/>
      <c r="W2672" s="152"/>
      <c r="X2672" s="152"/>
      <c r="Y2672" s="152"/>
      <c r="Z2672" s="152"/>
      <c r="AA2672" s="152"/>
      <c r="AB2672" s="152"/>
      <c r="AC2672" s="152"/>
      <c r="AD2672" s="152"/>
      <c r="AE2672" s="152"/>
      <c r="AF2672" s="152"/>
      <c r="AG2672" s="152"/>
      <c r="AH2672" s="152"/>
      <c r="AI2672" s="152"/>
      <c r="AJ2672" s="152"/>
      <c r="AK2672" s="152"/>
      <c r="AL2672" s="152"/>
      <c r="AM2672" s="152"/>
      <c r="AN2672" s="152"/>
      <c r="AO2672" s="152"/>
      <c r="AP2672" s="152"/>
      <c r="AQ2672" s="152"/>
      <c r="AR2672" s="152"/>
      <c r="AS2672" s="152"/>
      <c r="AT2672" s="152"/>
      <c r="AU2672" s="152"/>
      <c r="AV2672" s="152"/>
      <c r="AW2672" s="152"/>
      <c r="AX2672" s="152"/>
      <c r="AY2672" s="152"/>
      <c r="AZ2672" s="152"/>
      <c r="BA2672" s="152"/>
      <c r="BB2672" s="152"/>
      <c r="BC2672" s="152"/>
      <c r="BD2672" s="152"/>
      <c r="BE2672" s="152"/>
      <c r="BF2672" s="152"/>
      <c r="BG2672" s="152"/>
      <c r="BH2672" s="152"/>
      <c r="BI2672" s="152"/>
      <c r="BJ2672" s="152"/>
      <c r="BK2672" s="152"/>
      <c r="BL2672" s="152"/>
      <c r="BM2672" s="152"/>
      <c r="BN2672" s="152"/>
      <c r="BO2672" s="152"/>
      <c r="BP2672" s="152"/>
      <c r="BQ2672" s="152"/>
      <c r="BR2672" s="152"/>
      <c r="BS2672" s="152"/>
      <c r="BT2672" s="152"/>
      <c r="BU2672" s="152"/>
      <c r="BV2672" s="152"/>
      <c r="BW2672" s="152"/>
      <c r="BX2672" s="152"/>
      <c r="BY2672" s="152"/>
      <c r="BZ2672" s="152"/>
      <c r="CA2672" s="152"/>
      <c r="CB2672" s="152"/>
      <c r="CC2672" s="152"/>
      <c r="CD2672" s="152"/>
      <c r="CE2672" s="152"/>
      <c r="CF2672" s="152"/>
      <c r="CG2672" s="152"/>
      <c r="CH2672" s="152"/>
      <c r="CI2672" s="152"/>
      <c r="CJ2672" s="152"/>
      <c r="CK2672" s="152"/>
      <c r="CL2672" s="152"/>
      <c r="CM2672" s="152"/>
      <c r="CN2672" s="152"/>
      <c r="CO2672" s="152"/>
      <c r="CP2672" s="152"/>
      <c r="CQ2672" s="152"/>
      <c r="CR2672" s="152"/>
      <c r="CS2672" s="152"/>
      <c r="CT2672" s="152"/>
      <c r="CU2672" s="152"/>
      <c r="CV2672" s="152"/>
      <c r="CW2672" s="152"/>
      <c r="CX2672" s="152"/>
      <c r="CY2672" s="152"/>
      <c r="CZ2672" s="152"/>
      <c r="DA2672" s="152"/>
      <c r="DB2672" s="152"/>
      <c r="DC2672" s="152"/>
      <c r="DD2672" s="152"/>
      <c r="DE2672" s="152"/>
      <c r="DF2672" s="152"/>
      <c r="DG2672" s="152"/>
      <c r="DH2672" s="152"/>
      <c r="DI2672" s="152"/>
      <c r="DJ2672" s="152"/>
      <c r="DK2672" s="152"/>
      <c r="DL2672" s="152"/>
      <c r="DM2672" s="152"/>
      <c r="DN2672" s="152"/>
      <c r="DO2672" s="152"/>
      <c r="DP2672" s="152"/>
      <c r="DQ2672" s="152"/>
      <c r="DR2672" s="152"/>
      <c r="DS2672" s="152"/>
      <c r="DT2672" s="152"/>
      <c r="DU2672" s="152"/>
      <c r="DV2672" s="152"/>
      <c r="DW2672" s="152"/>
      <c r="DX2672" s="152"/>
      <c r="DY2672" s="152"/>
      <c r="DZ2672" s="152"/>
      <c r="EA2672" s="152"/>
      <c r="EB2672" s="152"/>
      <c r="EC2672" s="152"/>
      <c r="ED2672" s="152"/>
      <c r="EE2672" s="152"/>
      <c r="EF2672" s="152"/>
      <c r="EG2672" s="152"/>
      <c r="EH2672" s="152"/>
      <c r="EI2672" s="152"/>
      <c r="EJ2672" s="152"/>
      <c r="EK2672" s="152"/>
      <c r="EL2672" s="152"/>
      <c r="EM2672" s="152"/>
      <c r="EN2672" s="152"/>
      <c r="EO2672" s="152"/>
      <c r="EP2672" s="152"/>
      <c r="EQ2672" s="152"/>
      <c r="ER2672" s="152"/>
      <c r="ES2672" s="152"/>
      <c r="ET2672" s="152"/>
      <c r="EU2672" s="152"/>
      <c r="EV2672" s="152"/>
      <c r="EW2672" s="152"/>
      <c r="EX2672" s="152"/>
      <c r="EY2672" s="152"/>
      <c r="EZ2672" s="152"/>
      <c r="FA2672" s="152"/>
      <c r="FB2672" s="152"/>
      <c r="FC2672" s="152"/>
      <c r="FD2672" s="152"/>
      <c r="FE2672" s="152"/>
      <c r="FF2672" s="152"/>
      <c r="FG2672" s="152"/>
      <c r="FH2672" s="152"/>
      <c r="FI2672" s="152"/>
      <c r="FJ2672" s="152"/>
      <c r="FK2672" s="152"/>
      <c r="FL2672" s="152"/>
      <c r="FM2672" s="152"/>
      <c r="FN2672" s="152"/>
      <c r="FO2672" s="152"/>
      <c r="FP2672" s="152"/>
      <c r="FQ2672" s="152"/>
      <c r="FR2672" s="152"/>
      <c r="FS2672" s="152"/>
      <c r="FT2672" s="152"/>
      <c r="FU2672" s="152"/>
      <c r="FV2672" s="152"/>
      <c r="FW2672" s="152"/>
      <c r="FX2672" s="152"/>
      <c r="FY2672" s="152"/>
      <c r="FZ2672" s="152"/>
      <c r="GA2672" s="152"/>
      <c r="GB2672" s="152"/>
      <c r="GC2672" s="152"/>
      <c r="GD2672" s="152"/>
      <c r="GE2672" s="152"/>
      <c r="GF2672" s="152"/>
      <c r="GG2672" s="152"/>
      <c r="GH2672" s="152"/>
      <c r="GI2672" s="152"/>
      <c r="GJ2672" s="152"/>
      <c r="GK2672" s="152"/>
      <c r="GL2672" s="152"/>
      <c r="GM2672" s="152"/>
      <c r="GN2672" s="152"/>
      <c r="GO2672" s="152"/>
      <c r="GP2672" s="152"/>
      <c r="GQ2672" s="152"/>
      <c r="GR2672" s="152"/>
      <c r="GS2672" s="152"/>
      <c r="GT2672" s="152"/>
      <c r="GU2672" s="152"/>
      <c r="GV2672" s="152"/>
      <c r="GW2672" s="152"/>
      <c r="GX2672" s="152"/>
      <c r="GY2672" s="152"/>
      <c r="GZ2672" s="152"/>
      <c r="HA2672" s="152"/>
      <c r="HB2672" s="152"/>
      <c r="HC2672" s="152"/>
      <c r="HD2672" s="152"/>
      <c r="HE2672" s="152"/>
      <c r="HF2672" s="152"/>
    </row>
    <row r="2673" spans="1:214" x14ac:dyDescent="0.35">
      <c r="A2673" s="138" t="s">
        <v>33</v>
      </c>
      <c r="B2673" s="143"/>
      <c r="C2673" s="144"/>
      <c r="D2673" s="166">
        <f>D2674+D2677+D2680+D2683</f>
        <v>3126.95</v>
      </c>
      <c r="E2673" s="192"/>
      <c r="F2673" s="192"/>
      <c r="G2673" s="166"/>
      <c r="H2673" s="137"/>
      <c r="I2673" s="181">
        <f>I2674+I2677+I2680+I2683</f>
        <v>20514064.370000001</v>
      </c>
      <c r="J2673" s="181"/>
      <c r="K2673" s="181"/>
      <c r="L2673" s="152"/>
      <c r="M2673" s="152"/>
      <c r="N2673" s="152"/>
      <c r="O2673" s="152"/>
      <c r="P2673" s="152"/>
      <c r="Q2673" s="152"/>
      <c r="R2673" s="152"/>
      <c r="S2673" s="152"/>
      <c r="T2673" s="152"/>
      <c r="U2673" s="152"/>
      <c r="V2673" s="152"/>
      <c r="W2673" s="152"/>
      <c r="X2673" s="152"/>
      <c r="Y2673" s="152"/>
      <c r="Z2673" s="152"/>
      <c r="AA2673" s="152"/>
      <c r="AB2673" s="152"/>
      <c r="AC2673" s="152"/>
      <c r="AD2673" s="152"/>
      <c r="AE2673" s="152"/>
      <c r="AF2673" s="152"/>
      <c r="AG2673" s="152"/>
      <c r="AH2673" s="152"/>
      <c r="AI2673" s="152"/>
      <c r="AJ2673" s="152"/>
      <c r="AK2673" s="152"/>
      <c r="AL2673" s="152"/>
      <c r="AM2673" s="152"/>
      <c r="AN2673" s="152"/>
      <c r="AO2673" s="152"/>
      <c r="AP2673" s="152"/>
      <c r="AQ2673" s="152"/>
      <c r="AR2673" s="152"/>
      <c r="AS2673" s="152"/>
      <c r="AT2673" s="152"/>
      <c r="AU2673" s="152"/>
      <c r="AV2673" s="152"/>
      <c r="AW2673" s="152"/>
      <c r="AX2673" s="152"/>
      <c r="AY2673" s="152"/>
      <c r="AZ2673" s="152"/>
      <c r="BA2673" s="152"/>
      <c r="BB2673" s="152"/>
      <c r="BC2673" s="152"/>
      <c r="BD2673" s="152"/>
      <c r="BE2673" s="152"/>
      <c r="BF2673" s="152"/>
      <c r="BG2673" s="152"/>
      <c r="BH2673" s="152"/>
      <c r="BI2673" s="152"/>
      <c r="BJ2673" s="152"/>
      <c r="BK2673" s="152"/>
      <c r="BL2673" s="152"/>
      <c r="BM2673" s="152"/>
      <c r="BN2673" s="152"/>
      <c r="BO2673" s="152"/>
      <c r="BP2673" s="152"/>
      <c r="BQ2673" s="152"/>
      <c r="BR2673" s="152"/>
      <c r="BS2673" s="152"/>
      <c r="BT2673" s="152"/>
      <c r="BU2673" s="152"/>
      <c r="BV2673" s="152"/>
      <c r="BW2673" s="152"/>
      <c r="BX2673" s="152"/>
      <c r="BY2673" s="152"/>
      <c r="BZ2673" s="152"/>
      <c r="CA2673" s="152"/>
      <c r="CB2673" s="152"/>
      <c r="CC2673" s="152"/>
      <c r="CD2673" s="152"/>
      <c r="CE2673" s="152"/>
      <c r="CF2673" s="152"/>
      <c r="CG2673" s="152"/>
      <c r="CH2673" s="152"/>
      <c r="CI2673" s="152"/>
      <c r="CJ2673" s="152"/>
      <c r="CK2673" s="152"/>
      <c r="CL2673" s="152"/>
      <c r="CM2673" s="152"/>
      <c r="CN2673" s="152"/>
      <c r="CO2673" s="152"/>
      <c r="CP2673" s="152"/>
      <c r="CQ2673" s="152"/>
      <c r="CR2673" s="152"/>
      <c r="CS2673" s="152"/>
      <c r="CT2673" s="152"/>
      <c r="CU2673" s="152"/>
      <c r="CV2673" s="152"/>
      <c r="CW2673" s="152"/>
      <c r="CX2673" s="152"/>
      <c r="CY2673" s="152"/>
      <c r="CZ2673" s="152"/>
      <c r="DA2673" s="152"/>
      <c r="DB2673" s="152"/>
      <c r="DC2673" s="152"/>
      <c r="DD2673" s="152"/>
      <c r="DE2673" s="152"/>
      <c r="DF2673" s="152"/>
      <c r="DG2673" s="152"/>
      <c r="DH2673" s="152"/>
      <c r="DI2673" s="152"/>
      <c r="DJ2673" s="152"/>
      <c r="DK2673" s="152"/>
      <c r="DL2673" s="152"/>
      <c r="DM2673" s="152"/>
      <c r="DN2673" s="152"/>
      <c r="DO2673" s="152"/>
      <c r="DP2673" s="152"/>
      <c r="DQ2673" s="152"/>
      <c r="DR2673" s="152"/>
      <c r="DS2673" s="152"/>
      <c r="DT2673" s="152"/>
      <c r="DU2673" s="152"/>
      <c r="DV2673" s="152"/>
      <c r="DW2673" s="152"/>
      <c r="DX2673" s="152"/>
      <c r="DY2673" s="152"/>
      <c r="DZ2673" s="152"/>
      <c r="EA2673" s="152"/>
      <c r="EB2673" s="152"/>
      <c r="EC2673" s="152"/>
      <c r="ED2673" s="152"/>
      <c r="EE2673" s="152"/>
      <c r="EF2673" s="152"/>
      <c r="EG2673" s="152"/>
      <c r="EH2673" s="152"/>
      <c r="EI2673" s="152"/>
      <c r="EJ2673" s="152"/>
      <c r="EK2673" s="152"/>
      <c r="EL2673" s="152"/>
      <c r="EM2673" s="152"/>
      <c r="EN2673" s="152"/>
      <c r="EO2673" s="152"/>
      <c r="EP2673" s="152"/>
      <c r="EQ2673" s="152"/>
      <c r="ER2673" s="152"/>
      <c r="ES2673" s="152"/>
      <c r="ET2673" s="152"/>
      <c r="EU2673" s="152"/>
      <c r="EV2673" s="152"/>
      <c r="EW2673" s="152"/>
      <c r="EX2673" s="152"/>
      <c r="EY2673" s="152"/>
      <c r="EZ2673" s="152"/>
      <c r="FA2673" s="152"/>
      <c r="FB2673" s="152"/>
      <c r="FC2673" s="152"/>
      <c r="FD2673" s="152"/>
      <c r="FE2673" s="152"/>
      <c r="FF2673" s="152"/>
      <c r="FG2673" s="152"/>
      <c r="FH2673" s="152"/>
      <c r="FI2673" s="152"/>
      <c r="FJ2673" s="152"/>
      <c r="FK2673" s="152"/>
      <c r="FL2673" s="152"/>
      <c r="FM2673" s="152"/>
      <c r="FN2673" s="152"/>
      <c r="FO2673" s="152"/>
      <c r="FP2673" s="152"/>
      <c r="FQ2673" s="152"/>
      <c r="FR2673" s="152"/>
      <c r="FS2673" s="152"/>
      <c r="FT2673" s="152"/>
      <c r="FU2673" s="152"/>
      <c r="FV2673" s="152"/>
      <c r="FW2673" s="152"/>
      <c r="FX2673" s="152"/>
      <c r="FY2673" s="152"/>
      <c r="FZ2673" s="152"/>
      <c r="GA2673" s="152"/>
      <c r="GB2673" s="152"/>
      <c r="GC2673" s="152"/>
      <c r="GD2673" s="152"/>
      <c r="GE2673" s="152"/>
      <c r="GF2673" s="152"/>
      <c r="GG2673" s="152"/>
      <c r="GH2673" s="152"/>
      <c r="GI2673" s="152"/>
      <c r="GJ2673" s="152"/>
      <c r="GK2673" s="152"/>
      <c r="GL2673" s="152"/>
      <c r="GM2673" s="152"/>
      <c r="GN2673" s="152"/>
      <c r="GO2673" s="152"/>
      <c r="GP2673" s="152"/>
      <c r="GQ2673" s="152"/>
      <c r="GR2673" s="152"/>
      <c r="GS2673" s="152"/>
      <c r="GT2673" s="152"/>
      <c r="GU2673" s="152"/>
      <c r="GV2673" s="152"/>
      <c r="GW2673" s="152"/>
      <c r="GX2673" s="152"/>
      <c r="GY2673" s="152"/>
      <c r="GZ2673" s="152"/>
      <c r="HA2673" s="152"/>
      <c r="HB2673" s="152"/>
      <c r="HC2673" s="152"/>
      <c r="HD2673" s="152"/>
      <c r="HE2673" s="152"/>
      <c r="HF2673" s="152"/>
    </row>
    <row r="2674" spans="1:214" x14ac:dyDescent="0.35">
      <c r="A2674" s="270">
        <v>1</v>
      </c>
      <c r="B2674" s="278">
        <v>4395</v>
      </c>
      <c r="C2674" s="278" t="s">
        <v>763</v>
      </c>
      <c r="D2674" s="273">
        <v>846</v>
      </c>
      <c r="E2674" s="273" t="s">
        <v>79</v>
      </c>
      <c r="F2674" s="282">
        <v>2</v>
      </c>
      <c r="G2674" s="270" t="s">
        <v>71</v>
      </c>
      <c r="H2674" s="136" t="s">
        <v>72</v>
      </c>
      <c r="I2674" s="181">
        <f>I2675+I2676</f>
        <v>4396871.67</v>
      </c>
      <c r="J2674" s="181">
        <f>J2675+J2676</f>
        <v>5197.25</v>
      </c>
      <c r="K2674" s="181">
        <f>K2675+K2676</f>
        <v>7066</v>
      </c>
      <c r="L2674" s="152"/>
      <c r="M2674" s="152"/>
      <c r="N2674" s="152"/>
      <c r="O2674" s="152"/>
      <c r="P2674" s="152"/>
      <c r="Q2674" s="152"/>
      <c r="R2674" s="152"/>
      <c r="S2674" s="152"/>
      <c r="T2674" s="152"/>
      <c r="U2674" s="152"/>
      <c r="V2674" s="152"/>
      <c r="W2674" s="152"/>
      <c r="X2674" s="152"/>
      <c r="Y2674" s="152"/>
      <c r="Z2674" s="152"/>
      <c r="AA2674" s="152"/>
      <c r="AB2674" s="152"/>
      <c r="AC2674" s="152"/>
      <c r="AD2674" s="152"/>
      <c r="AE2674" s="152"/>
      <c r="AF2674" s="152"/>
      <c r="AG2674" s="152"/>
      <c r="AH2674" s="152"/>
      <c r="AI2674" s="152"/>
      <c r="AJ2674" s="152"/>
      <c r="AK2674" s="152"/>
      <c r="AL2674" s="152"/>
      <c r="AM2674" s="152"/>
      <c r="AN2674" s="152"/>
      <c r="AO2674" s="152"/>
      <c r="AP2674" s="152"/>
      <c r="AQ2674" s="152"/>
      <c r="AR2674" s="152"/>
      <c r="AS2674" s="152"/>
      <c r="AT2674" s="152"/>
      <c r="AU2674" s="152"/>
      <c r="AV2674" s="152"/>
      <c r="AW2674" s="152"/>
      <c r="AX2674" s="152"/>
      <c r="AY2674" s="152"/>
      <c r="AZ2674" s="152"/>
      <c r="BA2674" s="152"/>
      <c r="BB2674" s="152"/>
      <c r="BC2674" s="152"/>
      <c r="BD2674" s="152"/>
      <c r="BE2674" s="152"/>
      <c r="BF2674" s="152"/>
      <c r="BG2674" s="152"/>
      <c r="BH2674" s="152"/>
      <c r="BI2674" s="152"/>
      <c r="BJ2674" s="152"/>
      <c r="BK2674" s="152"/>
      <c r="BL2674" s="152"/>
      <c r="BM2674" s="152"/>
      <c r="BN2674" s="152"/>
      <c r="BO2674" s="152"/>
      <c r="BP2674" s="152"/>
      <c r="BQ2674" s="152"/>
      <c r="BR2674" s="152"/>
      <c r="BS2674" s="152"/>
      <c r="BT2674" s="152"/>
      <c r="BU2674" s="152"/>
      <c r="BV2674" s="152"/>
      <c r="BW2674" s="152"/>
      <c r="BX2674" s="152"/>
      <c r="BY2674" s="152"/>
      <c r="BZ2674" s="152"/>
      <c r="CA2674" s="152"/>
      <c r="CB2674" s="152"/>
      <c r="CC2674" s="152"/>
      <c r="CD2674" s="152"/>
      <c r="CE2674" s="152"/>
      <c r="CF2674" s="152"/>
      <c r="CG2674" s="152"/>
      <c r="CH2674" s="152"/>
      <c r="CI2674" s="152"/>
      <c r="CJ2674" s="152"/>
      <c r="CK2674" s="152"/>
      <c r="CL2674" s="152"/>
      <c r="CM2674" s="152"/>
      <c r="CN2674" s="152"/>
      <c r="CO2674" s="152"/>
      <c r="CP2674" s="152"/>
      <c r="CQ2674" s="152"/>
      <c r="CR2674" s="152"/>
      <c r="CS2674" s="152"/>
      <c r="CT2674" s="152"/>
      <c r="CU2674" s="152"/>
      <c r="CV2674" s="152"/>
      <c r="CW2674" s="152"/>
      <c r="CX2674" s="152"/>
      <c r="CY2674" s="152"/>
      <c r="CZ2674" s="152"/>
      <c r="DA2674" s="152"/>
      <c r="DB2674" s="152"/>
      <c r="DC2674" s="152"/>
      <c r="DD2674" s="152"/>
      <c r="DE2674" s="152"/>
      <c r="DF2674" s="152"/>
      <c r="DG2674" s="152"/>
      <c r="DH2674" s="152"/>
      <c r="DI2674" s="152"/>
      <c r="DJ2674" s="152"/>
      <c r="DK2674" s="152"/>
      <c r="DL2674" s="152"/>
      <c r="DM2674" s="152"/>
      <c r="DN2674" s="152"/>
      <c r="DO2674" s="152"/>
      <c r="DP2674" s="152"/>
      <c r="DQ2674" s="152"/>
      <c r="DR2674" s="152"/>
      <c r="DS2674" s="152"/>
      <c r="DT2674" s="152"/>
      <c r="DU2674" s="152"/>
      <c r="DV2674" s="152"/>
      <c r="DW2674" s="152"/>
      <c r="DX2674" s="152"/>
      <c r="DY2674" s="152"/>
      <c r="DZ2674" s="152"/>
      <c r="EA2674" s="152"/>
      <c r="EB2674" s="152"/>
      <c r="EC2674" s="152"/>
      <c r="ED2674" s="152"/>
      <c r="EE2674" s="152"/>
      <c r="EF2674" s="152"/>
      <c r="EG2674" s="152"/>
      <c r="EH2674" s="152"/>
      <c r="EI2674" s="152"/>
      <c r="EJ2674" s="152"/>
      <c r="EK2674" s="152"/>
      <c r="EL2674" s="152"/>
      <c r="EM2674" s="152"/>
      <c r="EN2674" s="152"/>
      <c r="EO2674" s="152"/>
      <c r="EP2674" s="152"/>
      <c r="EQ2674" s="152"/>
      <c r="ER2674" s="152"/>
      <c r="ES2674" s="152"/>
      <c r="ET2674" s="152"/>
      <c r="EU2674" s="152"/>
      <c r="EV2674" s="152"/>
      <c r="EW2674" s="152"/>
      <c r="EX2674" s="152"/>
      <c r="EY2674" s="152"/>
      <c r="EZ2674" s="152"/>
      <c r="FA2674" s="152"/>
      <c r="FB2674" s="152"/>
      <c r="FC2674" s="152"/>
      <c r="FD2674" s="152"/>
      <c r="FE2674" s="152"/>
      <c r="FF2674" s="152"/>
      <c r="FG2674" s="152"/>
      <c r="FH2674" s="152"/>
      <c r="FI2674" s="152"/>
      <c r="FJ2674" s="152"/>
      <c r="FK2674" s="152"/>
      <c r="FL2674" s="152"/>
      <c r="FM2674" s="152"/>
      <c r="FN2674" s="152"/>
      <c r="FO2674" s="152"/>
      <c r="FP2674" s="152"/>
      <c r="FQ2674" s="152"/>
      <c r="FR2674" s="152"/>
      <c r="FS2674" s="152"/>
      <c r="FT2674" s="152"/>
      <c r="FU2674" s="152"/>
      <c r="FV2674" s="152"/>
      <c r="FW2674" s="152"/>
      <c r="FX2674" s="152"/>
      <c r="FY2674" s="152"/>
      <c r="FZ2674" s="152"/>
      <c r="GA2674" s="152"/>
      <c r="GB2674" s="152"/>
      <c r="GC2674" s="152"/>
      <c r="GD2674" s="152"/>
      <c r="GE2674" s="152"/>
      <c r="GF2674" s="152"/>
      <c r="GG2674" s="152"/>
      <c r="GH2674" s="152"/>
      <c r="GI2674" s="152"/>
      <c r="GJ2674" s="152"/>
      <c r="GK2674" s="152"/>
      <c r="GL2674" s="152"/>
      <c r="GM2674" s="152"/>
      <c r="GN2674" s="152"/>
      <c r="GO2674" s="152"/>
      <c r="GP2674" s="152"/>
      <c r="GQ2674" s="152"/>
      <c r="GR2674" s="152"/>
      <c r="GS2674" s="152"/>
      <c r="GT2674" s="152"/>
      <c r="GU2674" s="152"/>
      <c r="GV2674" s="152"/>
      <c r="GW2674" s="152"/>
      <c r="GX2674" s="152"/>
      <c r="GY2674" s="152"/>
      <c r="GZ2674" s="152"/>
      <c r="HA2674" s="152"/>
      <c r="HB2674" s="152"/>
      <c r="HC2674" s="152"/>
      <c r="HD2674" s="152"/>
      <c r="HE2674" s="152"/>
      <c r="HF2674" s="152"/>
    </row>
    <row r="2675" spans="1:214" x14ac:dyDescent="0.35">
      <c r="A2675" s="271">
        <v>25</v>
      </c>
      <c r="B2675" s="279"/>
      <c r="C2675" s="279"/>
      <c r="D2675" s="274"/>
      <c r="E2675" s="274"/>
      <c r="F2675" s="283"/>
      <c r="G2675" s="271"/>
      <c r="H2675" s="136" t="s">
        <v>73</v>
      </c>
      <c r="I2675" s="181">
        <v>4304750.0199999996</v>
      </c>
      <c r="J2675" s="181">
        <f>I2675/D2674</f>
        <v>5088.3599999999997</v>
      </c>
      <c r="K2675" s="181">
        <v>6918</v>
      </c>
      <c r="L2675" s="152"/>
      <c r="M2675" s="152"/>
      <c r="N2675" s="152"/>
      <c r="O2675" s="152"/>
      <c r="P2675" s="152"/>
      <c r="Q2675" s="152"/>
      <c r="R2675" s="152"/>
      <c r="S2675" s="152"/>
      <c r="T2675" s="152"/>
      <c r="U2675" s="152"/>
      <c r="V2675" s="152"/>
      <c r="W2675" s="152"/>
      <c r="X2675" s="152"/>
      <c r="Y2675" s="152"/>
      <c r="Z2675" s="152"/>
      <c r="AA2675" s="152"/>
      <c r="AB2675" s="152"/>
      <c r="AC2675" s="152"/>
      <c r="AD2675" s="152"/>
      <c r="AE2675" s="152"/>
      <c r="AF2675" s="152"/>
      <c r="AG2675" s="152"/>
      <c r="AH2675" s="152"/>
      <c r="AI2675" s="152"/>
      <c r="AJ2675" s="152"/>
      <c r="AK2675" s="152"/>
      <c r="AL2675" s="152"/>
      <c r="AM2675" s="152"/>
      <c r="AN2675" s="152"/>
      <c r="AO2675" s="152"/>
      <c r="AP2675" s="152"/>
      <c r="AQ2675" s="152"/>
      <c r="AR2675" s="152"/>
      <c r="AS2675" s="152"/>
      <c r="AT2675" s="152"/>
      <c r="AU2675" s="152"/>
      <c r="AV2675" s="152"/>
      <c r="AW2675" s="152"/>
      <c r="AX2675" s="152"/>
      <c r="AY2675" s="152"/>
      <c r="AZ2675" s="152"/>
      <c r="BA2675" s="152"/>
      <c r="BB2675" s="152"/>
      <c r="BC2675" s="152"/>
      <c r="BD2675" s="152"/>
      <c r="BE2675" s="152"/>
      <c r="BF2675" s="152"/>
      <c r="BG2675" s="152"/>
      <c r="BH2675" s="152"/>
      <c r="BI2675" s="152"/>
      <c r="BJ2675" s="152"/>
      <c r="BK2675" s="152"/>
      <c r="BL2675" s="152"/>
      <c r="BM2675" s="152"/>
      <c r="BN2675" s="152"/>
      <c r="BO2675" s="152"/>
      <c r="BP2675" s="152"/>
      <c r="BQ2675" s="152"/>
      <c r="BR2675" s="152"/>
      <c r="BS2675" s="152"/>
      <c r="BT2675" s="152"/>
      <c r="BU2675" s="152"/>
      <c r="BV2675" s="152"/>
      <c r="BW2675" s="152"/>
      <c r="BX2675" s="152"/>
      <c r="BY2675" s="152"/>
      <c r="BZ2675" s="152"/>
      <c r="CA2675" s="152"/>
      <c r="CB2675" s="152"/>
      <c r="CC2675" s="152"/>
      <c r="CD2675" s="152"/>
      <c r="CE2675" s="152"/>
      <c r="CF2675" s="152"/>
      <c r="CG2675" s="152"/>
      <c r="CH2675" s="152"/>
      <c r="CI2675" s="152"/>
      <c r="CJ2675" s="152"/>
      <c r="CK2675" s="152"/>
      <c r="CL2675" s="152"/>
      <c r="CM2675" s="152"/>
      <c r="CN2675" s="152"/>
      <c r="CO2675" s="152"/>
      <c r="CP2675" s="152"/>
      <c r="CQ2675" s="152"/>
      <c r="CR2675" s="152"/>
      <c r="CS2675" s="152"/>
      <c r="CT2675" s="152"/>
      <c r="CU2675" s="152"/>
      <c r="CV2675" s="152"/>
      <c r="CW2675" s="152"/>
      <c r="CX2675" s="152"/>
      <c r="CY2675" s="152"/>
      <c r="CZ2675" s="152"/>
      <c r="DA2675" s="152"/>
      <c r="DB2675" s="152"/>
      <c r="DC2675" s="152"/>
      <c r="DD2675" s="152"/>
      <c r="DE2675" s="152"/>
      <c r="DF2675" s="152"/>
      <c r="DG2675" s="152"/>
      <c r="DH2675" s="152"/>
      <c r="DI2675" s="152"/>
      <c r="DJ2675" s="152"/>
      <c r="DK2675" s="152"/>
      <c r="DL2675" s="152"/>
      <c r="DM2675" s="152"/>
      <c r="DN2675" s="152"/>
      <c r="DO2675" s="152"/>
      <c r="DP2675" s="152"/>
      <c r="DQ2675" s="152"/>
      <c r="DR2675" s="152"/>
      <c r="DS2675" s="152"/>
      <c r="DT2675" s="152"/>
      <c r="DU2675" s="152"/>
      <c r="DV2675" s="152"/>
      <c r="DW2675" s="152"/>
      <c r="DX2675" s="152"/>
      <c r="DY2675" s="152"/>
      <c r="DZ2675" s="152"/>
      <c r="EA2675" s="152"/>
      <c r="EB2675" s="152"/>
      <c r="EC2675" s="152"/>
      <c r="ED2675" s="152"/>
      <c r="EE2675" s="152"/>
      <c r="EF2675" s="152"/>
      <c r="EG2675" s="152"/>
      <c r="EH2675" s="152"/>
      <c r="EI2675" s="152"/>
      <c r="EJ2675" s="152"/>
      <c r="EK2675" s="152"/>
      <c r="EL2675" s="152"/>
      <c r="EM2675" s="152"/>
      <c r="EN2675" s="152"/>
      <c r="EO2675" s="152"/>
      <c r="EP2675" s="152"/>
      <c r="EQ2675" s="152"/>
      <c r="ER2675" s="152"/>
      <c r="ES2675" s="152"/>
      <c r="ET2675" s="152"/>
      <c r="EU2675" s="152"/>
      <c r="EV2675" s="152"/>
      <c r="EW2675" s="152"/>
      <c r="EX2675" s="152"/>
      <c r="EY2675" s="152"/>
      <c r="EZ2675" s="152"/>
      <c r="FA2675" s="152"/>
      <c r="FB2675" s="152"/>
      <c r="FC2675" s="152"/>
      <c r="FD2675" s="152"/>
      <c r="FE2675" s="152"/>
      <c r="FF2675" s="152"/>
      <c r="FG2675" s="152"/>
      <c r="FH2675" s="152"/>
      <c r="FI2675" s="152"/>
      <c r="FJ2675" s="152"/>
      <c r="FK2675" s="152"/>
      <c r="FL2675" s="152"/>
      <c r="FM2675" s="152"/>
      <c r="FN2675" s="152"/>
      <c r="FO2675" s="152"/>
      <c r="FP2675" s="152"/>
      <c r="FQ2675" s="152"/>
      <c r="FR2675" s="152"/>
      <c r="FS2675" s="152"/>
      <c r="FT2675" s="152"/>
      <c r="FU2675" s="152"/>
      <c r="FV2675" s="152"/>
      <c r="FW2675" s="152"/>
      <c r="FX2675" s="152"/>
      <c r="FY2675" s="152"/>
      <c r="FZ2675" s="152"/>
      <c r="GA2675" s="152"/>
      <c r="GB2675" s="152"/>
      <c r="GC2675" s="152"/>
      <c r="GD2675" s="152"/>
      <c r="GE2675" s="152"/>
      <c r="GF2675" s="152"/>
      <c r="GG2675" s="152"/>
      <c r="GH2675" s="152"/>
      <c r="GI2675" s="152"/>
      <c r="GJ2675" s="152"/>
      <c r="GK2675" s="152"/>
      <c r="GL2675" s="152"/>
      <c r="GM2675" s="152"/>
      <c r="GN2675" s="152"/>
      <c r="GO2675" s="152"/>
      <c r="GP2675" s="152"/>
      <c r="GQ2675" s="152"/>
      <c r="GR2675" s="152"/>
      <c r="GS2675" s="152"/>
      <c r="GT2675" s="152"/>
      <c r="GU2675" s="152"/>
      <c r="GV2675" s="152"/>
      <c r="GW2675" s="152"/>
      <c r="GX2675" s="152"/>
      <c r="GY2675" s="152"/>
      <c r="GZ2675" s="152"/>
      <c r="HA2675" s="152"/>
      <c r="HB2675" s="152"/>
      <c r="HC2675" s="152"/>
      <c r="HD2675" s="152"/>
      <c r="HE2675" s="152"/>
      <c r="HF2675" s="152"/>
    </row>
    <row r="2676" spans="1:214" x14ac:dyDescent="0.35">
      <c r="A2676" s="272">
        <v>26</v>
      </c>
      <c r="B2676" s="285"/>
      <c r="C2676" s="285"/>
      <c r="D2676" s="275"/>
      <c r="E2676" s="275"/>
      <c r="F2676" s="284"/>
      <c r="G2676" s="272"/>
      <c r="H2676" s="136" t="s">
        <v>75</v>
      </c>
      <c r="I2676" s="181">
        <f>4304750.02*0.0214</f>
        <v>92121.65</v>
      </c>
      <c r="J2676" s="181">
        <f>I2676/D2674</f>
        <v>108.89</v>
      </c>
      <c r="K2676" s="181">
        <v>148</v>
      </c>
      <c r="L2676" s="152"/>
      <c r="M2676" s="152"/>
      <c r="N2676" s="152"/>
      <c r="O2676" s="152"/>
      <c r="P2676" s="152"/>
      <c r="Q2676" s="152"/>
      <c r="R2676" s="152"/>
      <c r="S2676" s="152"/>
      <c r="T2676" s="152"/>
      <c r="U2676" s="152"/>
      <c r="V2676" s="152"/>
      <c r="W2676" s="152"/>
      <c r="X2676" s="152"/>
      <c r="Y2676" s="152"/>
      <c r="Z2676" s="152"/>
      <c r="AA2676" s="152"/>
      <c r="AB2676" s="152"/>
      <c r="AC2676" s="152"/>
      <c r="AD2676" s="152"/>
      <c r="AE2676" s="152"/>
      <c r="AF2676" s="152"/>
      <c r="AG2676" s="152"/>
      <c r="AH2676" s="152"/>
      <c r="AI2676" s="152"/>
      <c r="AJ2676" s="152"/>
      <c r="AK2676" s="152"/>
      <c r="AL2676" s="152"/>
      <c r="AM2676" s="152"/>
      <c r="AN2676" s="152"/>
      <c r="AO2676" s="152"/>
      <c r="AP2676" s="152"/>
      <c r="AQ2676" s="152"/>
      <c r="AR2676" s="152"/>
      <c r="AS2676" s="152"/>
      <c r="AT2676" s="152"/>
      <c r="AU2676" s="152"/>
      <c r="AV2676" s="152"/>
      <c r="AW2676" s="152"/>
      <c r="AX2676" s="152"/>
      <c r="AY2676" s="152"/>
      <c r="AZ2676" s="152"/>
      <c r="BA2676" s="152"/>
      <c r="BB2676" s="152"/>
      <c r="BC2676" s="152"/>
      <c r="BD2676" s="152"/>
      <c r="BE2676" s="152"/>
      <c r="BF2676" s="152"/>
      <c r="BG2676" s="152"/>
      <c r="BH2676" s="152"/>
      <c r="BI2676" s="152"/>
      <c r="BJ2676" s="152"/>
      <c r="BK2676" s="152"/>
      <c r="BL2676" s="152"/>
      <c r="BM2676" s="152"/>
      <c r="BN2676" s="152"/>
      <c r="BO2676" s="152"/>
      <c r="BP2676" s="152"/>
      <c r="BQ2676" s="152"/>
      <c r="BR2676" s="152"/>
      <c r="BS2676" s="152"/>
      <c r="BT2676" s="152"/>
      <c r="BU2676" s="152"/>
      <c r="BV2676" s="152"/>
      <c r="BW2676" s="152"/>
      <c r="BX2676" s="152"/>
      <c r="BY2676" s="152"/>
      <c r="BZ2676" s="152"/>
      <c r="CA2676" s="152"/>
      <c r="CB2676" s="152"/>
      <c r="CC2676" s="152"/>
      <c r="CD2676" s="152"/>
      <c r="CE2676" s="152"/>
      <c r="CF2676" s="152"/>
      <c r="CG2676" s="152"/>
      <c r="CH2676" s="152"/>
      <c r="CI2676" s="152"/>
      <c r="CJ2676" s="152"/>
      <c r="CK2676" s="152"/>
      <c r="CL2676" s="152"/>
      <c r="CM2676" s="152"/>
      <c r="CN2676" s="152"/>
      <c r="CO2676" s="152"/>
      <c r="CP2676" s="152"/>
      <c r="CQ2676" s="152"/>
      <c r="CR2676" s="152"/>
      <c r="CS2676" s="152"/>
      <c r="CT2676" s="152"/>
      <c r="CU2676" s="152"/>
      <c r="CV2676" s="152"/>
      <c r="CW2676" s="152"/>
      <c r="CX2676" s="152"/>
      <c r="CY2676" s="152"/>
      <c r="CZ2676" s="152"/>
      <c r="DA2676" s="152"/>
      <c r="DB2676" s="152"/>
      <c r="DC2676" s="152"/>
      <c r="DD2676" s="152"/>
      <c r="DE2676" s="152"/>
      <c r="DF2676" s="152"/>
      <c r="DG2676" s="152"/>
      <c r="DH2676" s="152"/>
      <c r="DI2676" s="152"/>
      <c r="DJ2676" s="152"/>
      <c r="DK2676" s="152"/>
      <c r="DL2676" s="152"/>
      <c r="DM2676" s="152"/>
      <c r="DN2676" s="152"/>
      <c r="DO2676" s="152"/>
      <c r="DP2676" s="152"/>
      <c r="DQ2676" s="152"/>
      <c r="DR2676" s="152"/>
      <c r="DS2676" s="152"/>
      <c r="DT2676" s="152"/>
      <c r="DU2676" s="152"/>
      <c r="DV2676" s="152"/>
      <c r="DW2676" s="152"/>
      <c r="DX2676" s="152"/>
      <c r="DY2676" s="152"/>
      <c r="DZ2676" s="152"/>
      <c r="EA2676" s="152"/>
      <c r="EB2676" s="152"/>
      <c r="EC2676" s="152"/>
      <c r="ED2676" s="152"/>
      <c r="EE2676" s="152"/>
      <c r="EF2676" s="152"/>
      <c r="EG2676" s="152"/>
      <c r="EH2676" s="152"/>
      <c r="EI2676" s="152"/>
      <c r="EJ2676" s="152"/>
      <c r="EK2676" s="152"/>
      <c r="EL2676" s="152"/>
      <c r="EM2676" s="152"/>
      <c r="EN2676" s="152"/>
      <c r="EO2676" s="152"/>
      <c r="EP2676" s="152"/>
      <c r="EQ2676" s="152"/>
      <c r="ER2676" s="152"/>
      <c r="ES2676" s="152"/>
      <c r="ET2676" s="152"/>
      <c r="EU2676" s="152"/>
      <c r="EV2676" s="152"/>
      <c r="EW2676" s="152"/>
      <c r="EX2676" s="152"/>
      <c r="EY2676" s="152"/>
      <c r="EZ2676" s="152"/>
      <c r="FA2676" s="152"/>
      <c r="FB2676" s="152"/>
      <c r="FC2676" s="152"/>
      <c r="FD2676" s="152"/>
      <c r="FE2676" s="152"/>
      <c r="FF2676" s="152"/>
      <c r="FG2676" s="152"/>
      <c r="FH2676" s="152"/>
      <c r="FI2676" s="152"/>
      <c r="FJ2676" s="152"/>
      <c r="FK2676" s="152"/>
      <c r="FL2676" s="152"/>
      <c r="FM2676" s="152"/>
      <c r="FN2676" s="152"/>
      <c r="FO2676" s="152"/>
      <c r="FP2676" s="152"/>
      <c r="FQ2676" s="152"/>
      <c r="FR2676" s="152"/>
      <c r="FS2676" s="152"/>
      <c r="FT2676" s="152"/>
      <c r="FU2676" s="152"/>
      <c r="FV2676" s="152"/>
      <c r="FW2676" s="152"/>
      <c r="FX2676" s="152"/>
      <c r="FY2676" s="152"/>
      <c r="FZ2676" s="152"/>
      <c r="GA2676" s="152"/>
      <c r="GB2676" s="152"/>
      <c r="GC2676" s="152"/>
      <c r="GD2676" s="152"/>
      <c r="GE2676" s="152"/>
      <c r="GF2676" s="152"/>
      <c r="GG2676" s="152"/>
      <c r="GH2676" s="152"/>
      <c r="GI2676" s="152"/>
      <c r="GJ2676" s="152"/>
      <c r="GK2676" s="152"/>
      <c r="GL2676" s="152"/>
      <c r="GM2676" s="152"/>
      <c r="GN2676" s="152"/>
      <c r="GO2676" s="152"/>
      <c r="GP2676" s="152"/>
      <c r="GQ2676" s="152"/>
      <c r="GR2676" s="152"/>
      <c r="GS2676" s="152"/>
      <c r="GT2676" s="152"/>
      <c r="GU2676" s="152"/>
      <c r="GV2676" s="152"/>
      <c r="GW2676" s="152"/>
      <c r="GX2676" s="152"/>
      <c r="GY2676" s="152"/>
      <c r="GZ2676" s="152"/>
      <c r="HA2676" s="152"/>
      <c r="HB2676" s="152"/>
      <c r="HC2676" s="152"/>
      <c r="HD2676" s="152"/>
      <c r="HE2676" s="152"/>
      <c r="HF2676" s="152"/>
    </row>
    <row r="2677" spans="1:214" x14ac:dyDescent="0.35">
      <c r="A2677" s="270">
        <f>A2674+1</f>
        <v>2</v>
      </c>
      <c r="B2677" s="278">
        <v>4444</v>
      </c>
      <c r="C2677" s="278" t="s">
        <v>696</v>
      </c>
      <c r="D2677" s="273">
        <v>725.1</v>
      </c>
      <c r="E2677" s="273" t="s">
        <v>74</v>
      </c>
      <c r="F2677" s="282">
        <v>2</v>
      </c>
      <c r="G2677" s="270" t="s">
        <v>71</v>
      </c>
      <c r="H2677" s="136" t="s">
        <v>72</v>
      </c>
      <c r="I2677" s="181">
        <f>I2678+I2679</f>
        <v>5123556.5999999996</v>
      </c>
      <c r="J2677" s="181">
        <f>J2678+J2679</f>
        <v>7066</v>
      </c>
      <c r="K2677" s="181">
        <f>K2678+K2679</f>
        <v>7066</v>
      </c>
      <c r="L2677" s="152"/>
      <c r="M2677" s="152"/>
      <c r="N2677" s="152"/>
      <c r="O2677" s="152"/>
      <c r="P2677" s="152"/>
      <c r="Q2677" s="152"/>
      <c r="R2677" s="152"/>
      <c r="S2677" s="152"/>
      <c r="T2677" s="152"/>
      <c r="U2677" s="152"/>
      <c r="V2677" s="152"/>
      <c r="W2677" s="152"/>
      <c r="X2677" s="152"/>
      <c r="Y2677" s="152"/>
      <c r="Z2677" s="152"/>
      <c r="AA2677" s="152"/>
      <c r="AB2677" s="152"/>
      <c r="AC2677" s="152"/>
      <c r="AD2677" s="152"/>
      <c r="AE2677" s="152"/>
      <c r="AF2677" s="152"/>
      <c r="AG2677" s="152"/>
      <c r="AH2677" s="152"/>
      <c r="AI2677" s="152"/>
      <c r="AJ2677" s="152"/>
      <c r="AK2677" s="152"/>
      <c r="AL2677" s="152"/>
      <c r="AM2677" s="152"/>
      <c r="AN2677" s="152"/>
      <c r="AO2677" s="152"/>
      <c r="AP2677" s="152"/>
      <c r="AQ2677" s="152"/>
      <c r="AR2677" s="152"/>
      <c r="AS2677" s="152"/>
      <c r="AT2677" s="152"/>
      <c r="AU2677" s="152"/>
      <c r="AV2677" s="152"/>
      <c r="AW2677" s="152"/>
      <c r="AX2677" s="152"/>
      <c r="AY2677" s="152"/>
      <c r="AZ2677" s="152"/>
      <c r="BA2677" s="152"/>
      <c r="BB2677" s="152"/>
      <c r="BC2677" s="152"/>
      <c r="BD2677" s="152"/>
      <c r="BE2677" s="152"/>
      <c r="BF2677" s="152"/>
      <c r="BG2677" s="152"/>
      <c r="BH2677" s="152"/>
      <c r="BI2677" s="152"/>
      <c r="BJ2677" s="152"/>
      <c r="BK2677" s="152"/>
      <c r="BL2677" s="152"/>
      <c r="BM2677" s="152"/>
      <c r="BN2677" s="152"/>
      <c r="BO2677" s="152"/>
      <c r="BP2677" s="152"/>
      <c r="BQ2677" s="152"/>
      <c r="BR2677" s="152"/>
      <c r="BS2677" s="152"/>
      <c r="BT2677" s="152"/>
      <c r="BU2677" s="152"/>
      <c r="BV2677" s="152"/>
      <c r="BW2677" s="152"/>
      <c r="BX2677" s="152"/>
      <c r="BY2677" s="152"/>
      <c r="BZ2677" s="152"/>
      <c r="CA2677" s="152"/>
      <c r="CB2677" s="152"/>
      <c r="CC2677" s="152"/>
      <c r="CD2677" s="152"/>
      <c r="CE2677" s="152"/>
      <c r="CF2677" s="152"/>
      <c r="CG2677" s="152"/>
      <c r="CH2677" s="152"/>
      <c r="CI2677" s="152"/>
      <c r="CJ2677" s="152"/>
      <c r="CK2677" s="152"/>
      <c r="CL2677" s="152"/>
      <c r="CM2677" s="152"/>
      <c r="CN2677" s="152"/>
      <c r="CO2677" s="152"/>
      <c r="CP2677" s="152"/>
      <c r="CQ2677" s="152"/>
      <c r="CR2677" s="152"/>
      <c r="CS2677" s="152"/>
      <c r="CT2677" s="152"/>
      <c r="CU2677" s="152"/>
      <c r="CV2677" s="152"/>
      <c r="CW2677" s="152"/>
      <c r="CX2677" s="152"/>
      <c r="CY2677" s="152"/>
      <c r="CZ2677" s="152"/>
      <c r="DA2677" s="152"/>
      <c r="DB2677" s="152"/>
      <c r="DC2677" s="152"/>
      <c r="DD2677" s="152"/>
      <c r="DE2677" s="152"/>
      <c r="DF2677" s="152"/>
      <c r="DG2677" s="152"/>
      <c r="DH2677" s="152"/>
      <c r="DI2677" s="152"/>
      <c r="DJ2677" s="152"/>
      <c r="DK2677" s="152"/>
      <c r="DL2677" s="152"/>
      <c r="DM2677" s="152"/>
      <c r="DN2677" s="152"/>
      <c r="DO2677" s="152"/>
      <c r="DP2677" s="152"/>
      <c r="DQ2677" s="152"/>
      <c r="DR2677" s="152"/>
      <c r="DS2677" s="152"/>
      <c r="DT2677" s="152"/>
      <c r="DU2677" s="152"/>
      <c r="DV2677" s="152"/>
      <c r="DW2677" s="152"/>
      <c r="DX2677" s="152"/>
      <c r="DY2677" s="152"/>
      <c r="DZ2677" s="152"/>
      <c r="EA2677" s="152"/>
      <c r="EB2677" s="152"/>
      <c r="EC2677" s="152"/>
      <c r="ED2677" s="152"/>
      <c r="EE2677" s="152"/>
      <c r="EF2677" s="152"/>
      <c r="EG2677" s="152"/>
      <c r="EH2677" s="152"/>
      <c r="EI2677" s="152"/>
      <c r="EJ2677" s="152"/>
      <c r="EK2677" s="152"/>
      <c r="EL2677" s="152"/>
      <c r="EM2677" s="152"/>
      <c r="EN2677" s="152"/>
      <c r="EO2677" s="152"/>
      <c r="EP2677" s="152"/>
      <c r="EQ2677" s="152"/>
      <c r="ER2677" s="152"/>
      <c r="ES2677" s="152"/>
      <c r="ET2677" s="152"/>
      <c r="EU2677" s="152"/>
      <c r="EV2677" s="152"/>
      <c r="EW2677" s="152"/>
      <c r="EX2677" s="152"/>
      <c r="EY2677" s="152"/>
      <c r="EZ2677" s="152"/>
      <c r="FA2677" s="152"/>
      <c r="FB2677" s="152"/>
      <c r="FC2677" s="152"/>
      <c r="FD2677" s="152"/>
      <c r="FE2677" s="152"/>
      <c r="FF2677" s="152"/>
      <c r="FG2677" s="152"/>
      <c r="FH2677" s="152"/>
      <c r="FI2677" s="152"/>
      <c r="FJ2677" s="152"/>
      <c r="FK2677" s="152"/>
      <c r="FL2677" s="152"/>
      <c r="FM2677" s="152"/>
      <c r="FN2677" s="152"/>
      <c r="FO2677" s="152"/>
      <c r="FP2677" s="152"/>
      <c r="FQ2677" s="152"/>
      <c r="FR2677" s="152"/>
      <c r="FS2677" s="152"/>
      <c r="FT2677" s="152"/>
      <c r="FU2677" s="152"/>
      <c r="FV2677" s="152"/>
      <c r="FW2677" s="152"/>
      <c r="FX2677" s="152"/>
      <c r="FY2677" s="152"/>
      <c r="FZ2677" s="152"/>
      <c r="GA2677" s="152"/>
      <c r="GB2677" s="152"/>
      <c r="GC2677" s="152"/>
      <c r="GD2677" s="152"/>
      <c r="GE2677" s="152"/>
      <c r="GF2677" s="152"/>
      <c r="GG2677" s="152"/>
      <c r="GH2677" s="152"/>
      <c r="GI2677" s="152"/>
      <c r="GJ2677" s="152"/>
      <c r="GK2677" s="152"/>
      <c r="GL2677" s="152"/>
      <c r="GM2677" s="152"/>
      <c r="GN2677" s="152"/>
      <c r="GO2677" s="152"/>
      <c r="GP2677" s="152"/>
      <c r="GQ2677" s="152"/>
      <c r="GR2677" s="152"/>
      <c r="GS2677" s="152"/>
      <c r="GT2677" s="152"/>
      <c r="GU2677" s="152"/>
      <c r="GV2677" s="152"/>
      <c r="GW2677" s="152"/>
      <c r="GX2677" s="152"/>
      <c r="GY2677" s="152"/>
      <c r="GZ2677" s="152"/>
      <c r="HA2677" s="152"/>
      <c r="HB2677" s="152"/>
      <c r="HC2677" s="152"/>
      <c r="HD2677" s="152"/>
      <c r="HE2677" s="152"/>
      <c r="HF2677" s="152"/>
    </row>
    <row r="2678" spans="1:214" x14ac:dyDescent="0.35">
      <c r="A2678" s="271">
        <v>29</v>
      </c>
      <c r="B2678" s="279"/>
      <c r="C2678" s="279"/>
      <c r="D2678" s="274"/>
      <c r="E2678" s="274"/>
      <c r="F2678" s="283"/>
      <c r="G2678" s="271"/>
      <c r="H2678" s="136" t="s">
        <v>73</v>
      </c>
      <c r="I2678" s="181">
        <f>K2678*D2677</f>
        <v>5016241.8</v>
      </c>
      <c r="J2678" s="181">
        <f>I2678/D2677</f>
        <v>6918</v>
      </c>
      <c r="K2678" s="181">
        <v>6918</v>
      </c>
      <c r="L2678" s="152"/>
      <c r="M2678" s="152"/>
      <c r="N2678" s="152"/>
      <c r="O2678" s="152"/>
      <c r="P2678" s="152"/>
      <c r="Q2678" s="152"/>
      <c r="R2678" s="152"/>
      <c r="S2678" s="152"/>
      <c r="T2678" s="152"/>
      <c r="U2678" s="152"/>
      <c r="V2678" s="152"/>
      <c r="W2678" s="152"/>
      <c r="X2678" s="152"/>
      <c r="Y2678" s="152"/>
      <c r="Z2678" s="152"/>
      <c r="AA2678" s="152"/>
      <c r="AB2678" s="152"/>
      <c r="AC2678" s="152"/>
      <c r="AD2678" s="152"/>
      <c r="AE2678" s="152"/>
      <c r="AF2678" s="152"/>
      <c r="AG2678" s="152"/>
      <c r="AH2678" s="152"/>
      <c r="AI2678" s="152"/>
      <c r="AJ2678" s="152"/>
      <c r="AK2678" s="152"/>
      <c r="AL2678" s="152"/>
      <c r="AM2678" s="152"/>
      <c r="AN2678" s="152"/>
      <c r="AO2678" s="152"/>
      <c r="AP2678" s="152"/>
      <c r="AQ2678" s="152"/>
      <c r="AR2678" s="152"/>
      <c r="AS2678" s="152"/>
      <c r="AT2678" s="152"/>
      <c r="AU2678" s="152"/>
      <c r="AV2678" s="152"/>
      <c r="AW2678" s="152"/>
      <c r="AX2678" s="152"/>
      <c r="AY2678" s="152"/>
      <c r="AZ2678" s="152"/>
      <c r="BA2678" s="152"/>
      <c r="BB2678" s="152"/>
      <c r="BC2678" s="152"/>
      <c r="BD2678" s="152"/>
      <c r="BE2678" s="152"/>
      <c r="BF2678" s="152"/>
      <c r="BG2678" s="152"/>
      <c r="BH2678" s="152"/>
      <c r="BI2678" s="152"/>
      <c r="BJ2678" s="152"/>
      <c r="BK2678" s="152"/>
      <c r="BL2678" s="152"/>
      <c r="BM2678" s="152"/>
      <c r="BN2678" s="152"/>
      <c r="BO2678" s="152"/>
      <c r="BP2678" s="152"/>
      <c r="BQ2678" s="152"/>
      <c r="BR2678" s="152"/>
      <c r="BS2678" s="152"/>
      <c r="BT2678" s="152"/>
      <c r="BU2678" s="152"/>
      <c r="BV2678" s="152"/>
      <c r="BW2678" s="152"/>
      <c r="BX2678" s="152"/>
      <c r="BY2678" s="152"/>
      <c r="BZ2678" s="152"/>
      <c r="CA2678" s="152"/>
      <c r="CB2678" s="152"/>
      <c r="CC2678" s="152"/>
      <c r="CD2678" s="152"/>
      <c r="CE2678" s="152"/>
      <c r="CF2678" s="152"/>
      <c r="CG2678" s="152"/>
      <c r="CH2678" s="152"/>
      <c r="CI2678" s="152"/>
      <c r="CJ2678" s="152"/>
      <c r="CK2678" s="152"/>
      <c r="CL2678" s="152"/>
      <c r="CM2678" s="152"/>
      <c r="CN2678" s="152"/>
      <c r="CO2678" s="152"/>
      <c r="CP2678" s="152"/>
      <c r="CQ2678" s="152"/>
      <c r="CR2678" s="152"/>
      <c r="CS2678" s="152"/>
      <c r="CT2678" s="152"/>
      <c r="CU2678" s="152"/>
      <c r="CV2678" s="152"/>
      <c r="CW2678" s="152"/>
      <c r="CX2678" s="152"/>
      <c r="CY2678" s="152"/>
      <c r="CZ2678" s="152"/>
      <c r="DA2678" s="152"/>
      <c r="DB2678" s="152"/>
      <c r="DC2678" s="152"/>
      <c r="DD2678" s="152"/>
      <c r="DE2678" s="152"/>
      <c r="DF2678" s="152"/>
      <c r="DG2678" s="152"/>
      <c r="DH2678" s="152"/>
      <c r="DI2678" s="152"/>
      <c r="DJ2678" s="152"/>
      <c r="DK2678" s="152"/>
      <c r="DL2678" s="152"/>
      <c r="DM2678" s="152"/>
      <c r="DN2678" s="152"/>
      <c r="DO2678" s="152"/>
      <c r="DP2678" s="152"/>
      <c r="DQ2678" s="152"/>
      <c r="DR2678" s="152"/>
      <c r="DS2678" s="152"/>
      <c r="DT2678" s="152"/>
      <c r="DU2678" s="152"/>
      <c r="DV2678" s="152"/>
      <c r="DW2678" s="152"/>
      <c r="DX2678" s="152"/>
      <c r="DY2678" s="152"/>
      <c r="DZ2678" s="152"/>
      <c r="EA2678" s="152"/>
      <c r="EB2678" s="152"/>
      <c r="EC2678" s="152"/>
      <c r="ED2678" s="152"/>
      <c r="EE2678" s="152"/>
      <c r="EF2678" s="152"/>
      <c r="EG2678" s="152"/>
      <c r="EH2678" s="152"/>
      <c r="EI2678" s="152"/>
      <c r="EJ2678" s="152"/>
      <c r="EK2678" s="152"/>
      <c r="EL2678" s="152"/>
      <c r="EM2678" s="152"/>
      <c r="EN2678" s="152"/>
      <c r="EO2678" s="152"/>
      <c r="EP2678" s="152"/>
      <c r="EQ2678" s="152"/>
      <c r="ER2678" s="152"/>
      <c r="ES2678" s="152"/>
      <c r="ET2678" s="152"/>
      <c r="EU2678" s="152"/>
      <c r="EV2678" s="152"/>
      <c r="EW2678" s="152"/>
      <c r="EX2678" s="152"/>
      <c r="EY2678" s="152"/>
      <c r="EZ2678" s="152"/>
      <c r="FA2678" s="152"/>
      <c r="FB2678" s="152"/>
      <c r="FC2678" s="152"/>
      <c r="FD2678" s="152"/>
      <c r="FE2678" s="152"/>
      <c r="FF2678" s="152"/>
      <c r="FG2678" s="152"/>
      <c r="FH2678" s="152"/>
      <c r="FI2678" s="152"/>
      <c r="FJ2678" s="152"/>
      <c r="FK2678" s="152"/>
      <c r="FL2678" s="152"/>
      <c r="FM2678" s="152"/>
      <c r="FN2678" s="152"/>
      <c r="FO2678" s="152"/>
      <c r="FP2678" s="152"/>
      <c r="FQ2678" s="152"/>
      <c r="FR2678" s="152"/>
      <c r="FS2678" s="152"/>
      <c r="FT2678" s="152"/>
      <c r="FU2678" s="152"/>
      <c r="FV2678" s="152"/>
      <c r="FW2678" s="152"/>
      <c r="FX2678" s="152"/>
      <c r="FY2678" s="152"/>
      <c r="FZ2678" s="152"/>
      <c r="GA2678" s="152"/>
      <c r="GB2678" s="152"/>
      <c r="GC2678" s="152"/>
      <c r="GD2678" s="152"/>
      <c r="GE2678" s="152"/>
      <c r="GF2678" s="152"/>
      <c r="GG2678" s="152"/>
      <c r="GH2678" s="152"/>
      <c r="GI2678" s="152"/>
      <c r="GJ2678" s="152"/>
      <c r="GK2678" s="152"/>
      <c r="GL2678" s="152"/>
      <c r="GM2678" s="152"/>
      <c r="GN2678" s="152"/>
      <c r="GO2678" s="152"/>
      <c r="GP2678" s="152"/>
      <c r="GQ2678" s="152"/>
      <c r="GR2678" s="152"/>
      <c r="GS2678" s="152"/>
      <c r="GT2678" s="152"/>
      <c r="GU2678" s="152"/>
      <c r="GV2678" s="152"/>
      <c r="GW2678" s="152"/>
      <c r="GX2678" s="152"/>
      <c r="GY2678" s="152"/>
      <c r="GZ2678" s="152"/>
      <c r="HA2678" s="152"/>
      <c r="HB2678" s="152"/>
      <c r="HC2678" s="152"/>
      <c r="HD2678" s="152"/>
      <c r="HE2678" s="152"/>
      <c r="HF2678" s="152"/>
    </row>
    <row r="2679" spans="1:214" x14ac:dyDescent="0.35">
      <c r="A2679" s="272">
        <v>30</v>
      </c>
      <c r="B2679" s="285"/>
      <c r="C2679" s="285"/>
      <c r="D2679" s="275"/>
      <c r="E2679" s="275"/>
      <c r="F2679" s="284"/>
      <c r="G2679" s="272"/>
      <c r="H2679" s="136" t="s">
        <v>75</v>
      </c>
      <c r="I2679" s="181">
        <f>K2679*D2677</f>
        <v>107314.8</v>
      </c>
      <c r="J2679" s="181">
        <f>I2679/D2677</f>
        <v>148</v>
      </c>
      <c r="K2679" s="181">
        <v>148</v>
      </c>
      <c r="L2679" s="152"/>
      <c r="M2679" s="152"/>
      <c r="N2679" s="152"/>
      <c r="O2679" s="152"/>
      <c r="P2679" s="152"/>
      <c r="Q2679" s="152"/>
      <c r="R2679" s="152"/>
      <c r="S2679" s="152"/>
      <c r="T2679" s="152"/>
      <c r="U2679" s="152"/>
      <c r="V2679" s="152"/>
      <c r="W2679" s="152"/>
      <c r="X2679" s="152"/>
      <c r="Y2679" s="152"/>
      <c r="Z2679" s="152"/>
      <c r="AA2679" s="152"/>
      <c r="AB2679" s="152"/>
      <c r="AC2679" s="152"/>
      <c r="AD2679" s="152"/>
      <c r="AE2679" s="152"/>
      <c r="AF2679" s="152"/>
      <c r="AG2679" s="152"/>
      <c r="AH2679" s="152"/>
      <c r="AI2679" s="152"/>
      <c r="AJ2679" s="152"/>
      <c r="AK2679" s="152"/>
      <c r="AL2679" s="152"/>
      <c r="AM2679" s="152"/>
      <c r="AN2679" s="152"/>
      <c r="AO2679" s="152"/>
      <c r="AP2679" s="152"/>
      <c r="AQ2679" s="152"/>
      <c r="AR2679" s="152"/>
      <c r="AS2679" s="152"/>
      <c r="AT2679" s="152"/>
      <c r="AU2679" s="152"/>
      <c r="AV2679" s="152"/>
      <c r="AW2679" s="152"/>
      <c r="AX2679" s="152"/>
      <c r="AY2679" s="152"/>
      <c r="AZ2679" s="152"/>
      <c r="BA2679" s="152"/>
      <c r="BB2679" s="152"/>
      <c r="BC2679" s="152"/>
      <c r="BD2679" s="152"/>
      <c r="BE2679" s="152"/>
      <c r="BF2679" s="152"/>
      <c r="BG2679" s="152"/>
      <c r="BH2679" s="152"/>
      <c r="BI2679" s="152"/>
      <c r="BJ2679" s="152"/>
      <c r="BK2679" s="152"/>
      <c r="BL2679" s="152"/>
      <c r="BM2679" s="152"/>
      <c r="BN2679" s="152"/>
      <c r="BO2679" s="152"/>
      <c r="BP2679" s="152"/>
      <c r="BQ2679" s="152"/>
      <c r="BR2679" s="152"/>
      <c r="BS2679" s="152"/>
      <c r="BT2679" s="152"/>
      <c r="BU2679" s="152"/>
      <c r="BV2679" s="152"/>
      <c r="BW2679" s="152"/>
      <c r="BX2679" s="152"/>
      <c r="BY2679" s="152"/>
      <c r="BZ2679" s="152"/>
      <c r="CA2679" s="152"/>
      <c r="CB2679" s="152"/>
      <c r="CC2679" s="152"/>
      <c r="CD2679" s="152"/>
      <c r="CE2679" s="152"/>
      <c r="CF2679" s="152"/>
      <c r="CG2679" s="152"/>
      <c r="CH2679" s="152"/>
      <c r="CI2679" s="152"/>
      <c r="CJ2679" s="152"/>
      <c r="CK2679" s="152"/>
      <c r="CL2679" s="152"/>
      <c r="CM2679" s="152"/>
      <c r="CN2679" s="152"/>
      <c r="CO2679" s="152"/>
      <c r="CP2679" s="152"/>
      <c r="CQ2679" s="152"/>
      <c r="CR2679" s="152"/>
      <c r="CS2679" s="152"/>
      <c r="CT2679" s="152"/>
      <c r="CU2679" s="152"/>
      <c r="CV2679" s="152"/>
      <c r="CW2679" s="152"/>
      <c r="CX2679" s="152"/>
      <c r="CY2679" s="152"/>
      <c r="CZ2679" s="152"/>
      <c r="DA2679" s="152"/>
      <c r="DB2679" s="152"/>
      <c r="DC2679" s="152"/>
      <c r="DD2679" s="152"/>
      <c r="DE2679" s="152"/>
      <c r="DF2679" s="152"/>
      <c r="DG2679" s="152"/>
      <c r="DH2679" s="152"/>
      <c r="DI2679" s="152"/>
      <c r="DJ2679" s="152"/>
      <c r="DK2679" s="152"/>
      <c r="DL2679" s="152"/>
      <c r="DM2679" s="152"/>
      <c r="DN2679" s="152"/>
      <c r="DO2679" s="152"/>
      <c r="DP2679" s="152"/>
      <c r="DQ2679" s="152"/>
      <c r="DR2679" s="152"/>
      <c r="DS2679" s="152"/>
      <c r="DT2679" s="152"/>
      <c r="DU2679" s="152"/>
      <c r="DV2679" s="152"/>
      <c r="DW2679" s="152"/>
      <c r="DX2679" s="152"/>
      <c r="DY2679" s="152"/>
      <c r="DZ2679" s="152"/>
      <c r="EA2679" s="152"/>
      <c r="EB2679" s="152"/>
      <c r="EC2679" s="152"/>
      <c r="ED2679" s="152"/>
      <c r="EE2679" s="152"/>
      <c r="EF2679" s="152"/>
      <c r="EG2679" s="152"/>
      <c r="EH2679" s="152"/>
      <c r="EI2679" s="152"/>
      <c r="EJ2679" s="152"/>
      <c r="EK2679" s="152"/>
      <c r="EL2679" s="152"/>
      <c r="EM2679" s="152"/>
      <c r="EN2679" s="152"/>
      <c r="EO2679" s="152"/>
      <c r="EP2679" s="152"/>
      <c r="EQ2679" s="152"/>
      <c r="ER2679" s="152"/>
      <c r="ES2679" s="152"/>
      <c r="ET2679" s="152"/>
      <c r="EU2679" s="152"/>
      <c r="EV2679" s="152"/>
      <c r="EW2679" s="152"/>
      <c r="EX2679" s="152"/>
      <c r="EY2679" s="152"/>
      <c r="EZ2679" s="152"/>
      <c r="FA2679" s="152"/>
      <c r="FB2679" s="152"/>
      <c r="FC2679" s="152"/>
      <c r="FD2679" s="152"/>
      <c r="FE2679" s="152"/>
      <c r="FF2679" s="152"/>
      <c r="FG2679" s="152"/>
      <c r="FH2679" s="152"/>
      <c r="FI2679" s="152"/>
      <c r="FJ2679" s="152"/>
      <c r="FK2679" s="152"/>
      <c r="FL2679" s="152"/>
      <c r="FM2679" s="152"/>
      <c r="FN2679" s="152"/>
      <c r="FO2679" s="152"/>
      <c r="FP2679" s="152"/>
      <c r="FQ2679" s="152"/>
      <c r="FR2679" s="152"/>
      <c r="FS2679" s="152"/>
      <c r="FT2679" s="152"/>
      <c r="FU2679" s="152"/>
      <c r="FV2679" s="152"/>
      <c r="FW2679" s="152"/>
      <c r="FX2679" s="152"/>
      <c r="FY2679" s="152"/>
      <c r="FZ2679" s="152"/>
      <c r="GA2679" s="152"/>
      <c r="GB2679" s="152"/>
      <c r="GC2679" s="152"/>
      <c r="GD2679" s="152"/>
      <c r="GE2679" s="152"/>
      <c r="GF2679" s="152"/>
      <c r="GG2679" s="152"/>
      <c r="GH2679" s="152"/>
      <c r="GI2679" s="152"/>
      <c r="GJ2679" s="152"/>
      <c r="GK2679" s="152"/>
      <c r="GL2679" s="152"/>
      <c r="GM2679" s="152"/>
      <c r="GN2679" s="152"/>
      <c r="GO2679" s="152"/>
      <c r="GP2679" s="152"/>
      <c r="GQ2679" s="152"/>
      <c r="GR2679" s="152"/>
      <c r="GS2679" s="152"/>
      <c r="GT2679" s="152"/>
      <c r="GU2679" s="152"/>
      <c r="GV2679" s="152"/>
      <c r="GW2679" s="152"/>
      <c r="GX2679" s="152"/>
      <c r="GY2679" s="152"/>
      <c r="GZ2679" s="152"/>
      <c r="HA2679" s="152"/>
      <c r="HB2679" s="152"/>
      <c r="HC2679" s="152"/>
      <c r="HD2679" s="152"/>
      <c r="HE2679" s="152"/>
      <c r="HF2679" s="152"/>
    </row>
    <row r="2680" spans="1:214" x14ac:dyDescent="0.35">
      <c r="A2680" s="270">
        <f>A2677+1</f>
        <v>3</v>
      </c>
      <c r="B2680" s="278">
        <v>4516</v>
      </c>
      <c r="C2680" s="278" t="s">
        <v>684</v>
      </c>
      <c r="D2680" s="273">
        <v>704.7</v>
      </c>
      <c r="E2680" s="273" t="s">
        <v>74</v>
      </c>
      <c r="F2680" s="282">
        <v>2</v>
      </c>
      <c r="G2680" s="270" t="s">
        <v>71</v>
      </c>
      <c r="H2680" s="136" t="s">
        <v>72</v>
      </c>
      <c r="I2680" s="181">
        <f>I2681+I2682</f>
        <v>4979410.2</v>
      </c>
      <c r="J2680" s="181">
        <f>J2681+J2682</f>
        <v>7066</v>
      </c>
      <c r="K2680" s="181">
        <f>K2681+K2682</f>
        <v>7066</v>
      </c>
      <c r="L2680" s="152"/>
      <c r="M2680" s="152"/>
      <c r="N2680" s="152"/>
      <c r="O2680" s="152"/>
      <c r="P2680" s="152"/>
      <c r="Q2680" s="152"/>
      <c r="R2680" s="152"/>
      <c r="S2680" s="152"/>
      <c r="T2680" s="152"/>
      <c r="U2680" s="152"/>
      <c r="V2680" s="152"/>
      <c r="W2680" s="152"/>
      <c r="X2680" s="152"/>
      <c r="Y2680" s="152"/>
      <c r="Z2680" s="152"/>
      <c r="AA2680" s="152"/>
      <c r="AB2680" s="152"/>
      <c r="AC2680" s="152"/>
      <c r="AD2680" s="152"/>
      <c r="AE2680" s="152"/>
      <c r="AF2680" s="152"/>
      <c r="AG2680" s="152"/>
      <c r="AH2680" s="152"/>
      <c r="AI2680" s="152"/>
      <c r="AJ2680" s="152"/>
      <c r="AK2680" s="152"/>
      <c r="AL2680" s="152"/>
      <c r="AM2680" s="152"/>
      <c r="AN2680" s="152"/>
      <c r="AO2680" s="152"/>
      <c r="AP2680" s="152"/>
      <c r="AQ2680" s="152"/>
      <c r="AR2680" s="152"/>
      <c r="AS2680" s="152"/>
      <c r="AT2680" s="152"/>
      <c r="AU2680" s="152"/>
      <c r="AV2680" s="152"/>
      <c r="AW2680" s="152"/>
      <c r="AX2680" s="152"/>
      <c r="AY2680" s="152"/>
      <c r="AZ2680" s="152"/>
      <c r="BA2680" s="152"/>
      <c r="BB2680" s="152"/>
      <c r="BC2680" s="152"/>
      <c r="BD2680" s="152"/>
      <c r="BE2680" s="152"/>
      <c r="BF2680" s="152"/>
      <c r="BG2680" s="152"/>
      <c r="BH2680" s="152"/>
      <c r="BI2680" s="152"/>
      <c r="BJ2680" s="152"/>
      <c r="BK2680" s="152"/>
      <c r="BL2680" s="152"/>
      <c r="BM2680" s="152"/>
      <c r="BN2680" s="152"/>
      <c r="BO2680" s="152"/>
      <c r="BP2680" s="152"/>
      <c r="BQ2680" s="152"/>
      <c r="BR2680" s="152"/>
      <c r="BS2680" s="152"/>
      <c r="BT2680" s="152"/>
      <c r="BU2680" s="152"/>
      <c r="BV2680" s="152"/>
      <c r="BW2680" s="152"/>
      <c r="BX2680" s="152"/>
      <c r="BY2680" s="152"/>
      <c r="BZ2680" s="152"/>
      <c r="CA2680" s="152"/>
      <c r="CB2680" s="152"/>
      <c r="CC2680" s="152"/>
      <c r="CD2680" s="152"/>
      <c r="CE2680" s="152"/>
      <c r="CF2680" s="152"/>
      <c r="CG2680" s="152"/>
      <c r="CH2680" s="152"/>
      <c r="CI2680" s="152"/>
      <c r="CJ2680" s="152"/>
      <c r="CK2680" s="152"/>
      <c r="CL2680" s="152"/>
      <c r="CM2680" s="152"/>
      <c r="CN2680" s="152"/>
      <c r="CO2680" s="152"/>
      <c r="CP2680" s="152"/>
      <c r="CQ2680" s="152"/>
      <c r="CR2680" s="152"/>
      <c r="CS2680" s="152"/>
      <c r="CT2680" s="152"/>
      <c r="CU2680" s="152"/>
      <c r="CV2680" s="152"/>
      <c r="CW2680" s="152"/>
      <c r="CX2680" s="152"/>
      <c r="CY2680" s="152"/>
      <c r="CZ2680" s="152"/>
      <c r="DA2680" s="152"/>
      <c r="DB2680" s="152"/>
      <c r="DC2680" s="152"/>
      <c r="DD2680" s="152"/>
      <c r="DE2680" s="152"/>
      <c r="DF2680" s="152"/>
      <c r="DG2680" s="152"/>
      <c r="DH2680" s="152"/>
      <c r="DI2680" s="152"/>
      <c r="DJ2680" s="152"/>
      <c r="DK2680" s="152"/>
      <c r="DL2680" s="152"/>
      <c r="DM2680" s="152"/>
      <c r="DN2680" s="152"/>
      <c r="DO2680" s="152"/>
      <c r="DP2680" s="152"/>
      <c r="DQ2680" s="152"/>
      <c r="DR2680" s="152"/>
      <c r="DS2680" s="152"/>
      <c r="DT2680" s="152"/>
      <c r="DU2680" s="152"/>
      <c r="DV2680" s="152"/>
      <c r="DW2680" s="152"/>
      <c r="DX2680" s="152"/>
      <c r="DY2680" s="152"/>
      <c r="DZ2680" s="152"/>
      <c r="EA2680" s="152"/>
      <c r="EB2680" s="152"/>
      <c r="EC2680" s="152"/>
      <c r="ED2680" s="152"/>
      <c r="EE2680" s="152"/>
      <c r="EF2680" s="152"/>
      <c r="EG2680" s="152"/>
      <c r="EH2680" s="152"/>
      <c r="EI2680" s="152"/>
      <c r="EJ2680" s="152"/>
      <c r="EK2680" s="152"/>
      <c r="EL2680" s="152"/>
      <c r="EM2680" s="152"/>
      <c r="EN2680" s="152"/>
      <c r="EO2680" s="152"/>
      <c r="EP2680" s="152"/>
      <c r="EQ2680" s="152"/>
      <c r="ER2680" s="152"/>
      <c r="ES2680" s="152"/>
      <c r="ET2680" s="152"/>
      <c r="EU2680" s="152"/>
      <c r="EV2680" s="152"/>
      <c r="EW2680" s="152"/>
      <c r="EX2680" s="152"/>
      <c r="EY2680" s="152"/>
      <c r="EZ2680" s="152"/>
      <c r="FA2680" s="152"/>
      <c r="FB2680" s="152"/>
      <c r="FC2680" s="152"/>
      <c r="FD2680" s="152"/>
      <c r="FE2680" s="152"/>
      <c r="FF2680" s="152"/>
      <c r="FG2680" s="152"/>
      <c r="FH2680" s="152"/>
      <c r="FI2680" s="152"/>
      <c r="FJ2680" s="152"/>
      <c r="FK2680" s="152"/>
      <c r="FL2680" s="152"/>
      <c r="FM2680" s="152"/>
      <c r="FN2680" s="152"/>
      <c r="FO2680" s="152"/>
      <c r="FP2680" s="152"/>
      <c r="FQ2680" s="152"/>
      <c r="FR2680" s="152"/>
      <c r="FS2680" s="152"/>
      <c r="FT2680" s="152"/>
      <c r="FU2680" s="152"/>
      <c r="FV2680" s="152"/>
      <c r="FW2680" s="152"/>
      <c r="FX2680" s="152"/>
      <c r="FY2680" s="152"/>
      <c r="FZ2680" s="152"/>
      <c r="GA2680" s="152"/>
      <c r="GB2680" s="152"/>
      <c r="GC2680" s="152"/>
      <c r="GD2680" s="152"/>
      <c r="GE2680" s="152"/>
      <c r="GF2680" s="152"/>
      <c r="GG2680" s="152"/>
      <c r="GH2680" s="152"/>
      <c r="GI2680" s="152"/>
      <c r="GJ2680" s="152"/>
      <c r="GK2680" s="152"/>
      <c r="GL2680" s="152"/>
      <c r="GM2680" s="152"/>
      <c r="GN2680" s="152"/>
      <c r="GO2680" s="152"/>
      <c r="GP2680" s="152"/>
      <c r="GQ2680" s="152"/>
      <c r="GR2680" s="152"/>
      <c r="GS2680" s="152"/>
      <c r="GT2680" s="152"/>
      <c r="GU2680" s="152"/>
      <c r="GV2680" s="152"/>
      <c r="GW2680" s="152"/>
      <c r="GX2680" s="152"/>
      <c r="GY2680" s="152"/>
      <c r="GZ2680" s="152"/>
      <c r="HA2680" s="152"/>
      <c r="HB2680" s="152"/>
      <c r="HC2680" s="152"/>
      <c r="HD2680" s="152"/>
      <c r="HE2680" s="152"/>
      <c r="HF2680" s="152"/>
    </row>
    <row r="2681" spans="1:214" x14ac:dyDescent="0.35">
      <c r="A2681" s="271">
        <v>29</v>
      </c>
      <c r="B2681" s="279"/>
      <c r="C2681" s="279"/>
      <c r="D2681" s="274"/>
      <c r="E2681" s="274"/>
      <c r="F2681" s="283"/>
      <c r="G2681" s="271"/>
      <c r="H2681" s="136" t="s">
        <v>73</v>
      </c>
      <c r="I2681" s="181">
        <f>D2680*K2681</f>
        <v>4875114.5999999996</v>
      </c>
      <c r="J2681" s="181">
        <f>I2681/D2680</f>
        <v>6918</v>
      </c>
      <c r="K2681" s="181">
        <v>6918</v>
      </c>
      <c r="L2681" s="152"/>
      <c r="M2681" s="152"/>
      <c r="N2681" s="152"/>
      <c r="O2681" s="152"/>
      <c r="P2681" s="152"/>
      <c r="Q2681" s="152"/>
      <c r="R2681" s="152"/>
      <c r="S2681" s="152"/>
      <c r="T2681" s="152"/>
      <c r="U2681" s="152"/>
      <c r="V2681" s="152"/>
      <c r="W2681" s="152"/>
      <c r="X2681" s="152"/>
      <c r="Y2681" s="152"/>
      <c r="Z2681" s="152"/>
      <c r="AA2681" s="152"/>
      <c r="AB2681" s="152"/>
      <c r="AC2681" s="152"/>
      <c r="AD2681" s="152"/>
      <c r="AE2681" s="152"/>
      <c r="AF2681" s="152"/>
      <c r="AG2681" s="152"/>
      <c r="AH2681" s="152"/>
      <c r="AI2681" s="152"/>
      <c r="AJ2681" s="152"/>
      <c r="AK2681" s="152"/>
      <c r="AL2681" s="152"/>
      <c r="AM2681" s="152"/>
      <c r="AN2681" s="152"/>
      <c r="AO2681" s="152"/>
      <c r="AP2681" s="152"/>
      <c r="AQ2681" s="152"/>
      <c r="AR2681" s="152"/>
      <c r="AS2681" s="152"/>
      <c r="AT2681" s="152"/>
      <c r="AU2681" s="152"/>
      <c r="AV2681" s="152"/>
      <c r="AW2681" s="152"/>
      <c r="AX2681" s="152"/>
      <c r="AY2681" s="152"/>
      <c r="AZ2681" s="152"/>
      <c r="BA2681" s="152"/>
      <c r="BB2681" s="152"/>
      <c r="BC2681" s="152"/>
      <c r="BD2681" s="152"/>
      <c r="BE2681" s="152"/>
      <c r="BF2681" s="152"/>
      <c r="BG2681" s="152"/>
      <c r="BH2681" s="152"/>
      <c r="BI2681" s="152"/>
      <c r="BJ2681" s="152"/>
      <c r="BK2681" s="152"/>
      <c r="BL2681" s="152"/>
      <c r="BM2681" s="152"/>
      <c r="BN2681" s="152"/>
      <c r="BO2681" s="152"/>
      <c r="BP2681" s="152"/>
      <c r="BQ2681" s="152"/>
      <c r="BR2681" s="152"/>
      <c r="BS2681" s="152"/>
      <c r="BT2681" s="152"/>
      <c r="BU2681" s="152"/>
      <c r="BV2681" s="152"/>
      <c r="BW2681" s="152"/>
      <c r="BX2681" s="152"/>
      <c r="BY2681" s="152"/>
      <c r="BZ2681" s="152"/>
      <c r="CA2681" s="152"/>
      <c r="CB2681" s="152"/>
      <c r="CC2681" s="152"/>
      <c r="CD2681" s="152"/>
      <c r="CE2681" s="152"/>
      <c r="CF2681" s="152"/>
      <c r="CG2681" s="152"/>
      <c r="CH2681" s="152"/>
      <c r="CI2681" s="152"/>
      <c r="CJ2681" s="152"/>
      <c r="CK2681" s="152"/>
      <c r="CL2681" s="152"/>
      <c r="CM2681" s="152"/>
      <c r="CN2681" s="152"/>
      <c r="CO2681" s="152"/>
      <c r="CP2681" s="152"/>
      <c r="CQ2681" s="152"/>
      <c r="CR2681" s="152"/>
      <c r="CS2681" s="152"/>
      <c r="CT2681" s="152"/>
      <c r="CU2681" s="152"/>
      <c r="CV2681" s="152"/>
      <c r="CW2681" s="152"/>
      <c r="CX2681" s="152"/>
      <c r="CY2681" s="152"/>
      <c r="CZ2681" s="152"/>
      <c r="DA2681" s="152"/>
      <c r="DB2681" s="152"/>
      <c r="DC2681" s="152"/>
      <c r="DD2681" s="152"/>
      <c r="DE2681" s="152"/>
      <c r="DF2681" s="152"/>
      <c r="DG2681" s="152"/>
      <c r="DH2681" s="152"/>
      <c r="DI2681" s="152"/>
      <c r="DJ2681" s="152"/>
      <c r="DK2681" s="152"/>
      <c r="DL2681" s="152"/>
      <c r="DM2681" s="152"/>
      <c r="DN2681" s="152"/>
      <c r="DO2681" s="152"/>
      <c r="DP2681" s="152"/>
      <c r="DQ2681" s="152"/>
      <c r="DR2681" s="152"/>
      <c r="DS2681" s="152"/>
      <c r="DT2681" s="152"/>
      <c r="DU2681" s="152"/>
      <c r="DV2681" s="152"/>
      <c r="DW2681" s="152"/>
      <c r="DX2681" s="152"/>
      <c r="DY2681" s="152"/>
      <c r="DZ2681" s="152"/>
      <c r="EA2681" s="152"/>
      <c r="EB2681" s="152"/>
      <c r="EC2681" s="152"/>
      <c r="ED2681" s="152"/>
      <c r="EE2681" s="152"/>
      <c r="EF2681" s="152"/>
      <c r="EG2681" s="152"/>
      <c r="EH2681" s="152"/>
      <c r="EI2681" s="152"/>
      <c r="EJ2681" s="152"/>
      <c r="EK2681" s="152"/>
      <c r="EL2681" s="152"/>
      <c r="EM2681" s="152"/>
      <c r="EN2681" s="152"/>
      <c r="EO2681" s="152"/>
      <c r="EP2681" s="152"/>
      <c r="EQ2681" s="152"/>
      <c r="ER2681" s="152"/>
      <c r="ES2681" s="152"/>
      <c r="ET2681" s="152"/>
      <c r="EU2681" s="152"/>
      <c r="EV2681" s="152"/>
      <c r="EW2681" s="152"/>
      <c r="EX2681" s="152"/>
      <c r="EY2681" s="152"/>
      <c r="EZ2681" s="152"/>
      <c r="FA2681" s="152"/>
      <c r="FB2681" s="152"/>
      <c r="FC2681" s="152"/>
      <c r="FD2681" s="152"/>
      <c r="FE2681" s="152"/>
      <c r="FF2681" s="152"/>
      <c r="FG2681" s="152"/>
      <c r="FH2681" s="152"/>
      <c r="FI2681" s="152"/>
      <c r="FJ2681" s="152"/>
      <c r="FK2681" s="152"/>
      <c r="FL2681" s="152"/>
      <c r="FM2681" s="152"/>
      <c r="FN2681" s="152"/>
      <c r="FO2681" s="152"/>
      <c r="FP2681" s="152"/>
      <c r="FQ2681" s="152"/>
      <c r="FR2681" s="152"/>
      <c r="FS2681" s="152"/>
      <c r="FT2681" s="152"/>
      <c r="FU2681" s="152"/>
      <c r="FV2681" s="152"/>
      <c r="FW2681" s="152"/>
      <c r="FX2681" s="152"/>
      <c r="FY2681" s="152"/>
      <c r="FZ2681" s="152"/>
      <c r="GA2681" s="152"/>
      <c r="GB2681" s="152"/>
      <c r="GC2681" s="152"/>
      <c r="GD2681" s="152"/>
      <c r="GE2681" s="152"/>
      <c r="GF2681" s="152"/>
      <c r="GG2681" s="152"/>
      <c r="GH2681" s="152"/>
      <c r="GI2681" s="152"/>
      <c r="GJ2681" s="152"/>
      <c r="GK2681" s="152"/>
      <c r="GL2681" s="152"/>
      <c r="GM2681" s="152"/>
      <c r="GN2681" s="152"/>
      <c r="GO2681" s="152"/>
      <c r="GP2681" s="152"/>
      <c r="GQ2681" s="152"/>
      <c r="GR2681" s="152"/>
      <c r="GS2681" s="152"/>
      <c r="GT2681" s="152"/>
      <c r="GU2681" s="152"/>
      <c r="GV2681" s="152"/>
      <c r="GW2681" s="152"/>
      <c r="GX2681" s="152"/>
      <c r="GY2681" s="152"/>
      <c r="GZ2681" s="152"/>
      <c r="HA2681" s="152"/>
      <c r="HB2681" s="152"/>
      <c r="HC2681" s="152"/>
      <c r="HD2681" s="152"/>
      <c r="HE2681" s="152"/>
      <c r="HF2681" s="152"/>
    </row>
    <row r="2682" spans="1:214" x14ac:dyDescent="0.35">
      <c r="A2682" s="272">
        <v>30</v>
      </c>
      <c r="B2682" s="285"/>
      <c r="C2682" s="285"/>
      <c r="D2682" s="275"/>
      <c r="E2682" s="275"/>
      <c r="F2682" s="284"/>
      <c r="G2682" s="272"/>
      <c r="H2682" s="136" t="s">
        <v>75</v>
      </c>
      <c r="I2682" s="181">
        <f>K2682*D2680</f>
        <v>104295.6</v>
      </c>
      <c r="J2682" s="181">
        <f>I2682/D2680</f>
        <v>148</v>
      </c>
      <c r="K2682" s="181">
        <v>148</v>
      </c>
      <c r="L2682" s="152"/>
      <c r="M2682" s="152"/>
      <c r="N2682" s="152"/>
      <c r="O2682" s="152"/>
      <c r="P2682" s="152"/>
      <c r="Q2682" s="152"/>
      <c r="R2682" s="152"/>
      <c r="S2682" s="152"/>
      <c r="T2682" s="152"/>
      <c r="U2682" s="152"/>
      <c r="V2682" s="152"/>
      <c r="W2682" s="152"/>
      <c r="X2682" s="152"/>
      <c r="Y2682" s="152"/>
      <c r="Z2682" s="152"/>
      <c r="AA2682" s="152"/>
      <c r="AB2682" s="152"/>
      <c r="AC2682" s="152"/>
      <c r="AD2682" s="152"/>
      <c r="AE2682" s="152"/>
      <c r="AF2682" s="152"/>
      <c r="AG2682" s="152"/>
      <c r="AH2682" s="152"/>
      <c r="AI2682" s="152"/>
      <c r="AJ2682" s="152"/>
      <c r="AK2682" s="152"/>
      <c r="AL2682" s="152"/>
      <c r="AM2682" s="152"/>
      <c r="AN2682" s="152"/>
      <c r="AO2682" s="152"/>
      <c r="AP2682" s="152"/>
      <c r="AQ2682" s="152"/>
      <c r="AR2682" s="152"/>
      <c r="AS2682" s="152"/>
      <c r="AT2682" s="152"/>
      <c r="AU2682" s="152"/>
      <c r="AV2682" s="152"/>
      <c r="AW2682" s="152"/>
      <c r="AX2682" s="152"/>
      <c r="AY2682" s="152"/>
      <c r="AZ2682" s="152"/>
      <c r="BA2682" s="152"/>
      <c r="BB2682" s="152"/>
      <c r="BC2682" s="152"/>
      <c r="BD2682" s="152"/>
      <c r="BE2682" s="152"/>
      <c r="BF2682" s="152"/>
      <c r="BG2682" s="152"/>
      <c r="BH2682" s="152"/>
      <c r="BI2682" s="152"/>
      <c r="BJ2682" s="152"/>
      <c r="BK2682" s="152"/>
      <c r="BL2682" s="152"/>
      <c r="BM2682" s="152"/>
      <c r="BN2682" s="152"/>
      <c r="BO2682" s="152"/>
      <c r="BP2682" s="152"/>
      <c r="BQ2682" s="152"/>
      <c r="BR2682" s="152"/>
      <c r="BS2682" s="152"/>
      <c r="BT2682" s="152"/>
      <c r="BU2682" s="152"/>
      <c r="BV2682" s="152"/>
      <c r="BW2682" s="152"/>
      <c r="BX2682" s="152"/>
      <c r="BY2682" s="152"/>
      <c r="BZ2682" s="152"/>
      <c r="CA2682" s="152"/>
      <c r="CB2682" s="152"/>
      <c r="CC2682" s="152"/>
      <c r="CD2682" s="152"/>
      <c r="CE2682" s="152"/>
      <c r="CF2682" s="152"/>
      <c r="CG2682" s="152"/>
      <c r="CH2682" s="152"/>
      <c r="CI2682" s="152"/>
      <c r="CJ2682" s="152"/>
      <c r="CK2682" s="152"/>
      <c r="CL2682" s="152"/>
      <c r="CM2682" s="152"/>
      <c r="CN2682" s="152"/>
      <c r="CO2682" s="152"/>
      <c r="CP2682" s="152"/>
      <c r="CQ2682" s="152"/>
      <c r="CR2682" s="152"/>
      <c r="CS2682" s="152"/>
      <c r="CT2682" s="152"/>
      <c r="CU2682" s="152"/>
      <c r="CV2682" s="152"/>
      <c r="CW2682" s="152"/>
      <c r="CX2682" s="152"/>
      <c r="CY2682" s="152"/>
      <c r="CZ2682" s="152"/>
      <c r="DA2682" s="152"/>
      <c r="DB2682" s="152"/>
      <c r="DC2682" s="152"/>
      <c r="DD2682" s="152"/>
      <c r="DE2682" s="152"/>
      <c r="DF2682" s="152"/>
      <c r="DG2682" s="152"/>
      <c r="DH2682" s="152"/>
      <c r="DI2682" s="152"/>
      <c r="DJ2682" s="152"/>
      <c r="DK2682" s="152"/>
      <c r="DL2682" s="152"/>
      <c r="DM2682" s="152"/>
      <c r="DN2682" s="152"/>
      <c r="DO2682" s="152"/>
      <c r="DP2682" s="152"/>
      <c r="DQ2682" s="152"/>
      <c r="DR2682" s="152"/>
      <c r="DS2682" s="152"/>
      <c r="DT2682" s="152"/>
      <c r="DU2682" s="152"/>
      <c r="DV2682" s="152"/>
      <c r="DW2682" s="152"/>
      <c r="DX2682" s="152"/>
      <c r="DY2682" s="152"/>
      <c r="DZ2682" s="152"/>
      <c r="EA2682" s="152"/>
      <c r="EB2682" s="152"/>
      <c r="EC2682" s="152"/>
      <c r="ED2682" s="152"/>
      <c r="EE2682" s="152"/>
      <c r="EF2682" s="152"/>
      <c r="EG2682" s="152"/>
      <c r="EH2682" s="152"/>
      <c r="EI2682" s="152"/>
      <c r="EJ2682" s="152"/>
      <c r="EK2682" s="152"/>
      <c r="EL2682" s="152"/>
      <c r="EM2682" s="152"/>
      <c r="EN2682" s="152"/>
      <c r="EO2682" s="152"/>
      <c r="EP2682" s="152"/>
      <c r="EQ2682" s="152"/>
      <c r="ER2682" s="152"/>
      <c r="ES2682" s="152"/>
      <c r="ET2682" s="152"/>
      <c r="EU2682" s="152"/>
      <c r="EV2682" s="152"/>
      <c r="EW2682" s="152"/>
      <c r="EX2682" s="152"/>
      <c r="EY2682" s="152"/>
      <c r="EZ2682" s="152"/>
      <c r="FA2682" s="152"/>
      <c r="FB2682" s="152"/>
      <c r="FC2682" s="152"/>
      <c r="FD2682" s="152"/>
      <c r="FE2682" s="152"/>
      <c r="FF2682" s="152"/>
      <c r="FG2682" s="152"/>
      <c r="FH2682" s="152"/>
      <c r="FI2682" s="152"/>
      <c r="FJ2682" s="152"/>
      <c r="FK2682" s="152"/>
      <c r="FL2682" s="152"/>
      <c r="FM2682" s="152"/>
      <c r="FN2682" s="152"/>
      <c r="FO2682" s="152"/>
      <c r="FP2682" s="152"/>
      <c r="FQ2682" s="152"/>
      <c r="FR2682" s="152"/>
      <c r="FS2682" s="152"/>
      <c r="FT2682" s="152"/>
      <c r="FU2682" s="152"/>
      <c r="FV2682" s="152"/>
      <c r="FW2682" s="152"/>
      <c r="FX2682" s="152"/>
      <c r="FY2682" s="152"/>
      <c r="FZ2682" s="152"/>
      <c r="GA2682" s="152"/>
      <c r="GB2682" s="152"/>
      <c r="GC2682" s="152"/>
      <c r="GD2682" s="152"/>
      <c r="GE2682" s="152"/>
      <c r="GF2682" s="152"/>
      <c r="GG2682" s="152"/>
      <c r="GH2682" s="152"/>
      <c r="GI2682" s="152"/>
      <c r="GJ2682" s="152"/>
      <c r="GK2682" s="152"/>
      <c r="GL2682" s="152"/>
      <c r="GM2682" s="152"/>
      <c r="GN2682" s="152"/>
      <c r="GO2682" s="152"/>
      <c r="GP2682" s="152"/>
      <c r="GQ2682" s="152"/>
      <c r="GR2682" s="152"/>
      <c r="GS2682" s="152"/>
      <c r="GT2682" s="152"/>
      <c r="GU2682" s="152"/>
      <c r="GV2682" s="152"/>
      <c r="GW2682" s="152"/>
      <c r="GX2682" s="152"/>
      <c r="GY2682" s="152"/>
      <c r="GZ2682" s="152"/>
      <c r="HA2682" s="152"/>
      <c r="HB2682" s="152"/>
      <c r="HC2682" s="152"/>
      <c r="HD2682" s="152"/>
      <c r="HE2682" s="152"/>
      <c r="HF2682" s="152"/>
    </row>
    <row r="2683" spans="1:214" x14ac:dyDescent="0.35">
      <c r="A2683" s="277">
        <f>A2680+1</f>
        <v>4</v>
      </c>
      <c r="B2683" s="286">
        <v>4536</v>
      </c>
      <c r="C2683" s="286" t="s">
        <v>486</v>
      </c>
      <c r="D2683" s="287">
        <v>851.15</v>
      </c>
      <c r="E2683" s="287" t="s">
        <v>74</v>
      </c>
      <c r="F2683" s="304">
        <v>2</v>
      </c>
      <c r="G2683" s="277" t="s">
        <v>71</v>
      </c>
      <c r="H2683" s="136" t="s">
        <v>72</v>
      </c>
      <c r="I2683" s="181">
        <f>I2684+I2685</f>
        <v>6014225.9000000004</v>
      </c>
      <c r="J2683" s="181">
        <f>J2684+J2685</f>
        <v>7066</v>
      </c>
      <c r="K2683" s="181">
        <f>K2684+K2685</f>
        <v>7066</v>
      </c>
      <c r="L2683" s="152"/>
      <c r="M2683" s="152"/>
      <c r="N2683" s="152"/>
      <c r="O2683" s="152"/>
      <c r="P2683" s="152"/>
      <c r="Q2683" s="152"/>
      <c r="R2683" s="152"/>
      <c r="S2683" s="152"/>
      <c r="T2683" s="152"/>
      <c r="U2683" s="152"/>
      <c r="V2683" s="152"/>
      <c r="W2683" s="152"/>
      <c r="X2683" s="152"/>
      <c r="Y2683" s="152"/>
      <c r="Z2683" s="152"/>
      <c r="AA2683" s="152"/>
      <c r="AB2683" s="152"/>
      <c r="AC2683" s="152"/>
      <c r="AD2683" s="152"/>
      <c r="AE2683" s="152"/>
      <c r="AF2683" s="152"/>
      <c r="AG2683" s="152"/>
      <c r="AH2683" s="152"/>
      <c r="AI2683" s="152"/>
      <c r="AJ2683" s="152"/>
      <c r="AK2683" s="152"/>
      <c r="AL2683" s="152"/>
      <c r="AM2683" s="152"/>
      <c r="AN2683" s="152"/>
      <c r="AO2683" s="152"/>
      <c r="AP2683" s="152"/>
      <c r="AQ2683" s="152"/>
      <c r="AR2683" s="152"/>
      <c r="AS2683" s="152"/>
      <c r="AT2683" s="152"/>
      <c r="AU2683" s="152"/>
      <c r="AV2683" s="152"/>
      <c r="AW2683" s="152"/>
      <c r="AX2683" s="152"/>
      <c r="AY2683" s="152"/>
      <c r="AZ2683" s="152"/>
      <c r="BA2683" s="152"/>
      <c r="BB2683" s="152"/>
      <c r="BC2683" s="152"/>
      <c r="BD2683" s="152"/>
      <c r="BE2683" s="152"/>
      <c r="BF2683" s="152"/>
      <c r="BG2683" s="152"/>
      <c r="BH2683" s="152"/>
      <c r="BI2683" s="152"/>
      <c r="BJ2683" s="152"/>
      <c r="BK2683" s="152"/>
      <c r="BL2683" s="152"/>
      <c r="BM2683" s="152"/>
      <c r="BN2683" s="152"/>
      <c r="BO2683" s="152"/>
      <c r="BP2683" s="152"/>
      <c r="BQ2683" s="152"/>
      <c r="BR2683" s="152"/>
      <c r="BS2683" s="152"/>
      <c r="BT2683" s="152"/>
      <c r="BU2683" s="152"/>
      <c r="BV2683" s="152"/>
      <c r="BW2683" s="152"/>
      <c r="BX2683" s="152"/>
      <c r="BY2683" s="152"/>
      <c r="BZ2683" s="152"/>
      <c r="CA2683" s="152"/>
      <c r="CB2683" s="152"/>
      <c r="CC2683" s="152"/>
      <c r="CD2683" s="152"/>
      <c r="CE2683" s="152"/>
      <c r="CF2683" s="152"/>
      <c r="CG2683" s="152"/>
      <c r="CH2683" s="152"/>
      <c r="CI2683" s="152"/>
      <c r="CJ2683" s="152"/>
      <c r="CK2683" s="152"/>
      <c r="CL2683" s="152"/>
      <c r="CM2683" s="152"/>
      <c r="CN2683" s="152"/>
      <c r="CO2683" s="152"/>
      <c r="CP2683" s="152"/>
      <c r="CQ2683" s="152"/>
      <c r="CR2683" s="152"/>
      <c r="CS2683" s="152"/>
      <c r="CT2683" s="152"/>
      <c r="CU2683" s="152"/>
      <c r="CV2683" s="152"/>
      <c r="CW2683" s="152"/>
      <c r="CX2683" s="152"/>
      <c r="CY2683" s="152"/>
      <c r="CZ2683" s="152"/>
      <c r="DA2683" s="152"/>
      <c r="DB2683" s="152"/>
      <c r="DC2683" s="152"/>
      <c r="DD2683" s="152"/>
      <c r="DE2683" s="152"/>
      <c r="DF2683" s="152"/>
      <c r="DG2683" s="152"/>
      <c r="DH2683" s="152"/>
      <c r="DI2683" s="152"/>
      <c r="DJ2683" s="152"/>
      <c r="DK2683" s="152"/>
      <c r="DL2683" s="152"/>
      <c r="DM2683" s="152"/>
      <c r="DN2683" s="152"/>
      <c r="DO2683" s="152"/>
      <c r="DP2683" s="152"/>
      <c r="DQ2683" s="152"/>
      <c r="DR2683" s="152"/>
      <c r="DS2683" s="152"/>
      <c r="DT2683" s="152"/>
      <c r="DU2683" s="152"/>
      <c r="DV2683" s="152"/>
      <c r="DW2683" s="152"/>
      <c r="DX2683" s="152"/>
      <c r="DY2683" s="152"/>
      <c r="DZ2683" s="152"/>
      <c r="EA2683" s="152"/>
      <c r="EB2683" s="152"/>
      <c r="EC2683" s="152"/>
      <c r="ED2683" s="152"/>
      <c r="EE2683" s="152"/>
      <c r="EF2683" s="152"/>
      <c r="EG2683" s="152"/>
      <c r="EH2683" s="152"/>
      <c r="EI2683" s="152"/>
      <c r="EJ2683" s="152"/>
      <c r="EK2683" s="152"/>
      <c r="EL2683" s="152"/>
      <c r="EM2683" s="152"/>
      <c r="EN2683" s="152"/>
      <c r="EO2683" s="152"/>
      <c r="EP2683" s="152"/>
      <c r="EQ2683" s="152"/>
      <c r="ER2683" s="152"/>
      <c r="ES2683" s="152"/>
      <c r="ET2683" s="152"/>
      <c r="EU2683" s="152"/>
      <c r="EV2683" s="152"/>
      <c r="EW2683" s="152"/>
      <c r="EX2683" s="152"/>
      <c r="EY2683" s="152"/>
      <c r="EZ2683" s="152"/>
      <c r="FA2683" s="152"/>
      <c r="FB2683" s="152"/>
      <c r="FC2683" s="152"/>
      <c r="FD2683" s="152"/>
      <c r="FE2683" s="152"/>
      <c r="FF2683" s="152"/>
      <c r="FG2683" s="152"/>
      <c r="FH2683" s="152"/>
      <c r="FI2683" s="152"/>
      <c r="FJ2683" s="152"/>
      <c r="FK2683" s="152"/>
      <c r="FL2683" s="152"/>
      <c r="FM2683" s="152"/>
      <c r="FN2683" s="152"/>
      <c r="FO2683" s="152"/>
      <c r="FP2683" s="152"/>
      <c r="FQ2683" s="152"/>
      <c r="FR2683" s="152"/>
      <c r="FS2683" s="152"/>
      <c r="FT2683" s="152"/>
      <c r="FU2683" s="152"/>
      <c r="FV2683" s="152"/>
      <c r="FW2683" s="152"/>
      <c r="FX2683" s="152"/>
      <c r="FY2683" s="152"/>
      <c r="FZ2683" s="152"/>
      <c r="GA2683" s="152"/>
      <c r="GB2683" s="152"/>
      <c r="GC2683" s="152"/>
      <c r="GD2683" s="152"/>
      <c r="GE2683" s="152"/>
      <c r="GF2683" s="152"/>
      <c r="GG2683" s="152"/>
      <c r="GH2683" s="152"/>
      <c r="GI2683" s="152"/>
      <c r="GJ2683" s="152"/>
      <c r="GK2683" s="152"/>
      <c r="GL2683" s="152"/>
      <c r="GM2683" s="152"/>
      <c r="GN2683" s="152"/>
      <c r="GO2683" s="152"/>
      <c r="GP2683" s="152"/>
      <c r="GQ2683" s="152"/>
      <c r="GR2683" s="152"/>
      <c r="GS2683" s="152"/>
      <c r="GT2683" s="152"/>
      <c r="GU2683" s="152"/>
      <c r="GV2683" s="152"/>
      <c r="GW2683" s="152"/>
      <c r="GX2683" s="152"/>
      <c r="GY2683" s="152"/>
      <c r="GZ2683" s="152"/>
      <c r="HA2683" s="152"/>
      <c r="HB2683" s="152"/>
      <c r="HC2683" s="152"/>
      <c r="HD2683" s="152"/>
      <c r="HE2683" s="152"/>
      <c r="HF2683" s="152"/>
    </row>
    <row r="2684" spans="1:214" x14ac:dyDescent="0.35">
      <c r="A2684" s="277">
        <v>25</v>
      </c>
      <c r="B2684" s="286"/>
      <c r="C2684" s="286"/>
      <c r="D2684" s="287"/>
      <c r="E2684" s="287"/>
      <c r="F2684" s="304"/>
      <c r="G2684" s="277"/>
      <c r="H2684" s="136" t="s">
        <v>73</v>
      </c>
      <c r="I2684" s="181">
        <f>K2684*D2683</f>
        <v>5888255.7000000002</v>
      </c>
      <c r="J2684" s="181">
        <f>I2684/D2683</f>
        <v>6918</v>
      </c>
      <c r="K2684" s="181">
        <v>6918</v>
      </c>
      <c r="L2684" s="152"/>
      <c r="M2684" s="152"/>
      <c r="N2684" s="152"/>
      <c r="O2684" s="152"/>
      <c r="P2684" s="152"/>
      <c r="Q2684" s="152"/>
      <c r="R2684" s="152"/>
      <c r="S2684" s="152"/>
      <c r="T2684" s="152"/>
      <c r="U2684" s="152"/>
      <c r="V2684" s="152"/>
      <c r="W2684" s="152"/>
      <c r="X2684" s="152"/>
      <c r="Y2684" s="152"/>
      <c r="Z2684" s="152"/>
      <c r="AA2684" s="152"/>
      <c r="AB2684" s="152"/>
      <c r="AC2684" s="152"/>
      <c r="AD2684" s="152"/>
      <c r="AE2684" s="152"/>
      <c r="AF2684" s="152"/>
      <c r="AG2684" s="152"/>
      <c r="AH2684" s="152"/>
      <c r="AI2684" s="152"/>
      <c r="AJ2684" s="152"/>
      <c r="AK2684" s="152"/>
      <c r="AL2684" s="152"/>
      <c r="AM2684" s="152"/>
      <c r="AN2684" s="152"/>
      <c r="AO2684" s="152"/>
      <c r="AP2684" s="152"/>
      <c r="AQ2684" s="152"/>
      <c r="AR2684" s="152"/>
      <c r="AS2684" s="152"/>
      <c r="AT2684" s="152"/>
      <c r="AU2684" s="152"/>
      <c r="AV2684" s="152"/>
      <c r="AW2684" s="152"/>
      <c r="AX2684" s="152"/>
      <c r="AY2684" s="152"/>
      <c r="AZ2684" s="152"/>
      <c r="BA2684" s="152"/>
      <c r="BB2684" s="152"/>
      <c r="BC2684" s="152"/>
      <c r="BD2684" s="152"/>
      <c r="BE2684" s="152"/>
      <c r="BF2684" s="152"/>
      <c r="BG2684" s="152"/>
      <c r="BH2684" s="152"/>
      <c r="BI2684" s="152"/>
      <c r="BJ2684" s="152"/>
      <c r="BK2684" s="152"/>
      <c r="BL2684" s="152"/>
      <c r="BM2684" s="152"/>
      <c r="BN2684" s="152"/>
      <c r="BO2684" s="152"/>
      <c r="BP2684" s="152"/>
      <c r="BQ2684" s="152"/>
      <c r="BR2684" s="152"/>
      <c r="BS2684" s="152"/>
      <c r="BT2684" s="152"/>
      <c r="BU2684" s="152"/>
      <c r="BV2684" s="152"/>
      <c r="BW2684" s="152"/>
      <c r="BX2684" s="152"/>
      <c r="BY2684" s="152"/>
      <c r="BZ2684" s="152"/>
      <c r="CA2684" s="152"/>
      <c r="CB2684" s="152"/>
      <c r="CC2684" s="152"/>
      <c r="CD2684" s="152"/>
      <c r="CE2684" s="152"/>
      <c r="CF2684" s="152"/>
      <c r="CG2684" s="152"/>
      <c r="CH2684" s="152"/>
      <c r="CI2684" s="152"/>
      <c r="CJ2684" s="152"/>
      <c r="CK2684" s="152"/>
      <c r="CL2684" s="152"/>
      <c r="CM2684" s="152"/>
      <c r="CN2684" s="152"/>
      <c r="CO2684" s="152"/>
      <c r="CP2684" s="152"/>
      <c r="CQ2684" s="152"/>
      <c r="CR2684" s="152"/>
      <c r="CS2684" s="152"/>
      <c r="CT2684" s="152"/>
      <c r="CU2684" s="152"/>
      <c r="CV2684" s="152"/>
      <c r="CW2684" s="152"/>
      <c r="CX2684" s="152"/>
      <c r="CY2684" s="152"/>
      <c r="CZ2684" s="152"/>
      <c r="DA2684" s="152"/>
      <c r="DB2684" s="152"/>
      <c r="DC2684" s="152"/>
      <c r="DD2684" s="152"/>
      <c r="DE2684" s="152"/>
      <c r="DF2684" s="152"/>
      <c r="DG2684" s="152"/>
      <c r="DH2684" s="152"/>
      <c r="DI2684" s="152"/>
      <c r="DJ2684" s="152"/>
      <c r="DK2684" s="152"/>
      <c r="DL2684" s="152"/>
      <c r="DM2684" s="152"/>
      <c r="DN2684" s="152"/>
      <c r="DO2684" s="152"/>
      <c r="DP2684" s="152"/>
      <c r="DQ2684" s="152"/>
      <c r="DR2684" s="152"/>
      <c r="DS2684" s="152"/>
      <c r="DT2684" s="152"/>
      <c r="DU2684" s="152"/>
      <c r="DV2684" s="152"/>
      <c r="DW2684" s="152"/>
      <c r="DX2684" s="152"/>
      <c r="DY2684" s="152"/>
      <c r="DZ2684" s="152"/>
      <c r="EA2684" s="152"/>
      <c r="EB2684" s="152"/>
      <c r="EC2684" s="152"/>
      <c r="ED2684" s="152"/>
      <c r="EE2684" s="152"/>
      <c r="EF2684" s="152"/>
      <c r="EG2684" s="152"/>
      <c r="EH2684" s="152"/>
      <c r="EI2684" s="152"/>
      <c r="EJ2684" s="152"/>
      <c r="EK2684" s="152"/>
      <c r="EL2684" s="152"/>
      <c r="EM2684" s="152"/>
      <c r="EN2684" s="152"/>
      <c r="EO2684" s="152"/>
      <c r="EP2684" s="152"/>
      <c r="EQ2684" s="152"/>
      <c r="ER2684" s="152"/>
      <c r="ES2684" s="152"/>
      <c r="ET2684" s="152"/>
      <c r="EU2684" s="152"/>
      <c r="EV2684" s="152"/>
      <c r="EW2684" s="152"/>
      <c r="EX2684" s="152"/>
      <c r="EY2684" s="152"/>
      <c r="EZ2684" s="152"/>
      <c r="FA2684" s="152"/>
      <c r="FB2684" s="152"/>
      <c r="FC2684" s="152"/>
      <c r="FD2684" s="152"/>
      <c r="FE2684" s="152"/>
      <c r="FF2684" s="152"/>
      <c r="FG2684" s="152"/>
      <c r="FH2684" s="152"/>
      <c r="FI2684" s="152"/>
      <c r="FJ2684" s="152"/>
      <c r="FK2684" s="152"/>
      <c r="FL2684" s="152"/>
      <c r="FM2684" s="152"/>
      <c r="FN2684" s="152"/>
      <c r="FO2684" s="152"/>
      <c r="FP2684" s="152"/>
      <c r="FQ2684" s="152"/>
      <c r="FR2684" s="152"/>
      <c r="FS2684" s="152"/>
      <c r="FT2684" s="152"/>
      <c r="FU2684" s="152"/>
      <c r="FV2684" s="152"/>
      <c r="FW2684" s="152"/>
      <c r="FX2684" s="152"/>
      <c r="FY2684" s="152"/>
      <c r="FZ2684" s="152"/>
      <c r="GA2684" s="152"/>
      <c r="GB2684" s="152"/>
      <c r="GC2684" s="152"/>
      <c r="GD2684" s="152"/>
      <c r="GE2684" s="152"/>
      <c r="GF2684" s="152"/>
      <c r="GG2684" s="152"/>
      <c r="GH2684" s="152"/>
      <c r="GI2684" s="152"/>
      <c r="GJ2684" s="152"/>
      <c r="GK2684" s="152"/>
      <c r="GL2684" s="152"/>
      <c r="GM2684" s="152"/>
      <c r="GN2684" s="152"/>
      <c r="GO2684" s="152"/>
      <c r="GP2684" s="152"/>
      <c r="GQ2684" s="152"/>
      <c r="GR2684" s="152"/>
      <c r="GS2684" s="152"/>
      <c r="GT2684" s="152"/>
      <c r="GU2684" s="152"/>
      <c r="GV2684" s="152"/>
      <c r="GW2684" s="152"/>
      <c r="GX2684" s="152"/>
      <c r="GY2684" s="152"/>
      <c r="GZ2684" s="152"/>
      <c r="HA2684" s="152"/>
      <c r="HB2684" s="152"/>
      <c r="HC2684" s="152"/>
      <c r="HD2684" s="152"/>
      <c r="HE2684" s="152"/>
      <c r="HF2684" s="152"/>
    </row>
    <row r="2685" spans="1:214" x14ac:dyDescent="0.35">
      <c r="A2685" s="277">
        <v>26</v>
      </c>
      <c r="B2685" s="286"/>
      <c r="C2685" s="286"/>
      <c r="D2685" s="287"/>
      <c r="E2685" s="287"/>
      <c r="F2685" s="304"/>
      <c r="G2685" s="277"/>
      <c r="H2685" s="136" t="s">
        <v>75</v>
      </c>
      <c r="I2685" s="181">
        <f>K2685*D2683</f>
        <v>125970.2</v>
      </c>
      <c r="J2685" s="181">
        <f>I2685/D2683</f>
        <v>148</v>
      </c>
      <c r="K2685" s="181">
        <v>148</v>
      </c>
      <c r="L2685" s="152"/>
      <c r="M2685" s="152"/>
      <c r="N2685" s="152"/>
      <c r="O2685" s="152"/>
      <c r="P2685" s="152"/>
      <c r="Q2685" s="152"/>
      <c r="R2685" s="152"/>
      <c r="S2685" s="152"/>
      <c r="T2685" s="152"/>
      <c r="U2685" s="152"/>
      <c r="V2685" s="152"/>
      <c r="W2685" s="152"/>
      <c r="X2685" s="152"/>
      <c r="Y2685" s="152"/>
      <c r="Z2685" s="152"/>
      <c r="AA2685" s="152"/>
      <c r="AB2685" s="152"/>
      <c r="AC2685" s="152"/>
      <c r="AD2685" s="152"/>
      <c r="AE2685" s="152"/>
      <c r="AF2685" s="152"/>
      <c r="AG2685" s="152"/>
      <c r="AH2685" s="152"/>
      <c r="AI2685" s="152"/>
      <c r="AJ2685" s="152"/>
      <c r="AK2685" s="152"/>
      <c r="AL2685" s="152"/>
      <c r="AM2685" s="152"/>
      <c r="AN2685" s="152"/>
      <c r="AO2685" s="152"/>
      <c r="AP2685" s="152"/>
      <c r="AQ2685" s="152"/>
      <c r="AR2685" s="152"/>
      <c r="AS2685" s="152"/>
      <c r="AT2685" s="152"/>
      <c r="AU2685" s="152"/>
      <c r="AV2685" s="152"/>
      <c r="AW2685" s="152"/>
      <c r="AX2685" s="152"/>
      <c r="AY2685" s="152"/>
      <c r="AZ2685" s="152"/>
      <c r="BA2685" s="152"/>
      <c r="BB2685" s="152"/>
      <c r="BC2685" s="152"/>
      <c r="BD2685" s="152"/>
      <c r="BE2685" s="152"/>
      <c r="BF2685" s="152"/>
      <c r="BG2685" s="152"/>
      <c r="BH2685" s="152"/>
      <c r="BI2685" s="152"/>
      <c r="BJ2685" s="152"/>
      <c r="BK2685" s="152"/>
      <c r="BL2685" s="152"/>
      <c r="BM2685" s="152"/>
      <c r="BN2685" s="152"/>
      <c r="BO2685" s="152"/>
      <c r="BP2685" s="152"/>
      <c r="BQ2685" s="152"/>
      <c r="BR2685" s="152"/>
      <c r="BS2685" s="152"/>
      <c r="BT2685" s="152"/>
      <c r="BU2685" s="152"/>
      <c r="BV2685" s="152"/>
      <c r="BW2685" s="152"/>
      <c r="BX2685" s="152"/>
      <c r="BY2685" s="152"/>
      <c r="BZ2685" s="152"/>
      <c r="CA2685" s="152"/>
      <c r="CB2685" s="152"/>
      <c r="CC2685" s="152"/>
      <c r="CD2685" s="152"/>
      <c r="CE2685" s="152"/>
      <c r="CF2685" s="152"/>
      <c r="CG2685" s="152"/>
      <c r="CH2685" s="152"/>
      <c r="CI2685" s="152"/>
      <c r="CJ2685" s="152"/>
      <c r="CK2685" s="152"/>
      <c r="CL2685" s="152"/>
      <c r="CM2685" s="152"/>
      <c r="CN2685" s="152"/>
      <c r="CO2685" s="152"/>
      <c r="CP2685" s="152"/>
      <c r="CQ2685" s="152"/>
      <c r="CR2685" s="152"/>
      <c r="CS2685" s="152"/>
      <c r="CT2685" s="152"/>
      <c r="CU2685" s="152"/>
      <c r="CV2685" s="152"/>
      <c r="CW2685" s="152"/>
      <c r="CX2685" s="152"/>
      <c r="CY2685" s="152"/>
      <c r="CZ2685" s="152"/>
      <c r="DA2685" s="152"/>
      <c r="DB2685" s="152"/>
      <c r="DC2685" s="152"/>
      <c r="DD2685" s="152"/>
      <c r="DE2685" s="152"/>
      <c r="DF2685" s="152"/>
      <c r="DG2685" s="152"/>
      <c r="DH2685" s="152"/>
      <c r="DI2685" s="152"/>
      <c r="DJ2685" s="152"/>
      <c r="DK2685" s="152"/>
      <c r="DL2685" s="152"/>
      <c r="DM2685" s="152"/>
      <c r="DN2685" s="152"/>
      <c r="DO2685" s="152"/>
      <c r="DP2685" s="152"/>
      <c r="DQ2685" s="152"/>
      <c r="DR2685" s="152"/>
      <c r="DS2685" s="152"/>
      <c r="DT2685" s="152"/>
      <c r="DU2685" s="152"/>
      <c r="DV2685" s="152"/>
      <c r="DW2685" s="152"/>
      <c r="DX2685" s="152"/>
      <c r="DY2685" s="152"/>
      <c r="DZ2685" s="152"/>
      <c r="EA2685" s="152"/>
      <c r="EB2685" s="152"/>
      <c r="EC2685" s="152"/>
      <c r="ED2685" s="152"/>
      <c r="EE2685" s="152"/>
      <c r="EF2685" s="152"/>
      <c r="EG2685" s="152"/>
      <c r="EH2685" s="152"/>
      <c r="EI2685" s="152"/>
      <c r="EJ2685" s="152"/>
      <c r="EK2685" s="152"/>
      <c r="EL2685" s="152"/>
      <c r="EM2685" s="152"/>
      <c r="EN2685" s="152"/>
      <c r="EO2685" s="152"/>
      <c r="EP2685" s="152"/>
      <c r="EQ2685" s="152"/>
      <c r="ER2685" s="152"/>
      <c r="ES2685" s="152"/>
      <c r="ET2685" s="152"/>
      <c r="EU2685" s="152"/>
      <c r="EV2685" s="152"/>
      <c r="EW2685" s="152"/>
      <c r="EX2685" s="152"/>
      <c r="EY2685" s="152"/>
      <c r="EZ2685" s="152"/>
      <c r="FA2685" s="152"/>
      <c r="FB2685" s="152"/>
      <c r="FC2685" s="152"/>
      <c r="FD2685" s="152"/>
      <c r="FE2685" s="152"/>
      <c r="FF2685" s="152"/>
      <c r="FG2685" s="152"/>
      <c r="FH2685" s="152"/>
      <c r="FI2685" s="152"/>
      <c r="FJ2685" s="152"/>
      <c r="FK2685" s="152"/>
      <c r="FL2685" s="152"/>
      <c r="FM2685" s="152"/>
      <c r="FN2685" s="152"/>
      <c r="FO2685" s="152"/>
      <c r="FP2685" s="152"/>
      <c r="FQ2685" s="152"/>
      <c r="FR2685" s="152"/>
      <c r="FS2685" s="152"/>
      <c r="FT2685" s="152"/>
      <c r="FU2685" s="152"/>
      <c r="FV2685" s="152"/>
      <c r="FW2685" s="152"/>
      <c r="FX2685" s="152"/>
      <c r="FY2685" s="152"/>
      <c r="FZ2685" s="152"/>
      <c r="GA2685" s="152"/>
      <c r="GB2685" s="152"/>
      <c r="GC2685" s="152"/>
      <c r="GD2685" s="152"/>
      <c r="GE2685" s="152"/>
      <c r="GF2685" s="152"/>
      <c r="GG2685" s="152"/>
      <c r="GH2685" s="152"/>
      <c r="GI2685" s="152"/>
      <c r="GJ2685" s="152"/>
      <c r="GK2685" s="152"/>
      <c r="GL2685" s="152"/>
      <c r="GM2685" s="152"/>
      <c r="GN2685" s="152"/>
      <c r="GO2685" s="152"/>
      <c r="GP2685" s="152"/>
      <c r="GQ2685" s="152"/>
      <c r="GR2685" s="152"/>
      <c r="GS2685" s="152"/>
      <c r="GT2685" s="152"/>
      <c r="GU2685" s="152"/>
      <c r="GV2685" s="152"/>
      <c r="GW2685" s="152"/>
      <c r="GX2685" s="152"/>
      <c r="GY2685" s="152"/>
      <c r="GZ2685" s="152"/>
      <c r="HA2685" s="152"/>
      <c r="HB2685" s="152"/>
      <c r="HC2685" s="152"/>
      <c r="HD2685" s="152"/>
      <c r="HE2685" s="152"/>
      <c r="HF2685" s="152"/>
    </row>
    <row r="2686" spans="1:214" x14ac:dyDescent="0.35">
      <c r="A2686" s="138" t="s">
        <v>34</v>
      </c>
      <c r="B2686" s="143"/>
      <c r="C2686" s="144"/>
      <c r="D2686" s="166">
        <f>D2687</f>
        <v>724.3</v>
      </c>
      <c r="E2686" s="166"/>
      <c r="F2686" s="166"/>
      <c r="G2686" s="166"/>
      <c r="H2686" s="164"/>
      <c r="I2686" s="137">
        <f>I2687</f>
        <v>4481987.4000000004</v>
      </c>
      <c r="J2686" s="137"/>
      <c r="K2686" s="137"/>
      <c r="L2686" s="152"/>
      <c r="M2686" s="152"/>
      <c r="N2686" s="152"/>
      <c r="O2686" s="152"/>
      <c r="P2686" s="152"/>
      <c r="Q2686" s="152"/>
      <c r="R2686" s="152"/>
      <c r="S2686" s="152"/>
      <c r="T2686" s="152"/>
      <c r="U2686" s="152"/>
      <c r="V2686" s="152"/>
      <c r="W2686" s="152"/>
      <c r="X2686" s="152"/>
      <c r="Y2686" s="152"/>
      <c r="Z2686" s="152"/>
      <c r="AA2686" s="152"/>
      <c r="AB2686" s="152"/>
      <c r="AC2686" s="152"/>
      <c r="AD2686" s="152"/>
      <c r="AE2686" s="152"/>
      <c r="AF2686" s="152"/>
      <c r="AG2686" s="152"/>
      <c r="AH2686" s="152"/>
      <c r="AI2686" s="152"/>
      <c r="AJ2686" s="152"/>
      <c r="AK2686" s="152"/>
      <c r="AL2686" s="152"/>
      <c r="AM2686" s="152"/>
      <c r="AN2686" s="152"/>
      <c r="AO2686" s="152"/>
      <c r="AP2686" s="152"/>
      <c r="AQ2686" s="152"/>
      <c r="AR2686" s="152"/>
      <c r="AS2686" s="152"/>
      <c r="AT2686" s="152"/>
      <c r="AU2686" s="152"/>
      <c r="AV2686" s="152"/>
      <c r="AW2686" s="152"/>
      <c r="AX2686" s="152"/>
      <c r="AY2686" s="152"/>
      <c r="AZ2686" s="152"/>
      <c r="BA2686" s="152"/>
      <c r="BB2686" s="152"/>
      <c r="BC2686" s="152"/>
      <c r="BD2686" s="152"/>
      <c r="BE2686" s="152"/>
      <c r="BF2686" s="152"/>
      <c r="BG2686" s="152"/>
      <c r="BH2686" s="152"/>
      <c r="BI2686" s="152"/>
      <c r="BJ2686" s="152"/>
      <c r="BK2686" s="152"/>
      <c r="BL2686" s="152"/>
      <c r="BM2686" s="152"/>
      <c r="BN2686" s="152"/>
      <c r="BO2686" s="152"/>
      <c r="BP2686" s="152"/>
      <c r="BQ2686" s="152"/>
      <c r="BR2686" s="152"/>
      <c r="BS2686" s="152"/>
      <c r="BT2686" s="152"/>
      <c r="BU2686" s="152"/>
      <c r="BV2686" s="152"/>
      <c r="BW2686" s="152"/>
      <c r="BX2686" s="152"/>
      <c r="BY2686" s="152"/>
      <c r="BZ2686" s="152"/>
      <c r="CA2686" s="152"/>
      <c r="CB2686" s="152"/>
      <c r="CC2686" s="152"/>
      <c r="CD2686" s="152"/>
      <c r="CE2686" s="152"/>
      <c r="CF2686" s="152"/>
      <c r="CG2686" s="152"/>
      <c r="CH2686" s="152"/>
      <c r="CI2686" s="152"/>
      <c r="CJ2686" s="152"/>
      <c r="CK2686" s="152"/>
      <c r="CL2686" s="152"/>
      <c r="CM2686" s="152"/>
      <c r="CN2686" s="152"/>
      <c r="CO2686" s="152"/>
      <c r="CP2686" s="152"/>
      <c r="CQ2686" s="152"/>
      <c r="CR2686" s="152"/>
      <c r="CS2686" s="152"/>
      <c r="CT2686" s="152"/>
      <c r="CU2686" s="152"/>
      <c r="CV2686" s="152"/>
      <c r="CW2686" s="152"/>
      <c r="CX2686" s="152"/>
      <c r="CY2686" s="152"/>
      <c r="CZ2686" s="152"/>
      <c r="DA2686" s="152"/>
      <c r="DB2686" s="152"/>
      <c r="DC2686" s="152"/>
      <c r="DD2686" s="152"/>
      <c r="DE2686" s="152"/>
      <c r="DF2686" s="152"/>
      <c r="DG2686" s="152"/>
      <c r="DH2686" s="152"/>
      <c r="DI2686" s="152"/>
      <c r="DJ2686" s="152"/>
      <c r="DK2686" s="152"/>
      <c r="DL2686" s="152"/>
      <c r="DM2686" s="152"/>
      <c r="DN2686" s="152"/>
      <c r="DO2686" s="152"/>
      <c r="DP2686" s="152"/>
      <c r="DQ2686" s="152"/>
      <c r="DR2686" s="152"/>
      <c r="DS2686" s="152"/>
      <c r="DT2686" s="152"/>
      <c r="DU2686" s="152"/>
      <c r="DV2686" s="152"/>
      <c r="DW2686" s="152"/>
      <c r="DX2686" s="152"/>
      <c r="DY2686" s="152"/>
      <c r="DZ2686" s="152"/>
      <c r="EA2686" s="152"/>
      <c r="EB2686" s="152"/>
      <c r="EC2686" s="152"/>
      <c r="ED2686" s="152"/>
      <c r="EE2686" s="152"/>
      <c r="EF2686" s="152"/>
      <c r="EG2686" s="152"/>
      <c r="EH2686" s="152"/>
      <c r="EI2686" s="152"/>
      <c r="EJ2686" s="152"/>
      <c r="EK2686" s="152"/>
      <c r="EL2686" s="152"/>
      <c r="EM2686" s="152"/>
      <c r="EN2686" s="152"/>
      <c r="EO2686" s="152"/>
      <c r="EP2686" s="152"/>
      <c r="EQ2686" s="152"/>
      <c r="ER2686" s="152"/>
      <c r="ES2686" s="152"/>
      <c r="ET2686" s="152"/>
      <c r="EU2686" s="152"/>
      <c r="EV2686" s="152"/>
      <c r="EW2686" s="152"/>
      <c r="EX2686" s="152"/>
      <c r="EY2686" s="152"/>
      <c r="EZ2686" s="152"/>
      <c r="FA2686" s="152"/>
      <c r="FB2686" s="152"/>
      <c r="FC2686" s="152"/>
      <c r="FD2686" s="152"/>
      <c r="FE2686" s="152"/>
      <c r="FF2686" s="152"/>
      <c r="FG2686" s="152"/>
      <c r="FH2686" s="152"/>
      <c r="FI2686" s="152"/>
      <c r="FJ2686" s="152"/>
      <c r="FK2686" s="152"/>
      <c r="FL2686" s="152"/>
      <c r="FM2686" s="152"/>
      <c r="FN2686" s="152"/>
      <c r="FO2686" s="152"/>
      <c r="FP2686" s="152"/>
      <c r="FQ2686" s="152"/>
      <c r="FR2686" s="152"/>
      <c r="FS2686" s="152"/>
      <c r="FT2686" s="152"/>
      <c r="FU2686" s="152"/>
      <c r="FV2686" s="152"/>
      <c r="FW2686" s="152"/>
      <c r="FX2686" s="152"/>
      <c r="FY2686" s="152"/>
      <c r="FZ2686" s="152"/>
      <c r="GA2686" s="152"/>
      <c r="GB2686" s="152"/>
      <c r="GC2686" s="152"/>
      <c r="GD2686" s="152"/>
      <c r="GE2686" s="152"/>
      <c r="GF2686" s="152"/>
      <c r="GG2686" s="152"/>
      <c r="GH2686" s="152"/>
      <c r="GI2686" s="152"/>
      <c r="GJ2686" s="152"/>
      <c r="GK2686" s="152"/>
      <c r="GL2686" s="152"/>
      <c r="GM2686" s="152"/>
      <c r="GN2686" s="152"/>
      <c r="GO2686" s="152"/>
      <c r="GP2686" s="152"/>
      <c r="GQ2686" s="152"/>
      <c r="GR2686" s="152"/>
      <c r="GS2686" s="152"/>
      <c r="GT2686" s="152"/>
      <c r="GU2686" s="152"/>
      <c r="GV2686" s="152"/>
      <c r="GW2686" s="152"/>
      <c r="GX2686" s="152"/>
      <c r="GY2686" s="152"/>
      <c r="GZ2686" s="152"/>
      <c r="HA2686" s="152"/>
      <c r="HB2686" s="152"/>
      <c r="HC2686" s="152"/>
      <c r="HD2686" s="152"/>
      <c r="HE2686" s="152"/>
      <c r="HF2686" s="152"/>
    </row>
    <row r="2687" spans="1:214" x14ac:dyDescent="0.35">
      <c r="A2687" s="270">
        <v>1</v>
      </c>
      <c r="B2687" s="270">
        <v>4804</v>
      </c>
      <c r="C2687" s="278" t="s">
        <v>623</v>
      </c>
      <c r="D2687" s="273">
        <v>724.3</v>
      </c>
      <c r="E2687" s="267" t="s">
        <v>74</v>
      </c>
      <c r="F2687" s="267">
        <v>2</v>
      </c>
      <c r="G2687" s="270" t="s">
        <v>71</v>
      </c>
      <c r="H2687" s="136" t="s">
        <v>72</v>
      </c>
      <c r="I2687" s="137">
        <f>I2688+I2689</f>
        <v>4481987.4000000004</v>
      </c>
      <c r="J2687" s="137">
        <f>J2688+J2689</f>
        <v>6188.03</v>
      </c>
      <c r="K2687" s="137">
        <f>K2688+K2689</f>
        <v>7539</v>
      </c>
      <c r="L2687" s="152"/>
      <c r="M2687" s="152"/>
      <c r="N2687" s="152"/>
      <c r="O2687" s="152"/>
      <c r="P2687" s="152"/>
      <c r="Q2687" s="152"/>
      <c r="R2687" s="152"/>
      <c r="S2687" s="152"/>
      <c r="T2687" s="152"/>
      <c r="U2687" s="152"/>
      <c r="V2687" s="152"/>
      <c r="W2687" s="152"/>
      <c r="X2687" s="152"/>
      <c r="Y2687" s="152"/>
      <c r="Z2687" s="152"/>
      <c r="AA2687" s="152"/>
      <c r="AB2687" s="152"/>
      <c r="AC2687" s="152"/>
      <c r="AD2687" s="152"/>
      <c r="AE2687" s="152"/>
      <c r="AF2687" s="152"/>
      <c r="AG2687" s="152"/>
      <c r="AH2687" s="152"/>
      <c r="AI2687" s="152"/>
      <c r="AJ2687" s="152"/>
      <c r="AK2687" s="152"/>
      <c r="AL2687" s="152"/>
      <c r="AM2687" s="152"/>
      <c r="AN2687" s="152"/>
      <c r="AO2687" s="152"/>
      <c r="AP2687" s="152"/>
      <c r="AQ2687" s="152"/>
      <c r="AR2687" s="152"/>
      <c r="AS2687" s="152"/>
      <c r="AT2687" s="152"/>
      <c r="AU2687" s="152"/>
      <c r="AV2687" s="152"/>
      <c r="AW2687" s="152"/>
      <c r="AX2687" s="152"/>
      <c r="AY2687" s="152"/>
      <c r="AZ2687" s="152"/>
      <c r="BA2687" s="152"/>
      <c r="BB2687" s="152"/>
      <c r="BC2687" s="152"/>
      <c r="BD2687" s="152"/>
      <c r="BE2687" s="152"/>
      <c r="BF2687" s="152"/>
      <c r="BG2687" s="152"/>
      <c r="BH2687" s="152"/>
      <c r="BI2687" s="152"/>
      <c r="BJ2687" s="152"/>
      <c r="BK2687" s="152"/>
      <c r="BL2687" s="152"/>
      <c r="BM2687" s="152"/>
      <c r="BN2687" s="152"/>
      <c r="BO2687" s="152"/>
      <c r="BP2687" s="152"/>
      <c r="BQ2687" s="152"/>
      <c r="BR2687" s="152"/>
      <c r="BS2687" s="152"/>
      <c r="BT2687" s="152"/>
      <c r="BU2687" s="152"/>
      <c r="BV2687" s="152"/>
      <c r="BW2687" s="152"/>
      <c r="BX2687" s="152"/>
      <c r="BY2687" s="152"/>
      <c r="BZ2687" s="152"/>
      <c r="CA2687" s="152"/>
      <c r="CB2687" s="152"/>
      <c r="CC2687" s="152"/>
      <c r="CD2687" s="152"/>
      <c r="CE2687" s="152"/>
      <c r="CF2687" s="152"/>
      <c r="CG2687" s="152"/>
      <c r="CH2687" s="152"/>
      <c r="CI2687" s="152"/>
      <c r="CJ2687" s="152"/>
      <c r="CK2687" s="152"/>
      <c r="CL2687" s="152"/>
      <c r="CM2687" s="152"/>
      <c r="CN2687" s="152"/>
      <c r="CO2687" s="152"/>
      <c r="CP2687" s="152"/>
      <c r="CQ2687" s="152"/>
      <c r="CR2687" s="152"/>
      <c r="CS2687" s="152"/>
      <c r="CT2687" s="152"/>
      <c r="CU2687" s="152"/>
      <c r="CV2687" s="152"/>
      <c r="CW2687" s="152"/>
      <c r="CX2687" s="152"/>
      <c r="CY2687" s="152"/>
      <c r="CZ2687" s="152"/>
      <c r="DA2687" s="152"/>
      <c r="DB2687" s="152"/>
      <c r="DC2687" s="152"/>
      <c r="DD2687" s="152"/>
      <c r="DE2687" s="152"/>
      <c r="DF2687" s="152"/>
      <c r="DG2687" s="152"/>
      <c r="DH2687" s="152"/>
      <c r="DI2687" s="152"/>
      <c r="DJ2687" s="152"/>
      <c r="DK2687" s="152"/>
      <c r="DL2687" s="152"/>
      <c r="DM2687" s="152"/>
      <c r="DN2687" s="152"/>
      <c r="DO2687" s="152"/>
      <c r="DP2687" s="152"/>
      <c r="DQ2687" s="152"/>
      <c r="DR2687" s="152"/>
      <c r="DS2687" s="152"/>
      <c r="DT2687" s="152"/>
      <c r="DU2687" s="152"/>
      <c r="DV2687" s="152"/>
      <c r="DW2687" s="152"/>
      <c r="DX2687" s="152"/>
      <c r="DY2687" s="152"/>
      <c r="DZ2687" s="152"/>
      <c r="EA2687" s="152"/>
      <c r="EB2687" s="152"/>
      <c r="EC2687" s="152"/>
      <c r="ED2687" s="152"/>
      <c r="EE2687" s="152"/>
      <c r="EF2687" s="152"/>
      <c r="EG2687" s="152"/>
      <c r="EH2687" s="152"/>
      <c r="EI2687" s="152"/>
      <c r="EJ2687" s="152"/>
      <c r="EK2687" s="152"/>
      <c r="EL2687" s="152"/>
      <c r="EM2687" s="152"/>
      <c r="EN2687" s="152"/>
      <c r="EO2687" s="152"/>
      <c r="EP2687" s="152"/>
      <c r="EQ2687" s="152"/>
      <c r="ER2687" s="152"/>
      <c r="ES2687" s="152"/>
      <c r="ET2687" s="152"/>
      <c r="EU2687" s="152"/>
      <c r="EV2687" s="152"/>
      <c r="EW2687" s="152"/>
      <c r="EX2687" s="152"/>
      <c r="EY2687" s="152"/>
      <c r="EZ2687" s="152"/>
      <c r="FA2687" s="152"/>
      <c r="FB2687" s="152"/>
      <c r="FC2687" s="152"/>
      <c r="FD2687" s="152"/>
      <c r="FE2687" s="152"/>
      <c r="FF2687" s="152"/>
      <c r="FG2687" s="152"/>
      <c r="FH2687" s="152"/>
      <c r="FI2687" s="152"/>
      <c r="FJ2687" s="152"/>
      <c r="FK2687" s="152"/>
      <c r="FL2687" s="152"/>
      <c r="FM2687" s="152"/>
      <c r="FN2687" s="152"/>
      <c r="FO2687" s="152"/>
      <c r="FP2687" s="152"/>
      <c r="FQ2687" s="152"/>
      <c r="FR2687" s="152"/>
      <c r="FS2687" s="152"/>
      <c r="FT2687" s="152"/>
      <c r="FU2687" s="152"/>
      <c r="FV2687" s="152"/>
      <c r="FW2687" s="152"/>
      <c r="FX2687" s="152"/>
      <c r="FY2687" s="152"/>
      <c r="FZ2687" s="152"/>
      <c r="GA2687" s="152"/>
      <c r="GB2687" s="152"/>
      <c r="GC2687" s="152"/>
      <c r="GD2687" s="152"/>
      <c r="GE2687" s="152"/>
      <c r="GF2687" s="152"/>
      <c r="GG2687" s="152"/>
      <c r="GH2687" s="152"/>
      <c r="GI2687" s="152"/>
      <c r="GJ2687" s="152"/>
      <c r="GK2687" s="152"/>
      <c r="GL2687" s="152"/>
      <c r="GM2687" s="152"/>
      <c r="GN2687" s="152"/>
      <c r="GO2687" s="152"/>
      <c r="GP2687" s="152"/>
      <c r="GQ2687" s="152"/>
      <c r="GR2687" s="152"/>
      <c r="GS2687" s="152"/>
      <c r="GT2687" s="152"/>
      <c r="GU2687" s="152"/>
      <c r="GV2687" s="152"/>
      <c r="GW2687" s="152"/>
      <c r="GX2687" s="152"/>
      <c r="GY2687" s="152"/>
      <c r="GZ2687" s="152"/>
      <c r="HA2687" s="152"/>
      <c r="HB2687" s="152"/>
      <c r="HC2687" s="152"/>
      <c r="HD2687" s="152"/>
      <c r="HE2687" s="152"/>
      <c r="HF2687" s="152"/>
    </row>
    <row r="2688" spans="1:214" x14ac:dyDescent="0.35">
      <c r="A2688" s="271"/>
      <c r="B2688" s="271"/>
      <c r="C2688" s="279"/>
      <c r="D2688" s="274"/>
      <c r="E2688" s="268"/>
      <c r="F2688" s="268"/>
      <c r="G2688" s="271"/>
      <c r="H2688" s="136" t="s">
        <v>73</v>
      </c>
      <c r="I2688" s="137">
        <v>4367548</v>
      </c>
      <c r="J2688" s="137">
        <f>I2688/D2687</f>
        <v>6030.03</v>
      </c>
      <c r="K2688" s="137">
        <f>7381</f>
        <v>7381</v>
      </c>
      <c r="L2688" s="152"/>
      <c r="M2688" s="152"/>
      <c r="N2688" s="152"/>
      <c r="O2688" s="152"/>
      <c r="P2688" s="152"/>
      <c r="Q2688" s="152"/>
      <c r="R2688" s="152"/>
      <c r="S2688" s="152"/>
      <c r="T2688" s="152"/>
      <c r="U2688" s="152"/>
      <c r="V2688" s="152"/>
      <c r="W2688" s="152"/>
      <c r="X2688" s="152"/>
      <c r="Y2688" s="152"/>
      <c r="Z2688" s="152"/>
      <c r="AA2688" s="152"/>
      <c r="AB2688" s="152"/>
      <c r="AC2688" s="152"/>
      <c r="AD2688" s="152"/>
      <c r="AE2688" s="152"/>
      <c r="AF2688" s="152"/>
      <c r="AG2688" s="152"/>
      <c r="AH2688" s="152"/>
      <c r="AI2688" s="152"/>
      <c r="AJ2688" s="152"/>
      <c r="AK2688" s="152"/>
      <c r="AL2688" s="152"/>
      <c r="AM2688" s="152"/>
      <c r="AN2688" s="152"/>
      <c r="AO2688" s="152"/>
      <c r="AP2688" s="152"/>
      <c r="AQ2688" s="152"/>
      <c r="AR2688" s="152"/>
      <c r="AS2688" s="152"/>
      <c r="AT2688" s="152"/>
      <c r="AU2688" s="152"/>
      <c r="AV2688" s="152"/>
      <c r="AW2688" s="152"/>
      <c r="AX2688" s="152"/>
      <c r="AY2688" s="152"/>
      <c r="AZ2688" s="152"/>
      <c r="BA2688" s="152"/>
      <c r="BB2688" s="152"/>
      <c r="BC2688" s="152"/>
      <c r="BD2688" s="152"/>
      <c r="BE2688" s="152"/>
      <c r="BF2688" s="152"/>
      <c r="BG2688" s="152"/>
      <c r="BH2688" s="152"/>
      <c r="BI2688" s="152"/>
      <c r="BJ2688" s="152"/>
      <c r="BK2688" s="152"/>
      <c r="BL2688" s="152"/>
      <c r="BM2688" s="152"/>
      <c r="BN2688" s="152"/>
      <c r="BO2688" s="152"/>
      <c r="BP2688" s="152"/>
      <c r="BQ2688" s="152"/>
      <c r="BR2688" s="152"/>
      <c r="BS2688" s="152"/>
      <c r="BT2688" s="152"/>
      <c r="BU2688" s="152"/>
      <c r="BV2688" s="152"/>
      <c r="BW2688" s="152"/>
      <c r="BX2688" s="152"/>
      <c r="BY2688" s="152"/>
      <c r="BZ2688" s="152"/>
      <c r="CA2688" s="152"/>
      <c r="CB2688" s="152"/>
      <c r="CC2688" s="152"/>
      <c r="CD2688" s="152"/>
      <c r="CE2688" s="152"/>
      <c r="CF2688" s="152"/>
      <c r="CG2688" s="152"/>
      <c r="CH2688" s="152"/>
      <c r="CI2688" s="152"/>
      <c r="CJ2688" s="152"/>
      <c r="CK2688" s="152"/>
      <c r="CL2688" s="152"/>
      <c r="CM2688" s="152"/>
      <c r="CN2688" s="152"/>
      <c r="CO2688" s="152"/>
      <c r="CP2688" s="152"/>
      <c r="CQ2688" s="152"/>
      <c r="CR2688" s="152"/>
      <c r="CS2688" s="152"/>
      <c r="CT2688" s="152"/>
      <c r="CU2688" s="152"/>
      <c r="CV2688" s="152"/>
      <c r="CW2688" s="152"/>
      <c r="CX2688" s="152"/>
      <c r="CY2688" s="152"/>
      <c r="CZ2688" s="152"/>
      <c r="DA2688" s="152"/>
      <c r="DB2688" s="152"/>
      <c r="DC2688" s="152"/>
      <c r="DD2688" s="152"/>
      <c r="DE2688" s="152"/>
      <c r="DF2688" s="152"/>
      <c r="DG2688" s="152"/>
      <c r="DH2688" s="152"/>
      <c r="DI2688" s="152"/>
      <c r="DJ2688" s="152"/>
      <c r="DK2688" s="152"/>
      <c r="DL2688" s="152"/>
      <c r="DM2688" s="152"/>
      <c r="DN2688" s="152"/>
      <c r="DO2688" s="152"/>
      <c r="DP2688" s="152"/>
      <c r="DQ2688" s="152"/>
      <c r="DR2688" s="152"/>
      <c r="DS2688" s="152"/>
      <c r="DT2688" s="152"/>
      <c r="DU2688" s="152"/>
      <c r="DV2688" s="152"/>
      <c r="DW2688" s="152"/>
      <c r="DX2688" s="152"/>
      <c r="DY2688" s="152"/>
      <c r="DZ2688" s="152"/>
      <c r="EA2688" s="152"/>
      <c r="EB2688" s="152"/>
      <c r="EC2688" s="152"/>
      <c r="ED2688" s="152"/>
      <c r="EE2688" s="152"/>
      <c r="EF2688" s="152"/>
      <c r="EG2688" s="152"/>
      <c r="EH2688" s="152"/>
      <c r="EI2688" s="152"/>
      <c r="EJ2688" s="152"/>
      <c r="EK2688" s="152"/>
      <c r="EL2688" s="152"/>
      <c r="EM2688" s="152"/>
      <c r="EN2688" s="152"/>
      <c r="EO2688" s="152"/>
      <c r="EP2688" s="152"/>
      <c r="EQ2688" s="152"/>
      <c r="ER2688" s="152"/>
      <c r="ES2688" s="152"/>
      <c r="ET2688" s="152"/>
      <c r="EU2688" s="152"/>
      <c r="EV2688" s="152"/>
      <c r="EW2688" s="152"/>
      <c r="EX2688" s="152"/>
      <c r="EY2688" s="152"/>
      <c r="EZ2688" s="152"/>
      <c r="FA2688" s="152"/>
      <c r="FB2688" s="152"/>
      <c r="FC2688" s="152"/>
      <c r="FD2688" s="152"/>
      <c r="FE2688" s="152"/>
      <c r="FF2688" s="152"/>
      <c r="FG2688" s="152"/>
      <c r="FH2688" s="152"/>
      <c r="FI2688" s="152"/>
      <c r="FJ2688" s="152"/>
      <c r="FK2688" s="152"/>
      <c r="FL2688" s="152"/>
      <c r="FM2688" s="152"/>
      <c r="FN2688" s="152"/>
      <c r="FO2688" s="152"/>
      <c r="FP2688" s="152"/>
      <c r="FQ2688" s="152"/>
      <c r="FR2688" s="152"/>
      <c r="FS2688" s="152"/>
      <c r="FT2688" s="152"/>
      <c r="FU2688" s="152"/>
      <c r="FV2688" s="152"/>
      <c r="FW2688" s="152"/>
      <c r="FX2688" s="152"/>
      <c r="FY2688" s="152"/>
      <c r="FZ2688" s="152"/>
      <c r="GA2688" s="152"/>
      <c r="GB2688" s="152"/>
      <c r="GC2688" s="152"/>
      <c r="GD2688" s="152"/>
      <c r="GE2688" s="152"/>
      <c r="GF2688" s="152"/>
      <c r="GG2688" s="152"/>
      <c r="GH2688" s="152"/>
      <c r="GI2688" s="152"/>
      <c r="GJ2688" s="152"/>
      <c r="GK2688" s="152"/>
      <c r="GL2688" s="152"/>
      <c r="GM2688" s="152"/>
      <c r="GN2688" s="152"/>
      <c r="GO2688" s="152"/>
      <c r="GP2688" s="152"/>
      <c r="GQ2688" s="152"/>
      <c r="GR2688" s="152"/>
      <c r="GS2688" s="152"/>
      <c r="GT2688" s="152"/>
      <c r="GU2688" s="152"/>
      <c r="GV2688" s="152"/>
      <c r="GW2688" s="152"/>
      <c r="GX2688" s="152"/>
      <c r="GY2688" s="152"/>
      <c r="GZ2688" s="152"/>
      <c r="HA2688" s="152"/>
      <c r="HB2688" s="152"/>
      <c r="HC2688" s="152"/>
      <c r="HD2688" s="152"/>
      <c r="HE2688" s="152"/>
      <c r="HF2688" s="152"/>
    </row>
    <row r="2689" spans="1:214" x14ac:dyDescent="0.35">
      <c r="A2689" s="272">
        <v>53</v>
      </c>
      <c r="B2689" s="272"/>
      <c r="C2689" s="285"/>
      <c r="D2689" s="275">
        <v>228.3</v>
      </c>
      <c r="E2689" s="269"/>
      <c r="F2689" s="269"/>
      <c r="G2689" s="272"/>
      <c r="H2689" s="136" t="s">
        <v>75</v>
      </c>
      <c r="I2689" s="137">
        <f>D2687*K2689</f>
        <v>114439.4</v>
      </c>
      <c r="J2689" s="137">
        <f>I2689/D2687</f>
        <v>158</v>
      </c>
      <c r="K2689" s="137">
        <f>158</f>
        <v>158</v>
      </c>
      <c r="L2689" s="152"/>
      <c r="M2689" s="152"/>
      <c r="N2689" s="152"/>
      <c r="O2689" s="152"/>
      <c r="P2689" s="152"/>
      <c r="Q2689" s="152"/>
      <c r="R2689" s="152"/>
      <c r="S2689" s="152"/>
      <c r="T2689" s="152"/>
      <c r="U2689" s="152"/>
      <c r="V2689" s="152"/>
      <c r="W2689" s="152"/>
      <c r="X2689" s="152"/>
      <c r="Y2689" s="152"/>
      <c r="Z2689" s="152"/>
      <c r="AA2689" s="152"/>
      <c r="AB2689" s="152"/>
      <c r="AC2689" s="152"/>
      <c r="AD2689" s="152"/>
      <c r="AE2689" s="152"/>
      <c r="AF2689" s="152"/>
      <c r="AG2689" s="152"/>
      <c r="AH2689" s="152"/>
      <c r="AI2689" s="152"/>
      <c r="AJ2689" s="152"/>
      <c r="AK2689" s="152"/>
      <c r="AL2689" s="152"/>
      <c r="AM2689" s="152"/>
      <c r="AN2689" s="152"/>
      <c r="AO2689" s="152"/>
      <c r="AP2689" s="152"/>
      <c r="AQ2689" s="152"/>
      <c r="AR2689" s="152"/>
      <c r="AS2689" s="152"/>
      <c r="AT2689" s="152"/>
      <c r="AU2689" s="152"/>
      <c r="AV2689" s="152"/>
      <c r="AW2689" s="152"/>
      <c r="AX2689" s="152"/>
      <c r="AY2689" s="152"/>
      <c r="AZ2689" s="152"/>
      <c r="BA2689" s="152"/>
      <c r="BB2689" s="152"/>
      <c r="BC2689" s="152"/>
      <c r="BD2689" s="152"/>
      <c r="BE2689" s="152"/>
      <c r="BF2689" s="152"/>
      <c r="BG2689" s="152"/>
      <c r="BH2689" s="152"/>
      <c r="BI2689" s="152"/>
      <c r="BJ2689" s="152"/>
      <c r="BK2689" s="152"/>
      <c r="BL2689" s="152"/>
      <c r="BM2689" s="152"/>
      <c r="BN2689" s="152"/>
      <c r="BO2689" s="152"/>
      <c r="BP2689" s="152"/>
      <c r="BQ2689" s="152"/>
      <c r="BR2689" s="152"/>
      <c r="BS2689" s="152"/>
      <c r="BT2689" s="152"/>
      <c r="BU2689" s="152"/>
      <c r="BV2689" s="152"/>
      <c r="BW2689" s="152"/>
      <c r="BX2689" s="152"/>
      <c r="BY2689" s="152"/>
      <c r="BZ2689" s="152"/>
      <c r="CA2689" s="152"/>
      <c r="CB2689" s="152"/>
      <c r="CC2689" s="152"/>
      <c r="CD2689" s="152"/>
      <c r="CE2689" s="152"/>
      <c r="CF2689" s="152"/>
      <c r="CG2689" s="152"/>
      <c r="CH2689" s="152"/>
      <c r="CI2689" s="152"/>
      <c r="CJ2689" s="152"/>
      <c r="CK2689" s="152"/>
      <c r="CL2689" s="152"/>
      <c r="CM2689" s="152"/>
      <c r="CN2689" s="152"/>
      <c r="CO2689" s="152"/>
      <c r="CP2689" s="152"/>
      <c r="CQ2689" s="152"/>
      <c r="CR2689" s="152"/>
      <c r="CS2689" s="152"/>
      <c r="CT2689" s="152"/>
      <c r="CU2689" s="152"/>
      <c r="CV2689" s="152"/>
      <c r="CW2689" s="152"/>
      <c r="CX2689" s="152"/>
      <c r="CY2689" s="152"/>
      <c r="CZ2689" s="152"/>
      <c r="DA2689" s="152"/>
      <c r="DB2689" s="152"/>
      <c r="DC2689" s="152"/>
      <c r="DD2689" s="152"/>
      <c r="DE2689" s="152"/>
      <c r="DF2689" s="152"/>
      <c r="DG2689" s="152"/>
      <c r="DH2689" s="152"/>
      <c r="DI2689" s="152"/>
      <c r="DJ2689" s="152"/>
      <c r="DK2689" s="152"/>
      <c r="DL2689" s="152"/>
      <c r="DM2689" s="152"/>
      <c r="DN2689" s="152"/>
      <c r="DO2689" s="152"/>
      <c r="DP2689" s="152"/>
      <c r="DQ2689" s="152"/>
      <c r="DR2689" s="152"/>
      <c r="DS2689" s="152"/>
      <c r="DT2689" s="152"/>
      <c r="DU2689" s="152"/>
      <c r="DV2689" s="152"/>
      <c r="DW2689" s="152"/>
      <c r="DX2689" s="152"/>
      <c r="DY2689" s="152"/>
      <c r="DZ2689" s="152"/>
      <c r="EA2689" s="152"/>
      <c r="EB2689" s="152"/>
      <c r="EC2689" s="152"/>
      <c r="ED2689" s="152"/>
      <c r="EE2689" s="152"/>
      <c r="EF2689" s="152"/>
      <c r="EG2689" s="152"/>
      <c r="EH2689" s="152"/>
      <c r="EI2689" s="152"/>
      <c r="EJ2689" s="152"/>
      <c r="EK2689" s="152"/>
      <c r="EL2689" s="152"/>
      <c r="EM2689" s="152"/>
      <c r="EN2689" s="152"/>
      <c r="EO2689" s="152"/>
      <c r="EP2689" s="152"/>
      <c r="EQ2689" s="152"/>
      <c r="ER2689" s="152"/>
      <c r="ES2689" s="152"/>
      <c r="ET2689" s="152"/>
      <c r="EU2689" s="152"/>
      <c r="EV2689" s="152"/>
      <c r="EW2689" s="152"/>
      <c r="EX2689" s="152"/>
      <c r="EY2689" s="152"/>
      <c r="EZ2689" s="152"/>
      <c r="FA2689" s="152"/>
      <c r="FB2689" s="152"/>
      <c r="FC2689" s="152"/>
      <c r="FD2689" s="152"/>
      <c r="FE2689" s="152"/>
      <c r="FF2689" s="152"/>
      <c r="FG2689" s="152"/>
      <c r="FH2689" s="152"/>
      <c r="FI2689" s="152"/>
      <c r="FJ2689" s="152"/>
      <c r="FK2689" s="152"/>
      <c r="FL2689" s="152"/>
      <c r="FM2689" s="152"/>
      <c r="FN2689" s="152"/>
      <c r="FO2689" s="152"/>
      <c r="FP2689" s="152"/>
      <c r="FQ2689" s="152"/>
      <c r="FR2689" s="152"/>
      <c r="FS2689" s="152"/>
      <c r="FT2689" s="152"/>
      <c r="FU2689" s="152"/>
      <c r="FV2689" s="152"/>
      <c r="FW2689" s="152"/>
      <c r="FX2689" s="152"/>
      <c r="FY2689" s="152"/>
      <c r="FZ2689" s="152"/>
      <c r="GA2689" s="152"/>
      <c r="GB2689" s="152"/>
      <c r="GC2689" s="152"/>
      <c r="GD2689" s="152"/>
      <c r="GE2689" s="152"/>
      <c r="GF2689" s="152"/>
      <c r="GG2689" s="152"/>
      <c r="GH2689" s="152"/>
      <c r="GI2689" s="152"/>
      <c r="GJ2689" s="152"/>
      <c r="GK2689" s="152"/>
      <c r="GL2689" s="152"/>
      <c r="GM2689" s="152"/>
      <c r="GN2689" s="152"/>
      <c r="GO2689" s="152"/>
      <c r="GP2689" s="152"/>
      <c r="GQ2689" s="152"/>
      <c r="GR2689" s="152"/>
      <c r="GS2689" s="152"/>
      <c r="GT2689" s="152"/>
      <c r="GU2689" s="152"/>
      <c r="GV2689" s="152"/>
      <c r="GW2689" s="152"/>
      <c r="GX2689" s="152"/>
      <c r="GY2689" s="152"/>
      <c r="GZ2689" s="152"/>
      <c r="HA2689" s="152"/>
      <c r="HB2689" s="152"/>
      <c r="HC2689" s="152"/>
      <c r="HD2689" s="152"/>
      <c r="HE2689" s="152"/>
      <c r="HF2689" s="152"/>
    </row>
    <row r="2690" spans="1:214" x14ac:dyDescent="0.35">
      <c r="A2690" s="138" t="s">
        <v>35</v>
      </c>
      <c r="B2690" s="143"/>
      <c r="C2690" s="144"/>
      <c r="D2690" s="166">
        <f>D2691</f>
        <v>329.6</v>
      </c>
      <c r="E2690" s="192"/>
      <c r="F2690" s="192"/>
      <c r="G2690" s="166"/>
      <c r="H2690" s="137"/>
      <c r="I2690" s="181">
        <f>I2691</f>
        <v>2179914.34</v>
      </c>
      <c r="J2690" s="181"/>
      <c r="K2690" s="181"/>
      <c r="L2690" s="152"/>
      <c r="M2690" s="152"/>
      <c r="N2690" s="152"/>
      <c r="O2690" s="152"/>
      <c r="P2690" s="152"/>
      <c r="Q2690" s="152"/>
      <c r="R2690" s="152"/>
      <c r="S2690" s="152"/>
      <c r="T2690" s="152"/>
      <c r="U2690" s="152"/>
      <c r="V2690" s="152"/>
      <c r="W2690" s="152"/>
      <c r="X2690" s="152"/>
      <c r="Y2690" s="152"/>
      <c r="Z2690" s="152"/>
      <c r="AA2690" s="152"/>
      <c r="AB2690" s="152"/>
      <c r="AC2690" s="152"/>
      <c r="AD2690" s="152"/>
      <c r="AE2690" s="152"/>
      <c r="AF2690" s="152"/>
      <c r="AG2690" s="152"/>
      <c r="AH2690" s="152"/>
      <c r="AI2690" s="152"/>
      <c r="AJ2690" s="152"/>
      <c r="AK2690" s="152"/>
      <c r="AL2690" s="152"/>
      <c r="AM2690" s="152"/>
      <c r="AN2690" s="152"/>
      <c r="AO2690" s="152"/>
      <c r="AP2690" s="152"/>
      <c r="AQ2690" s="152"/>
      <c r="AR2690" s="152"/>
      <c r="AS2690" s="152"/>
      <c r="AT2690" s="152"/>
      <c r="AU2690" s="152"/>
      <c r="AV2690" s="152"/>
      <c r="AW2690" s="152"/>
      <c r="AX2690" s="152"/>
      <c r="AY2690" s="152"/>
      <c r="AZ2690" s="152"/>
      <c r="BA2690" s="152"/>
      <c r="BB2690" s="152"/>
      <c r="BC2690" s="152"/>
      <c r="BD2690" s="152"/>
      <c r="BE2690" s="152"/>
      <c r="BF2690" s="152"/>
      <c r="BG2690" s="152"/>
      <c r="BH2690" s="152"/>
      <c r="BI2690" s="152"/>
      <c r="BJ2690" s="152"/>
      <c r="BK2690" s="152"/>
      <c r="BL2690" s="152"/>
      <c r="BM2690" s="152"/>
      <c r="BN2690" s="152"/>
      <c r="BO2690" s="152"/>
      <c r="BP2690" s="152"/>
      <c r="BQ2690" s="152"/>
      <c r="BR2690" s="152"/>
      <c r="BS2690" s="152"/>
      <c r="BT2690" s="152"/>
      <c r="BU2690" s="152"/>
      <c r="BV2690" s="152"/>
      <c r="BW2690" s="152"/>
      <c r="BX2690" s="152"/>
      <c r="BY2690" s="152"/>
      <c r="BZ2690" s="152"/>
      <c r="CA2690" s="152"/>
      <c r="CB2690" s="152"/>
      <c r="CC2690" s="152"/>
      <c r="CD2690" s="152"/>
      <c r="CE2690" s="152"/>
      <c r="CF2690" s="152"/>
      <c r="CG2690" s="152"/>
      <c r="CH2690" s="152"/>
      <c r="CI2690" s="152"/>
      <c r="CJ2690" s="152"/>
      <c r="CK2690" s="152"/>
      <c r="CL2690" s="152"/>
      <c r="CM2690" s="152"/>
      <c r="CN2690" s="152"/>
      <c r="CO2690" s="152"/>
      <c r="CP2690" s="152"/>
      <c r="CQ2690" s="152"/>
      <c r="CR2690" s="152"/>
      <c r="CS2690" s="152"/>
      <c r="CT2690" s="152"/>
      <c r="CU2690" s="152"/>
      <c r="CV2690" s="152"/>
      <c r="CW2690" s="152"/>
      <c r="CX2690" s="152"/>
      <c r="CY2690" s="152"/>
      <c r="CZ2690" s="152"/>
      <c r="DA2690" s="152"/>
      <c r="DB2690" s="152"/>
      <c r="DC2690" s="152"/>
      <c r="DD2690" s="152"/>
      <c r="DE2690" s="152"/>
      <c r="DF2690" s="152"/>
      <c r="DG2690" s="152"/>
      <c r="DH2690" s="152"/>
      <c r="DI2690" s="152"/>
      <c r="DJ2690" s="152"/>
      <c r="DK2690" s="152"/>
      <c r="DL2690" s="152"/>
      <c r="DM2690" s="152"/>
      <c r="DN2690" s="152"/>
      <c r="DO2690" s="152"/>
      <c r="DP2690" s="152"/>
      <c r="DQ2690" s="152"/>
      <c r="DR2690" s="152"/>
      <c r="DS2690" s="152"/>
      <c r="DT2690" s="152"/>
      <c r="DU2690" s="152"/>
      <c r="DV2690" s="152"/>
      <c r="DW2690" s="152"/>
      <c r="DX2690" s="152"/>
      <c r="DY2690" s="152"/>
      <c r="DZ2690" s="152"/>
      <c r="EA2690" s="152"/>
      <c r="EB2690" s="152"/>
      <c r="EC2690" s="152"/>
      <c r="ED2690" s="152"/>
      <c r="EE2690" s="152"/>
      <c r="EF2690" s="152"/>
      <c r="EG2690" s="152"/>
      <c r="EH2690" s="152"/>
      <c r="EI2690" s="152"/>
      <c r="EJ2690" s="152"/>
      <c r="EK2690" s="152"/>
      <c r="EL2690" s="152"/>
      <c r="EM2690" s="152"/>
      <c r="EN2690" s="152"/>
      <c r="EO2690" s="152"/>
      <c r="EP2690" s="152"/>
      <c r="EQ2690" s="152"/>
      <c r="ER2690" s="152"/>
      <c r="ES2690" s="152"/>
      <c r="ET2690" s="152"/>
      <c r="EU2690" s="152"/>
      <c r="EV2690" s="152"/>
      <c r="EW2690" s="152"/>
      <c r="EX2690" s="152"/>
      <c r="EY2690" s="152"/>
      <c r="EZ2690" s="152"/>
      <c r="FA2690" s="152"/>
      <c r="FB2690" s="152"/>
      <c r="FC2690" s="152"/>
      <c r="FD2690" s="152"/>
      <c r="FE2690" s="152"/>
      <c r="FF2690" s="152"/>
      <c r="FG2690" s="152"/>
      <c r="FH2690" s="152"/>
      <c r="FI2690" s="152"/>
      <c r="FJ2690" s="152"/>
      <c r="FK2690" s="152"/>
      <c r="FL2690" s="152"/>
      <c r="FM2690" s="152"/>
      <c r="FN2690" s="152"/>
      <c r="FO2690" s="152"/>
      <c r="FP2690" s="152"/>
      <c r="FQ2690" s="152"/>
      <c r="FR2690" s="152"/>
      <c r="FS2690" s="152"/>
      <c r="FT2690" s="152"/>
      <c r="FU2690" s="152"/>
      <c r="FV2690" s="152"/>
      <c r="FW2690" s="152"/>
      <c r="FX2690" s="152"/>
      <c r="FY2690" s="152"/>
      <c r="FZ2690" s="152"/>
      <c r="GA2690" s="152"/>
      <c r="GB2690" s="152"/>
      <c r="GC2690" s="152"/>
      <c r="GD2690" s="152"/>
      <c r="GE2690" s="152"/>
      <c r="GF2690" s="152"/>
      <c r="GG2690" s="152"/>
      <c r="GH2690" s="152"/>
      <c r="GI2690" s="152"/>
      <c r="GJ2690" s="152"/>
      <c r="GK2690" s="152"/>
      <c r="GL2690" s="152"/>
      <c r="GM2690" s="152"/>
      <c r="GN2690" s="152"/>
      <c r="GO2690" s="152"/>
      <c r="GP2690" s="152"/>
      <c r="GQ2690" s="152"/>
      <c r="GR2690" s="152"/>
      <c r="GS2690" s="152"/>
      <c r="GT2690" s="152"/>
      <c r="GU2690" s="152"/>
      <c r="GV2690" s="152"/>
      <c r="GW2690" s="152"/>
      <c r="GX2690" s="152"/>
      <c r="GY2690" s="152"/>
      <c r="GZ2690" s="152"/>
      <c r="HA2690" s="152"/>
      <c r="HB2690" s="152"/>
      <c r="HC2690" s="152"/>
      <c r="HD2690" s="152"/>
      <c r="HE2690" s="152"/>
      <c r="HF2690" s="152"/>
    </row>
    <row r="2691" spans="1:214" x14ac:dyDescent="0.35">
      <c r="A2691" s="270">
        <v>1</v>
      </c>
      <c r="B2691" s="278">
        <v>6692</v>
      </c>
      <c r="C2691" s="278" t="s">
        <v>172</v>
      </c>
      <c r="D2691" s="273">
        <v>329.6</v>
      </c>
      <c r="E2691" s="282" t="s">
        <v>633</v>
      </c>
      <c r="F2691" s="282">
        <v>2</v>
      </c>
      <c r="G2691" s="270" t="s">
        <v>71</v>
      </c>
      <c r="H2691" s="136" t="s">
        <v>72</v>
      </c>
      <c r="I2691" s="181">
        <f>I2692+I2693</f>
        <v>2179914.34</v>
      </c>
      <c r="J2691" s="181">
        <f>J2692+J2693</f>
        <v>6613.82</v>
      </c>
      <c r="K2691" s="181">
        <f>K2692+K2693</f>
        <v>7539</v>
      </c>
      <c r="L2691" s="152"/>
      <c r="M2691" s="152"/>
      <c r="N2691" s="152"/>
      <c r="O2691" s="152"/>
      <c r="P2691" s="152"/>
      <c r="Q2691" s="152"/>
      <c r="R2691" s="152"/>
      <c r="S2691" s="152"/>
      <c r="T2691" s="152"/>
      <c r="U2691" s="152"/>
      <c r="V2691" s="152"/>
      <c r="W2691" s="152"/>
      <c r="X2691" s="152"/>
      <c r="Y2691" s="152"/>
      <c r="Z2691" s="152"/>
      <c r="AA2691" s="152"/>
      <c r="AB2691" s="152"/>
      <c r="AC2691" s="152"/>
      <c r="AD2691" s="152"/>
      <c r="AE2691" s="152"/>
      <c r="AF2691" s="152"/>
      <c r="AG2691" s="152"/>
      <c r="AH2691" s="152"/>
      <c r="AI2691" s="152"/>
      <c r="AJ2691" s="152"/>
      <c r="AK2691" s="152"/>
      <c r="AL2691" s="152"/>
      <c r="AM2691" s="152"/>
      <c r="AN2691" s="152"/>
      <c r="AO2691" s="152"/>
      <c r="AP2691" s="152"/>
      <c r="AQ2691" s="152"/>
      <c r="AR2691" s="152"/>
      <c r="AS2691" s="152"/>
      <c r="AT2691" s="152"/>
      <c r="AU2691" s="152"/>
      <c r="AV2691" s="152"/>
      <c r="AW2691" s="152"/>
      <c r="AX2691" s="152"/>
      <c r="AY2691" s="152"/>
      <c r="AZ2691" s="152"/>
      <c r="BA2691" s="152"/>
      <c r="BB2691" s="152"/>
      <c r="BC2691" s="152"/>
      <c r="BD2691" s="152"/>
      <c r="BE2691" s="152"/>
      <c r="BF2691" s="152"/>
      <c r="BG2691" s="152"/>
      <c r="BH2691" s="152"/>
      <c r="BI2691" s="152"/>
      <c r="BJ2691" s="152"/>
      <c r="BK2691" s="152"/>
      <c r="BL2691" s="152"/>
      <c r="BM2691" s="152"/>
      <c r="BN2691" s="152"/>
      <c r="BO2691" s="152"/>
      <c r="BP2691" s="152"/>
      <c r="BQ2691" s="152"/>
      <c r="BR2691" s="152"/>
      <c r="BS2691" s="152"/>
      <c r="BT2691" s="152"/>
      <c r="BU2691" s="152"/>
      <c r="BV2691" s="152"/>
      <c r="BW2691" s="152"/>
      <c r="BX2691" s="152"/>
      <c r="BY2691" s="152"/>
      <c r="BZ2691" s="152"/>
      <c r="CA2691" s="152"/>
      <c r="CB2691" s="152"/>
      <c r="CC2691" s="152"/>
      <c r="CD2691" s="152"/>
      <c r="CE2691" s="152"/>
      <c r="CF2691" s="152"/>
      <c r="CG2691" s="152"/>
      <c r="CH2691" s="152"/>
      <c r="CI2691" s="152"/>
      <c r="CJ2691" s="152"/>
      <c r="CK2691" s="152"/>
      <c r="CL2691" s="152"/>
      <c r="CM2691" s="152"/>
      <c r="CN2691" s="152"/>
      <c r="CO2691" s="152"/>
      <c r="CP2691" s="152"/>
      <c r="CQ2691" s="152"/>
      <c r="CR2691" s="152"/>
      <c r="CS2691" s="152"/>
      <c r="CT2691" s="152"/>
      <c r="CU2691" s="152"/>
      <c r="CV2691" s="152"/>
      <c r="CW2691" s="152"/>
      <c r="CX2691" s="152"/>
      <c r="CY2691" s="152"/>
      <c r="CZ2691" s="152"/>
      <c r="DA2691" s="152"/>
      <c r="DB2691" s="152"/>
      <c r="DC2691" s="152"/>
      <c r="DD2691" s="152"/>
      <c r="DE2691" s="152"/>
      <c r="DF2691" s="152"/>
      <c r="DG2691" s="152"/>
      <c r="DH2691" s="152"/>
      <c r="DI2691" s="152"/>
      <c r="DJ2691" s="152"/>
      <c r="DK2691" s="152"/>
      <c r="DL2691" s="152"/>
      <c r="DM2691" s="152"/>
      <c r="DN2691" s="152"/>
      <c r="DO2691" s="152"/>
      <c r="DP2691" s="152"/>
      <c r="DQ2691" s="152"/>
      <c r="DR2691" s="152"/>
      <c r="DS2691" s="152"/>
      <c r="DT2691" s="152"/>
      <c r="DU2691" s="152"/>
      <c r="DV2691" s="152"/>
      <c r="DW2691" s="152"/>
      <c r="DX2691" s="152"/>
      <c r="DY2691" s="152"/>
      <c r="DZ2691" s="152"/>
      <c r="EA2691" s="152"/>
      <c r="EB2691" s="152"/>
      <c r="EC2691" s="152"/>
      <c r="ED2691" s="152"/>
      <c r="EE2691" s="152"/>
      <c r="EF2691" s="152"/>
      <c r="EG2691" s="152"/>
      <c r="EH2691" s="152"/>
      <c r="EI2691" s="152"/>
      <c r="EJ2691" s="152"/>
      <c r="EK2691" s="152"/>
      <c r="EL2691" s="152"/>
      <c r="EM2691" s="152"/>
      <c r="EN2691" s="152"/>
      <c r="EO2691" s="152"/>
      <c r="EP2691" s="152"/>
      <c r="EQ2691" s="152"/>
      <c r="ER2691" s="152"/>
      <c r="ES2691" s="152"/>
      <c r="ET2691" s="152"/>
      <c r="EU2691" s="152"/>
      <c r="EV2691" s="152"/>
      <c r="EW2691" s="152"/>
      <c r="EX2691" s="152"/>
      <c r="EY2691" s="152"/>
      <c r="EZ2691" s="152"/>
      <c r="FA2691" s="152"/>
      <c r="FB2691" s="152"/>
      <c r="FC2691" s="152"/>
      <c r="FD2691" s="152"/>
      <c r="FE2691" s="152"/>
      <c r="FF2691" s="152"/>
      <c r="FG2691" s="152"/>
      <c r="FH2691" s="152"/>
      <c r="FI2691" s="152"/>
      <c r="FJ2691" s="152"/>
      <c r="FK2691" s="152"/>
      <c r="FL2691" s="152"/>
      <c r="FM2691" s="152"/>
      <c r="FN2691" s="152"/>
      <c r="FO2691" s="152"/>
      <c r="FP2691" s="152"/>
      <c r="FQ2691" s="152"/>
      <c r="FR2691" s="152"/>
      <c r="FS2691" s="152"/>
      <c r="FT2691" s="152"/>
      <c r="FU2691" s="152"/>
      <c r="FV2691" s="152"/>
      <c r="FW2691" s="152"/>
      <c r="FX2691" s="152"/>
      <c r="FY2691" s="152"/>
      <c r="FZ2691" s="152"/>
      <c r="GA2691" s="152"/>
      <c r="GB2691" s="152"/>
      <c r="GC2691" s="152"/>
      <c r="GD2691" s="152"/>
      <c r="GE2691" s="152"/>
      <c r="GF2691" s="152"/>
      <c r="GG2691" s="152"/>
      <c r="GH2691" s="152"/>
      <c r="GI2691" s="152"/>
      <c r="GJ2691" s="152"/>
      <c r="GK2691" s="152"/>
      <c r="GL2691" s="152"/>
      <c r="GM2691" s="152"/>
      <c r="GN2691" s="152"/>
      <c r="GO2691" s="152"/>
      <c r="GP2691" s="152"/>
      <c r="GQ2691" s="152"/>
      <c r="GR2691" s="152"/>
      <c r="GS2691" s="152"/>
      <c r="GT2691" s="152"/>
      <c r="GU2691" s="152"/>
      <c r="GV2691" s="152"/>
      <c r="GW2691" s="152"/>
      <c r="GX2691" s="152"/>
      <c r="GY2691" s="152"/>
      <c r="GZ2691" s="152"/>
      <c r="HA2691" s="152"/>
      <c r="HB2691" s="152"/>
      <c r="HC2691" s="152"/>
      <c r="HD2691" s="152"/>
      <c r="HE2691" s="152"/>
      <c r="HF2691" s="152"/>
    </row>
    <row r="2692" spans="1:214" x14ac:dyDescent="0.35">
      <c r="A2692" s="271">
        <v>55</v>
      </c>
      <c r="B2692" s="279"/>
      <c r="C2692" s="279"/>
      <c r="D2692" s="274"/>
      <c r="E2692" s="283"/>
      <c r="F2692" s="283"/>
      <c r="G2692" s="271"/>
      <c r="H2692" s="136" t="s">
        <v>73</v>
      </c>
      <c r="I2692" s="181">
        <v>2134241.5699999998</v>
      </c>
      <c r="J2692" s="181">
        <f>I2692/D2691</f>
        <v>6475.25</v>
      </c>
      <c r="K2692" s="181">
        <v>7381</v>
      </c>
      <c r="L2692" s="152"/>
      <c r="M2692" s="152"/>
      <c r="N2692" s="152"/>
      <c r="O2692" s="152"/>
      <c r="P2692" s="152"/>
      <c r="Q2692" s="152"/>
      <c r="R2692" s="152"/>
      <c r="S2692" s="152"/>
      <c r="T2692" s="152"/>
      <c r="U2692" s="152"/>
      <c r="V2692" s="152"/>
      <c r="W2692" s="152"/>
      <c r="X2692" s="152"/>
      <c r="Y2692" s="152"/>
      <c r="Z2692" s="152"/>
      <c r="AA2692" s="152"/>
      <c r="AB2692" s="152"/>
      <c r="AC2692" s="152"/>
      <c r="AD2692" s="152"/>
      <c r="AE2692" s="152"/>
      <c r="AF2692" s="152"/>
      <c r="AG2692" s="152"/>
      <c r="AH2692" s="152"/>
      <c r="AI2692" s="152"/>
      <c r="AJ2692" s="152"/>
      <c r="AK2692" s="152"/>
      <c r="AL2692" s="152"/>
      <c r="AM2692" s="152"/>
      <c r="AN2692" s="152"/>
      <c r="AO2692" s="152"/>
      <c r="AP2692" s="152"/>
      <c r="AQ2692" s="152"/>
      <c r="AR2692" s="152"/>
      <c r="AS2692" s="152"/>
      <c r="AT2692" s="152"/>
      <c r="AU2692" s="152"/>
      <c r="AV2692" s="152"/>
      <c r="AW2692" s="152"/>
      <c r="AX2692" s="152"/>
      <c r="AY2692" s="152"/>
      <c r="AZ2692" s="152"/>
      <c r="BA2692" s="152"/>
      <c r="BB2692" s="152"/>
      <c r="BC2692" s="152"/>
      <c r="BD2692" s="152"/>
      <c r="BE2692" s="152"/>
      <c r="BF2692" s="152"/>
      <c r="BG2692" s="152"/>
      <c r="BH2692" s="152"/>
      <c r="BI2692" s="152"/>
      <c r="BJ2692" s="152"/>
      <c r="BK2692" s="152"/>
      <c r="BL2692" s="152"/>
      <c r="BM2692" s="152"/>
      <c r="BN2692" s="152"/>
      <c r="BO2692" s="152"/>
      <c r="BP2692" s="152"/>
      <c r="BQ2692" s="152"/>
      <c r="BR2692" s="152"/>
      <c r="BS2692" s="152"/>
      <c r="BT2692" s="152"/>
      <c r="BU2692" s="152"/>
      <c r="BV2692" s="152"/>
      <c r="BW2692" s="152"/>
      <c r="BX2692" s="152"/>
      <c r="BY2692" s="152"/>
      <c r="BZ2692" s="152"/>
      <c r="CA2692" s="152"/>
      <c r="CB2692" s="152"/>
      <c r="CC2692" s="152"/>
      <c r="CD2692" s="152"/>
      <c r="CE2692" s="152"/>
      <c r="CF2692" s="152"/>
      <c r="CG2692" s="152"/>
      <c r="CH2692" s="152"/>
      <c r="CI2692" s="152"/>
      <c r="CJ2692" s="152"/>
      <c r="CK2692" s="152"/>
      <c r="CL2692" s="152"/>
      <c r="CM2692" s="152"/>
      <c r="CN2692" s="152"/>
      <c r="CO2692" s="152"/>
      <c r="CP2692" s="152"/>
      <c r="CQ2692" s="152"/>
      <c r="CR2692" s="152"/>
      <c r="CS2692" s="152"/>
      <c r="CT2692" s="152"/>
      <c r="CU2692" s="152"/>
      <c r="CV2692" s="152"/>
      <c r="CW2692" s="152"/>
      <c r="CX2692" s="152"/>
      <c r="CY2692" s="152"/>
      <c r="CZ2692" s="152"/>
      <c r="DA2692" s="152"/>
      <c r="DB2692" s="152"/>
      <c r="DC2692" s="152"/>
      <c r="DD2692" s="152"/>
      <c r="DE2692" s="152"/>
      <c r="DF2692" s="152"/>
      <c r="DG2692" s="152"/>
      <c r="DH2692" s="152"/>
      <c r="DI2692" s="152"/>
      <c r="DJ2692" s="152"/>
      <c r="DK2692" s="152"/>
      <c r="DL2692" s="152"/>
      <c r="DM2692" s="152"/>
      <c r="DN2692" s="152"/>
      <c r="DO2692" s="152"/>
      <c r="DP2692" s="152"/>
      <c r="DQ2692" s="152"/>
      <c r="DR2692" s="152"/>
      <c r="DS2692" s="152"/>
      <c r="DT2692" s="152"/>
      <c r="DU2692" s="152"/>
      <c r="DV2692" s="152"/>
      <c r="DW2692" s="152"/>
      <c r="DX2692" s="152"/>
      <c r="DY2692" s="152"/>
      <c r="DZ2692" s="152"/>
      <c r="EA2692" s="152"/>
      <c r="EB2692" s="152"/>
      <c r="EC2692" s="152"/>
      <c r="ED2692" s="152"/>
      <c r="EE2692" s="152"/>
      <c r="EF2692" s="152"/>
      <c r="EG2692" s="152"/>
      <c r="EH2692" s="152"/>
      <c r="EI2692" s="152"/>
      <c r="EJ2692" s="152"/>
      <c r="EK2692" s="152"/>
      <c r="EL2692" s="152"/>
      <c r="EM2692" s="152"/>
      <c r="EN2692" s="152"/>
      <c r="EO2692" s="152"/>
      <c r="EP2692" s="152"/>
      <c r="EQ2692" s="152"/>
      <c r="ER2692" s="152"/>
      <c r="ES2692" s="152"/>
      <c r="ET2692" s="152"/>
      <c r="EU2692" s="152"/>
      <c r="EV2692" s="152"/>
      <c r="EW2692" s="152"/>
      <c r="EX2692" s="152"/>
      <c r="EY2692" s="152"/>
      <c r="EZ2692" s="152"/>
      <c r="FA2692" s="152"/>
      <c r="FB2692" s="152"/>
      <c r="FC2692" s="152"/>
      <c r="FD2692" s="152"/>
      <c r="FE2692" s="152"/>
      <c r="FF2692" s="152"/>
      <c r="FG2692" s="152"/>
      <c r="FH2692" s="152"/>
      <c r="FI2692" s="152"/>
      <c r="FJ2692" s="152"/>
      <c r="FK2692" s="152"/>
      <c r="FL2692" s="152"/>
      <c r="FM2692" s="152"/>
      <c r="FN2692" s="152"/>
      <c r="FO2692" s="152"/>
      <c r="FP2692" s="152"/>
      <c r="FQ2692" s="152"/>
      <c r="FR2692" s="152"/>
      <c r="FS2692" s="152"/>
      <c r="FT2692" s="152"/>
      <c r="FU2692" s="152"/>
      <c r="FV2692" s="152"/>
      <c r="FW2692" s="152"/>
      <c r="FX2692" s="152"/>
      <c r="FY2692" s="152"/>
      <c r="FZ2692" s="152"/>
      <c r="GA2692" s="152"/>
      <c r="GB2692" s="152"/>
      <c r="GC2692" s="152"/>
      <c r="GD2692" s="152"/>
      <c r="GE2692" s="152"/>
      <c r="GF2692" s="152"/>
      <c r="GG2692" s="152"/>
      <c r="GH2692" s="152"/>
      <c r="GI2692" s="152"/>
      <c r="GJ2692" s="152"/>
      <c r="GK2692" s="152"/>
      <c r="GL2692" s="152"/>
      <c r="GM2692" s="152"/>
      <c r="GN2692" s="152"/>
      <c r="GO2692" s="152"/>
      <c r="GP2692" s="152"/>
      <c r="GQ2692" s="152"/>
      <c r="GR2692" s="152"/>
      <c r="GS2692" s="152"/>
      <c r="GT2692" s="152"/>
      <c r="GU2692" s="152"/>
      <c r="GV2692" s="152"/>
      <c r="GW2692" s="152"/>
      <c r="GX2692" s="152"/>
      <c r="GY2692" s="152"/>
      <c r="GZ2692" s="152"/>
      <c r="HA2692" s="152"/>
      <c r="HB2692" s="152"/>
      <c r="HC2692" s="152"/>
      <c r="HD2692" s="152"/>
      <c r="HE2692" s="152"/>
      <c r="HF2692" s="152"/>
    </row>
    <row r="2693" spans="1:214" x14ac:dyDescent="0.35">
      <c r="A2693" s="272">
        <v>56</v>
      </c>
      <c r="B2693" s="285"/>
      <c r="C2693" s="285"/>
      <c r="D2693" s="275"/>
      <c r="E2693" s="284"/>
      <c r="F2693" s="284"/>
      <c r="G2693" s="272"/>
      <c r="H2693" s="136" t="s">
        <v>75</v>
      </c>
      <c r="I2693" s="181">
        <f>I2692*0.0214</f>
        <v>45672.77</v>
      </c>
      <c r="J2693" s="181">
        <f>I2693/D2691</f>
        <v>138.57</v>
      </c>
      <c r="K2693" s="181">
        <v>158</v>
      </c>
      <c r="L2693" s="152"/>
      <c r="M2693" s="152"/>
      <c r="N2693" s="152"/>
      <c r="O2693" s="152"/>
      <c r="P2693" s="152"/>
      <c r="Q2693" s="152"/>
      <c r="R2693" s="152"/>
      <c r="S2693" s="152"/>
      <c r="T2693" s="152"/>
      <c r="U2693" s="152"/>
      <c r="V2693" s="152"/>
      <c r="W2693" s="152"/>
      <c r="X2693" s="152"/>
      <c r="Y2693" s="152"/>
      <c r="Z2693" s="152"/>
      <c r="AA2693" s="152"/>
      <c r="AB2693" s="152"/>
      <c r="AC2693" s="152"/>
      <c r="AD2693" s="152"/>
      <c r="AE2693" s="152"/>
      <c r="AF2693" s="152"/>
      <c r="AG2693" s="152"/>
      <c r="AH2693" s="152"/>
      <c r="AI2693" s="152"/>
      <c r="AJ2693" s="152"/>
      <c r="AK2693" s="152"/>
      <c r="AL2693" s="152"/>
      <c r="AM2693" s="152"/>
      <c r="AN2693" s="152"/>
      <c r="AO2693" s="152"/>
      <c r="AP2693" s="152"/>
      <c r="AQ2693" s="152"/>
      <c r="AR2693" s="152"/>
      <c r="AS2693" s="152"/>
      <c r="AT2693" s="152"/>
      <c r="AU2693" s="152"/>
      <c r="AV2693" s="152"/>
      <c r="AW2693" s="152"/>
      <c r="AX2693" s="152"/>
      <c r="AY2693" s="152"/>
      <c r="AZ2693" s="152"/>
      <c r="BA2693" s="152"/>
      <c r="BB2693" s="152"/>
      <c r="BC2693" s="152"/>
      <c r="BD2693" s="152"/>
      <c r="BE2693" s="152"/>
      <c r="BF2693" s="152"/>
      <c r="BG2693" s="152"/>
      <c r="BH2693" s="152"/>
      <c r="BI2693" s="152"/>
      <c r="BJ2693" s="152"/>
      <c r="BK2693" s="152"/>
      <c r="BL2693" s="152"/>
      <c r="BM2693" s="152"/>
      <c r="BN2693" s="152"/>
      <c r="BO2693" s="152"/>
      <c r="BP2693" s="152"/>
      <c r="BQ2693" s="152"/>
      <c r="BR2693" s="152"/>
      <c r="BS2693" s="152"/>
      <c r="BT2693" s="152"/>
      <c r="BU2693" s="152"/>
      <c r="BV2693" s="152"/>
      <c r="BW2693" s="152"/>
      <c r="BX2693" s="152"/>
      <c r="BY2693" s="152"/>
      <c r="BZ2693" s="152"/>
      <c r="CA2693" s="152"/>
      <c r="CB2693" s="152"/>
      <c r="CC2693" s="152"/>
      <c r="CD2693" s="152"/>
      <c r="CE2693" s="152"/>
      <c r="CF2693" s="152"/>
      <c r="CG2693" s="152"/>
      <c r="CH2693" s="152"/>
      <c r="CI2693" s="152"/>
      <c r="CJ2693" s="152"/>
      <c r="CK2693" s="152"/>
      <c r="CL2693" s="152"/>
      <c r="CM2693" s="152"/>
      <c r="CN2693" s="152"/>
      <c r="CO2693" s="152"/>
      <c r="CP2693" s="152"/>
      <c r="CQ2693" s="152"/>
      <c r="CR2693" s="152"/>
      <c r="CS2693" s="152"/>
      <c r="CT2693" s="152"/>
      <c r="CU2693" s="152"/>
      <c r="CV2693" s="152"/>
      <c r="CW2693" s="152"/>
      <c r="CX2693" s="152"/>
      <c r="CY2693" s="152"/>
      <c r="CZ2693" s="152"/>
      <c r="DA2693" s="152"/>
      <c r="DB2693" s="152"/>
      <c r="DC2693" s="152"/>
      <c r="DD2693" s="152"/>
      <c r="DE2693" s="152"/>
      <c r="DF2693" s="152"/>
      <c r="DG2693" s="152"/>
      <c r="DH2693" s="152"/>
      <c r="DI2693" s="152"/>
      <c r="DJ2693" s="152"/>
      <c r="DK2693" s="152"/>
      <c r="DL2693" s="152"/>
      <c r="DM2693" s="152"/>
      <c r="DN2693" s="152"/>
      <c r="DO2693" s="152"/>
      <c r="DP2693" s="152"/>
      <c r="DQ2693" s="152"/>
      <c r="DR2693" s="152"/>
      <c r="DS2693" s="152"/>
      <c r="DT2693" s="152"/>
      <c r="DU2693" s="152"/>
      <c r="DV2693" s="152"/>
      <c r="DW2693" s="152"/>
      <c r="DX2693" s="152"/>
      <c r="DY2693" s="152"/>
      <c r="DZ2693" s="152"/>
      <c r="EA2693" s="152"/>
      <c r="EB2693" s="152"/>
      <c r="EC2693" s="152"/>
      <c r="ED2693" s="152"/>
      <c r="EE2693" s="152"/>
      <c r="EF2693" s="152"/>
      <c r="EG2693" s="152"/>
      <c r="EH2693" s="152"/>
      <c r="EI2693" s="152"/>
      <c r="EJ2693" s="152"/>
      <c r="EK2693" s="152"/>
      <c r="EL2693" s="152"/>
      <c r="EM2693" s="152"/>
      <c r="EN2693" s="152"/>
      <c r="EO2693" s="152"/>
      <c r="EP2693" s="152"/>
      <c r="EQ2693" s="152"/>
      <c r="ER2693" s="152"/>
      <c r="ES2693" s="152"/>
      <c r="ET2693" s="152"/>
      <c r="EU2693" s="152"/>
      <c r="EV2693" s="152"/>
      <c r="EW2693" s="152"/>
      <c r="EX2693" s="152"/>
      <c r="EY2693" s="152"/>
      <c r="EZ2693" s="152"/>
      <c r="FA2693" s="152"/>
      <c r="FB2693" s="152"/>
      <c r="FC2693" s="152"/>
      <c r="FD2693" s="152"/>
      <c r="FE2693" s="152"/>
      <c r="FF2693" s="152"/>
      <c r="FG2693" s="152"/>
      <c r="FH2693" s="152"/>
      <c r="FI2693" s="152"/>
      <c r="FJ2693" s="152"/>
      <c r="FK2693" s="152"/>
      <c r="FL2693" s="152"/>
      <c r="FM2693" s="152"/>
      <c r="FN2693" s="152"/>
      <c r="FO2693" s="152"/>
      <c r="FP2693" s="152"/>
      <c r="FQ2693" s="152"/>
      <c r="FR2693" s="152"/>
      <c r="FS2693" s="152"/>
      <c r="FT2693" s="152"/>
      <c r="FU2693" s="152"/>
      <c r="FV2693" s="152"/>
      <c r="FW2693" s="152"/>
      <c r="FX2693" s="152"/>
      <c r="FY2693" s="152"/>
      <c r="FZ2693" s="152"/>
      <c r="GA2693" s="152"/>
      <c r="GB2693" s="152"/>
      <c r="GC2693" s="152"/>
      <c r="GD2693" s="152"/>
      <c r="GE2693" s="152"/>
      <c r="GF2693" s="152"/>
      <c r="GG2693" s="152"/>
      <c r="GH2693" s="152"/>
      <c r="GI2693" s="152"/>
      <c r="GJ2693" s="152"/>
      <c r="GK2693" s="152"/>
      <c r="GL2693" s="152"/>
      <c r="GM2693" s="152"/>
      <c r="GN2693" s="152"/>
      <c r="GO2693" s="152"/>
      <c r="GP2693" s="152"/>
      <c r="GQ2693" s="152"/>
      <c r="GR2693" s="152"/>
      <c r="GS2693" s="152"/>
      <c r="GT2693" s="152"/>
      <c r="GU2693" s="152"/>
      <c r="GV2693" s="152"/>
      <c r="GW2693" s="152"/>
      <c r="GX2693" s="152"/>
      <c r="GY2693" s="152"/>
      <c r="GZ2693" s="152"/>
      <c r="HA2693" s="152"/>
      <c r="HB2693" s="152"/>
      <c r="HC2693" s="152"/>
      <c r="HD2693" s="152"/>
      <c r="HE2693" s="152"/>
      <c r="HF2693" s="152"/>
    </row>
    <row r="2694" spans="1:214" x14ac:dyDescent="0.35">
      <c r="A2694" s="138" t="s">
        <v>38</v>
      </c>
      <c r="B2694" s="143"/>
      <c r="C2694" s="144"/>
      <c r="D2694" s="181">
        <f>D2695+D2698</f>
        <v>12520.4</v>
      </c>
      <c r="E2694" s="174"/>
      <c r="F2694" s="174"/>
      <c r="G2694" s="146"/>
      <c r="H2694" s="182"/>
      <c r="I2694" s="181">
        <f>I2695+I2698</f>
        <v>11610378.4</v>
      </c>
      <c r="J2694" s="181"/>
      <c r="K2694" s="181"/>
      <c r="L2694" s="152"/>
      <c r="M2694" s="152"/>
      <c r="N2694" s="152"/>
      <c r="O2694" s="152"/>
      <c r="P2694" s="152"/>
      <c r="Q2694" s="152"/>
      <c r="R2694" s="152"/>
      <c r="S2694" s="152"/>
      <c r="T2694" s="152"/>
      <c r="U2694" s="152"/>
      <c r="V2694" s="152"/>
      <c r="W2694" s="152"/>
      <c r="X2694" s="152"/>
      <c r="Y2694" s="152"/>
      <c r="Z2694" s="152"/>
      <c r="AA2694" s="152"/>
      <c r="AB2694" s="152"/>
      <c r="AC2694" s="152"/>
      <c r="AD2694" s="152"/>
      <c r="AE2694" s="152"/>
      <c r="AF2694" s="152"/>
      <c r="AG2694" s="152"/>
      <c r="AH2694" s="152"/>
      <c r="AI2694" s="152"/>
      <c r="AJ2694" s="152"/>
      <c r="AK2694" s="152"/>
      <c r="AL2694" s="152"/>
      <c r="AM2694" s="152"/>
      <c r="AN2694" s="152"/>
      <c r="AO2694" s="152"/>
      <c r="AP2694" s="152"/>
      <c r="AQ2694" s="152"/>
      <c r="AR2694" s="152"/>
      <c r="AS2694" s="152"/>
      <c r="AT2694" s="152"/>
      <c r="AU2694" s="152"/>
      <c r="AV2694" s="152"/>
      <c r="AW2694" s="152"/>
      <c r="AX2694" s="152"/>
      <c r="AY2694" s="152"/>
      <c r="AZ2694" s="152"/>
      <c r="BA2694" s="152"/>
      <c r="BB2694" s="152"/>
      <c r="BC2694" s="152"/>
      <c r="BD2694" s="152"/>
      <c r="BE2694" s="152"/>
      <c r="BF2694" s="152"/>
      <c r="BG2694" s="152"/>
      <c r="BH2694" s="152"/>
      <c r="BI2694" s="152"/>
      <c r="BJ2694" s="152"/>
      <c r="BK2694" s="152"/>
      <c r="BL2694" s="152"/>
      <c r="BM2694" s="152"/>
      <c r="BN2694" s="152"/>
      <c r="BO2694" s="152"/>
      <c r="BP2694" s="152"/>
      <c r="BQ2694" s="152"/>
      <c r="BR2694" s="152"/>
      <c r="BS2694" s="152"/>
      <c r="BT2694" s="152"/>
      <c r="BU2694" s="152"/>
      <c r="BV2694" s="152"/>
      <c r="BW2694" s="152"/>
      <c r="BX2694" s="152"/>
      <c r="BY2694" s="152"/>
      <c r="BZ2694" s="152"/>
      <c r="CA2694" s="152"/>
      <c r="CB2694" s="152"/>
      <c r="CC2694" s="152"/>
      <c r="CD2694" s="152"/>
      <c r="CE2694" s="152"/>
      <c r="CF2694" s="152"/>
      <c r="CG2694" s="152"/>
      <c r="CH2694" s="152"/>
      <c r="CI2694" s="152"/>
      <c r="CJ2694" s="152"/>
      <c r="CK2694" s="152"/>
      <c r="CL2694" s="152"/>
      <c r="CM2694" s="152"/>
      <c r="CN2694" s="152"/>
      <c r="CO2694" s="152"/>
      <c r="CP2694" s="152"/>
      <c r="CQ2694" s="152"/>
      <c r="CR2694" s="152"/>
      <c r="CS2694" s="152"/>
      <c r="CT2694" s="152"/>
      <c r="CU2694" s="152"/>
      <c r="CV2694" s="152"/>
      <c r="CW2694" s="152"/>
      <c r="CX2694" s="152"/>
      <c r="CY2694" s="152"/>
      <c r="CZ2694" s="152"/>
      <c r="DA2694" s="152"/>
      <c r="DB2694" s="152"/>
      <c r="DC2694" s="152"/>
      <c r="DD2694" s="152"/>
      <c r="DE2694" s="152"/>
      <c r="DF2694" s="152"/>
      <c r="DG2694" s="152"/>
      <c r="DH2694" s="152"/>
      <c r="DI2694" s="152"/>
      <c r="DJ2694" s="152"/>
      <c r="DK2694" s="152"/>
      <c r="DL2694" s="152"/>
      <c r="DM2694" s="152"/>
      <c r="DN2694" s="152"/>
      <c r="DO2694" s="152"/>
      <c r="DP2694" s="152"/>
      <c r="DQ2694" s="152"/>
      <c r="DR2694" s="152"/>
      <c r="DS2694" s="152"/>
      <c r="DT2694" s="152"/>
      <c r="DU2694" s="152"/>
      <c r="DV2694" s="152"/>
      <c r="DW2694" s="152"/>
      <c r="DX2694" s="152"/>
      <c r="DY2694" s="152"/>
      <c r="DZ2694" s="152"/>
      <c r="EA2694" s="152"/>
      <c r="EB2694" s="152"/>
      <c r="EC2694" s="152"/>
      <c r="ED2694" s="152"/>
      <c r="EE2694" s="152"/>
      <c r="EF2694" s="152"/>
      <c r="EG2694" s="152"/>
      <c r="EH2694" s="152"/>
      <c r="EI2694" s="152"/>
      <c r="EJ2694" s="152"/>
      <c r="EK2694" s="152"/>
      <c r="EL2694" s="152"/>
      <c r="EM2694" s="152"/>
      <c r="EN2694" s="152"/>
      <c r="EO2694" s="152"/>
      <c r="EP2694" s="152"/>
      <c r="EQ2694" s="152"/>
      <c r="ER2694" s="152"/>
      <c r="ES2694" s="152"/>
      <c r="ET2694" s="152"/>
      <c r="EU2694" s="152"/>
      <c r="EV2694" s="152"/>
      <c r="EW2694" s="152"/>
      <c r="EX2694" s="152"/>
      <c r="EY2694" s="152"/>
      <c r="EZ2694" s="152"/>
      <c r="FA2694" s="152"/>
      <c r="FB2694" s="152"/>
      <c r="FC2694" s="152"/>
      <c r="FD2694" s="152"/>
      <c r="FE2694" s="152"/>
      <c r="FF2694" s="152"/>
      <c r="FG2694" s="152"/>
      <c r="FH2694" s="152"/>
      <c r="FI2694" s="152"/>
      <c r="FJ2694" s="152"/>
      <c r="FK2694" s="152"/>
      <c r="FL2694" s="152"/>
      <c r="FM2694" s="152"/>
      <c r="FN2694" s="152"/>
      <c r="FO2694" s="152"/>
      <c r="FP2694" s="152"/>
      <c r="FQ2694" s="152"/>
      <c r="FR2694" s="152"/>
      <c r="FS2694" s="152"/>
      <c r="FT2694" s="152"/>
      <c r="FU2694" s="152"/>
      <c r="FV2694" s="152"/>
      <c r="FW2694" s="152"/>
      <c r="FX2694" s="152"/>
      <c r="FY2694" s="152"/>
      <c r="FZ2694" s="152"/>
      <c r="GA2694" s="152"/>
      <c r="GB2694" s="152"/>
      <c r="GC2694" s="152"/>
      <c r="GD2694" s="152"/>
      <c r="GE2694" s="152"/>
      <c r="GF2694" s="152"/>
      <c r="GG2694" s="152"/>
      <c r="GH2694" s="152"/>
      <c r="GI2694" s="152"/>
      <c r="GJ2694" s="152"/>
      <c r="GK2694" s="152"/>
      <c r="GL2694" s="152"/>
      <c r="GM2694" s="152"/>
      <c r="GN2694" s="152"/>
      <c r="GO2694" s="152"/>
      <c r="GP2694" s="152"/>
      <c r="GQ2694" s="152"/>
      <c r="GR2694" s="152"/>
      <c r="GS2694" s="152"/>
      <c r="GT2694" s="152"/>
      <c r="GU2694" s="152"/>
      <c r="GV2694" s="152"/>
      <c r="GW2694" s="152"/>
      <c r="GX2694" s="152"/>
      <c r="GY2694" s="152"/>
      <c r="GZ2694" s="152"/>
      <c r="HA2694" s="152"/>
      <c r="HB2694" s="152"/>
      <c r="HC2694" s="152"/>
      <c r="HD2694" s="152"/>
      <c r="HE2694" s="152"/>
      <c r="HF2694" s="152"/>
    </row>
    <row r="2695" spans="1:214" ht="15.5" customHeight="1" x14ac:dyDescent="0.35">
      <c r="A2695" s="278">
        <v>1</v>
      </c>
      <c r="B2695" s="270">
        <v>5054</v>
      </c>
      <c r="C2695" s="278" t="s">
        <v>488</v>
      </c>
      <c r="D2695" s="273">
        <v>5280.8</v>
      </c>
      <c r="E2695" s="282" t="s">
        <v>70</v>
      </c>
      <c r="F2695" s="282">
        <v>5</v>
      </c>
      <c r="G2695" s="270" t="s">
        <v>71</v>
      </c>
      <c r="H2695" s="182" t="s">
        <v>72</v>
      </c>
      <c r="I2695" s="181">
        <f>I2696+I2697</f>
        <v>10365167.199999999</v>
      </c>
      <c r="J2695" s="181">
        <f>J2696+J2697</f>
        <v>1962.8</v>
      </c>
      <c r="K2695" s="181">
        <f>K2696+K2697</f>
        <v>3067</v>
      </c>
      <c r="L2695" s="152"/>
      <c r="M2695" s="152"/>
      <c r="N2695" s="152"/>
      <c r="O2695" s="152"/>
      <c r="P2695" s="152"/>
      <c r="Q2695" s="152"/>
      <c r="R2695" s="152"/>
      <c r="S2695" s="152"/>
      <c r="T2695" s="152"/>
      <c r="U2695" s="152"/>
      <c r="V2695" s="152"/>
      <c r="W2695" s="152"/>
      <c r="X2695" s="152"/>
      <c r="Y2695" s="152"/>
      <c r="Z2695" s="152"/>
      <c r="AA2695" s="152"/>
      <c r="AB2695" s="152"/>
      <c r="AC2695" s="152"/>
      <c r="AD2695" s="152"/>
      <c r="AE2695" s="152"/>
      <c r="AF2695" s="152"/>
      <c r="AG2695" s="152"/>
      <c r="AH2695" s="152"/>
      <c r="AI2695" s="152"/>
      <c r="AJ2695" s="152"/>
      <c r="AK2695" s="152"/>
      <c r="AL2695" s="152"/>
      <c r="AM2695" s="152"/>
      <c r="AN2695" s="152"/>
      <c r="AO2695" s="152"/>
      <c r="AP2695" s="152"/>
      <c r="AQ2695" s="152"/>
      <c r="AR2695" s="152"/>
      <c r="AS2695" s="152"/>
      <c r="AT2695" s="152"/>
      <c r="AU2695" s="152"/>
      <c r="AV2695" s="152"/>
      <c r="AW2695" s="152"/>
      <c r="AX2695" s="152"/>
      <c r="AY2695" s="152"/>
      <c r="AZ2695" s="152"/>
      <c r="BA2695" s="152"/>
      <c r="BB2695" s="152"/>
      <c r="BC2695" s="152"/>
      <c r="BD2695" s="152"/>
      <c r="BE2695" s="152"/>
      <c r="BF2695" s="152"/>
      <c r="BG2695" s="152"/>
      <c r="BH2695" s="152"/>
      <c r="BI2695" s="152"/>
      <c r="BJ2695" s="152"/>
      <c r="BK2695" s="152"/>
      <c r="BL2695" s="152"/>
      <c r="BM2695" s="152"/>
      <c r="BN2695" s="152"/>
      <c r="BO2695" s="152"/>
      <c r="BP2695" s="152"/>
      <c r="BQ2695" s="152"/>
      <c r="BR2695" s="152"/>
      <c r="BS2695" s="152"/>
      <c r="BT2695" s="152"/>
      <c r="BU2695" s="152"/>
      <c r="BV2695" s="152"/>
      <c r="BW2695" s="152"/>
      <c r="BX2695" s="152"/>
      <c r="BY2695" s="152"/>
      <c r="BZ2695" s="152"/>
      <c r="CA2695" s="152"/>
      <c r="CB2695" s="152"/>
      <c r="CC2695" s="152"/>
      <c r="CD2695" s="152"/>
      <c r="CE2695" s="152"/>
      <c r="CF2695" s="152"/>
      <c r="CG2695" s="152"/>
      <c r="CH2695" s="152"/>
      <c r="CI2695" s="152"/>
      <c r="CJ2695" s="152"/>
      <c r="CK2695" s="152"/>
      <c r="CL2695" s="152"/>
      <c r="CM2695" s="152"/>
      <c r="CN2695" s="152"/>
      <c r="CO2695" s="152"/>
      <c r="CP2695" s="152"/>
      <c r="CQ2695" s="152"/>
      <c r="CR2695" s="152"/>
      <c r="CS2695" s="152"/>
      <c r="CT2695" s="152"/>
      <c r="CU2695" s="152"/>
      <c r="CV2695" s="152"/>
      <c r="CW2695" s="152"/>
      <c r="CX2695" s="152"/>
      <c r="CY2695" s="152"/>
      <c r="CZ2695" s="152"/>
      <c r="DA2695" s="152"/>
      <c r="DB2695" s="152"/>
      <c r="DC2695" s="152"/>
      <c r="DD2695" s="152"/>
      <c r="DE2695" s="152"/>
      <c r="DF2695" s="152"/>
      <c r="DG2695" s="152"/>
      <c r="DH2695" s="152"/>
      <c r="DI2695" s="152"/>
      <c r="DJ2695" s="152"/>
      <c r="DK2695" s="152"/>
      <c r="DL2695" s="152"/>
      <c r="DM2695" s="152"/>
      <c r="DN2695" s="152"/>
      <c r="DO2695" s="152"/>
      <c r="DP2695" s="152"/>
      <c r="DQ2695" s="152"/>
      <c r="DR2695" s="152"/>
      <c r="DS2695" s="152"/>
      <c r="DT2695" s="152"/>
      <c r="DU2695" s="152"/>
      <c r="DV2695" s="152"/>
      <c r="DW2695" s="152"/>
      <c r="DX2695" s="152"/>
      <c r="DY2695" s="152"/>
      <c r="DZ2695" s="152"/>
      <c r="EA2695" s="152"/>
      <c r="EB2695" s="152"/>
      <c r="EC2695" s="152"/>
      <c r="ED2695" s="152"/>
      <c r="EE2695" s="152"/>
      <c r="EF2695" s="152"/>
      <c r="EG2695" s="152"/>
      <c r="EH2695" s="152"/>
      <c r="EI2695" s="152"/>
      <c r="EJ2695" s="152"/>
      <c r="EK2695" s="152"/>
      <c r="EL2695" s="152"/>
      <c r="EM2695" s="152"/>
      <c r="EN2695" s="152"/>
      <c r="EO2695" s="152"/>
      <c r="EP2695" s="152"/>
      <c r="EQ2695" s="152"/>
      <c r="ER2695" s="152"/>
      <c r="ES2695" s="152"/>
      <c r="ET2695" s="152"/>
      <c r="EU2695" s="152"/>
      <c r="EV2695" s="152"/>
      <c r="EW2695" s="152"/>
      <c r="EX2695" s="152"/>
      <c r="EY2695" s="152"/>
      <c r="EZ2695" s="152"/>
      <c r="FA2695" s="152"/>
      <c r="FB2695" s="152"/>
      <c r="FC2695" s="152"/>
      <c r="FD2695" s="152"/>
      <c r="FE2695" s="152"/>
      <c r="FF2695" s="152"/>
      <c r="FG2695" s="152"/>
      <c r="FH2695" s="152"/>
      <c r="FI2695" s="152"/>
      <c r="FJ2695" s="152"/>
      <c r="FK2695" s="152"/>
      <c r="FL2695" s="152"/>
      <c r="FM2695" s="152"/>
      <c r="FN2695" s="152"/>
      <c r="FO2695" s="152"/>
      <c r="FP2695" s="152"/>
      <c r="FQ2695" s="152"/>
      <c r="FR2695" s="152"/>
      <c r="FS2695" s="152"/>
      <c r="FT2695" s="152"/>
      <c r="FU2695" s="152"/>
      <c r="FV2695" s="152"/>
      <c r="FW2695" s="152"/>
      <c r="FX2695" s="152"/>
      <c r="FY2695" s="152"/>
      <c r="FZ2695" s="152"/>
      <c r="GA2695" s="152"/>
      <c r="GB2695" s="152"/>
      <c r="GC2695" s="152"/>
      <c r="GD2695" s="152"/>
      <c r="GE2695" s="152"/>
      <c r="GF2695" s="152"/>
      <c r="GG2695" s="152"/>
      <c r="GH2695" s="152"/>
      <c r="GI2695" s="152"/>
      <c r="GJ2695" s="152"/>
      <c r="GK2695" s="152"/>
      <c r="GL2695" s="152"/>
      <c r="GM2695" s="152"/>
      <c r="GN2695" s="152"/>
      <c r="GO2695" s="152"/>
      <c r="GP2695" s="152"/>
      <c r="GQ2695" s="152"/>
      <c r="GR2695" s="152"/>
      <c r="GS2695" s="152"/>
      <c r="GT2695" s="152"/>
      <c r="GU2695" s="152"/>
      <c r="GV2695" s="152"/>
      <c r="GW2695" s="152"/>
      <c r="GX2695" s="152"/>
      <c r="GY2695" s="152"/>
      <c r="GZ2695" s="152"/>
      <c r="HA2695" s="152"/>
      <c r="HB2695" s="152"/>
      <c r="HC2695" s="152"/>
      <c r="HD2695" s="152"/>
      <c r="HE2695" s="152"/>
      <c r="HF2695" s="152"/>
    </row>
    <row r="2696" spans="1:214" x14ac:dyDescent="0.35">
      <c r="A2696" s="279">
        <v>61</v>
      </c>
      <c r="B2696" s="271"/>
      <c r="C2696" s="279"/>
      <c r="D2696" s="274"/>
      <c r="E2696" s="283"/>
      <c r="F2696" s="283"/>
      <c r="G2696" s="271"/>
      <c r="H2696" s="182" t="s">
        <v>73</v>
      </c>
      <c r="I2696" s="181">
        <f>10148000</f>
        <v>10148000</v>
      </c>
      <c r="J2696" s="181">
        <f>I2696/D2695</f>
        <v>1921.68</v>
      </c>
      <c r="K2696" s="181">
        <v>3003</v>
      </c>
      <c r="L2696" s="152"/>
      <c r="M2696" s="152"/>
      <c r="N2696" s="152"/>
      <c r="O2696" s="152"/>
      <c r="P2696" s="152"/>
      <c r="Q2696" s="152"/>
      <c r="R2696" s="152"/>
      <c r="S2696" s="152"/>
      <c r="T2696" s="152"/>
      <c r="U2696" s="152"/>
      <c r="V2696" s="152"/>
      <c r="W2696" s="152"/>
      <c r="X2696" s="152"/>
      <c r="Y2696" s="152"/>
      <c r="Z2696" s="152"/>
      <c r="AA2696" s="152"/>
      <c r="AB2696" s="152"/>
      <c r="AC2696" s="152"/>
      <c r="AD2696" s="152"/>
      <c r="AE2696" s="152"/>
      <c r="AF2696" s="152"/>
      <c r="AG2696" s="152"/>
      <c r="AH2696" s="152"/>
      <c r="AI2696" s="152"/>
      <c r="AJ2696" s="152"/>
      <c r="AK2696" s="152"/>
      <c r="AL2696" s="152"/>
      <c r="AM2696" s="152"/>
      <c r="AN2696" s="152"/>
      <c r="AO2696" s="152"/>
      <c r="AP2696" s="152"/>
      <c r="AQ2696" s="152"/>
      <c r="AR2696" s="152"/>
      <c r="AS2696" s="152"/>
      <c r="AT2696" s="152"/>
      <c r="AU2696" s="152"/>
      <c r="AV2696" s="152"/>
      <c r="AW2696" s="152"/>
      <c r="AX2696" s="152"/>
      <c r="AY2696" s="152"/>
      <c r="AZ2696" s="152"/>
      <c r="BA2696" s="152"/>
      <c r="BB2696" s="152"/>
      <c r="BC2696" s="152"/>
      <c r="BD2696" s="152"/>
      <c r="BE2696" s="152"/>
      <c r="BF2696" s="152"/>
      <c r="BG2696" s="152"/>
      <c r="BH2696" s="152"/>
      <c r="BI2696" s="152"/>
      <c r="BJ2696" s="152"/>
      <c r="BK2696" s="152"/>
      <c r="BL2696" s="152"/>
      <c r="BM2696" s="152"/>
      <c r="BN2696" s="152"/>
      <c r="BO2696" s="152"/>
      <c r="BP2696" s="152"/>
      <c r="BQ2696" s="152"/>
      <c r="BR2696" s="152"/>
      <c r="BS2696" s="152"/>
      <c r="BT2696" s="152"/>
      <c r="BU2696" s="152"/>
      <c r="BV2696" s="152"/>
      <c r="BW2696" s="152"/>
      <c r="BX2696" s="152"/>
      <c r="BY2696" s="152"/>
      <c r="BZ2696" s="152"/>
      <c r="CA2696" s="152"/>
      <c r="CB2696" s="152"/>
      <c r="CC2696" s="152"/>
      <c r="CD2696" s="152"/>
      <c r="CE2696" s="152"/>
      <c r="CF2696" s="152"/>
      <c r="CG2696" s="152"/>
      <c r="CH2696" s="152"/>
      <c r="CI2696" s="152"/>
      <c r="CJ2696" s="152"/>
      <c r="CK2696" s="152"/>
      <c r="CL2696" s="152"/>
      <c r="CM2696" s="152"/>
      <c r="CN2696" s="152"/>
      <c r="CO2696" s="152"/>
      <c r="CP2696" s="152"/>
      <c r="CQ2696" s="152"/>
      <c r="CR2696" s="152"/>
      <c r="CS2696" s="152"/>
      <c r="CT2696" s="152"/>
      <c r="CU2696" s="152"/>
      <c r="CV2696" s="152"/>
      <c r="CW2696" s="152"/>
      <c r="CX2696" s="152"/>
      <c r="CY2696" s="152"/>
      <c r="CZ2696" s="152"/>
      <c r="DA2696" s="152"/>
      <c r="DB2696" s="152"/>
      <c r="DC2696" s="152"/>
      <c r="DD2696" s="152"/>
      <c r="DE2696" s="152"/>
      <c r="DF2696" s="152"/>
      <c r="DG2696" s="152"/>
      <c r="DH2696" s="152"/>
      <c r="DI2696" s="152"/>
      <c r="DJ2696" s="152"/>
      <c r="DK2696" s="152"/>
      <c r="DL2696" s="152"/>
      <c r="DM2696" s="152"/>
      <c r="DN2696" s="152"/>
      <c r="DO2696" s="152"/>
      <c r="DP2696" s="152"/>
      <c r="DQ2696" s="152"/>
      <c r="DR2696" s="152"/>
      <c r="DS2696" s="152"/>
      <c r="DT2696" s="152"/>
      <c r="DU2696" s="152"/>
      <c r="DV2696" s="152"/>
      <c r="DW2696" s="152"/>
      <c r="DX2696" s="152"/>
      <c r="DY2696" s="152"/>
      <c r="DZ2696" s="152"/>
      <c r="EA2696" s="152"/>
      <c r="EB2696" s="152"/>
      <c r="EC2696" s="152"/>
      <c r="ED2696" s="152"/>
      <c r="EE2696" s="152"/>
      <c r="EF2696" s="152"/>
      <c r="EG2696" s="152"/>
      <c r="EH2696" s="152"/>
      <c r="EI2696" s="152"/>
      <c r="EJ2696" s="152"/>
      <c r="EK2696" s="152"/>
      <c r="EL2696" s="152"/>
      <c r="EM2696" s="152"/>
      <c r="EN2696" s="152"/>
      <c r="EO2696" s="152"/>
      <c r="EP2696" s="152"/>
      <c r="EQ2696" s="152"/>
      <c r="ER2696" s="152"/>
      <c r="ES2696" s="152"/>
      <c r="ET2696" s="152"/>
      <c r="EU2696" s="152"/>
      <c r="EV2696" s="152"/>
      <c r="EW2696" s="152"/>
      <c r="EX2696" s="152"/>
      <c r="EY2696" s="152"/>
      <c r="EZ2696" s="152"/>
      <c r="FA2696" s="152"/>
      <c r="FB2696" s="152"/>
      <c r="FC2696" s="152"/>
      <c r="FD2696" s="152"/>
      <c r="FE2696" s="152"/>
      <c r="FF2696" s="152"/>
      <c r="FG2696" s="152"/>
      <c r="FH2696" s="152"/>
      <c r="FI2696" s="152"/>
      <c r="FJ2696" s="152"/>
      <c r="FK2696" s="152"/>
      <c r="FL2696" s="152"/>
      <c r="FM2696" s="152"/>
      <c r="FN2696" s="152"/>
      <c r="FO2696" s="152"/>
      <c r="FP2696" s="152"/>
      <c r="FQ2696" s="152"/>
      <c r="FR2696" s="152"/>
      <c r="FS2696" s="152"/>
      <c r="FT2696" s="152"/>
      <c r="FU2696" s="152"/>
      <c r="FV2696" s="152"/>
      <c r="FW2696" s="152"/>
      <c r="FX2696" s="152"/>
      <c r="FY2696" s="152"/>
      <c r="FZ2696" s="152"/>
      <c r="GA2696" s="152"/>
      <c r="GB2696" s="152"/>
      <c r="GC2696" s="152"/>
      <c r="GD2696" s="152"/>
      <c r="GE2696" s="152"/>
      <c r="GF2696" s="152"/>
      <c r="GG2696" s="152"/>
      <c r="GH2696" s="152"/>
      <c r="GI2696" s="152"/>
      <c r="GJ2696" s="152"/>
      <c r="GK2696" s="152"/>
      <c r="GL2696" s="152"/>
      <c r="GM2696" s="152"/>
      <c r="GN2696" s="152"/>
      <c r="GO2696" s="152"/>
      <c r="GP2696" s="152"/>
      <c r="GQ2696" s="152"/>
      <c r="GR2696" s="152"/>
      <c r="GS2696" s="152"/>
      <c r="GT2696" s="152"/>
      <c r="GU2696" s="152"/>
      <c r="GV2696" s="152"/>
      <c r="GW2696" s="152"/>
      <c r="GX2696" s="152"/>
      <c r="GY2696" s="152"/>
      <c r="GZ2696" s="152"/>
      <c r="HA2696" s="152"/>
      <c r="HB2696" s="152"/>
      <c r="HC2696" s="152"/>
      <c r="HD2696" s="152"/>
      <c r="HE2696" s="152"/>
      <c r="HF2696" s="152"/>
    </row>
    <row r="2697" spans="1:214" x14ac:dyDescent="0.35">
      <c r="A2697" s="285">
        <v>62</v>
      </c>
      <c r="B2697" s="272"/>
      <c r="C2697" s="285"/>
      <c r="D2697" s="275"/>
      <c r="E2697" s="284"/>
      <c r="F2697" s="284"/>
      <c r="G2697" s="272"/>
      <c r="H2697" s="182" t="s">
        <v>75</v>
      </c>
      <c r="I2697" s="181">
        <f>10148000*0.0214</f>
        <v>217167.2</v>
      </c>
      <c r="J2697" s="181">
        <f>I2697/D2695</f>
        <v>41.12</v>
      </c>
      <c r="K2697" s="181">
        <v>64</v>
      </c>
      <c r="L2697" s="152"/>
      <c r="M2697" s="152"/>
      <c r="N2697" s="152"/>
      <c r="O2697" s="152"/>
      <c r="P2697" s="152"/>
      <c r="Q2697" s="152"/>
      <c r="R2697" s="152"/>
      <c r="S2697" s="152"/>
      <c r="T2697" s="152"/>
      <c r="U2697" s="152"/>
      <c r="V2697" s="152"/>
      <c r="W2697" s="152"/>
      <c r="X2697" s="152"/>
      <c r="Y2697" s="152"/>
      <c r="Z2697" s="152"/>
      <c r="AA2697" s="152"/>
      <c r="AB2697" s="152"/>
      <c r="AC2697" s="152"/>
      <c r="AD2697" s="152"/>
      <c r="AE2697" s="152"/>
      <c r="AF2697" s="152"/>
      <c r="AG2697" s="152"/>
      <c r="AH2697" s="152"/>
      <c r="AI2697" s="152"/>
      <c r="AJ2697" s="152"/>
      <c r="AK2697" s="152"/>
      <c r="AL2697" s="152"/>
      <c r="AM2697" s="152"/>
      <c r="AN2697" s="152"/>
      <c r="AO2697" s="152"/>
      <c r="AP2697" s="152"/>
      <c r="AQ2697" s="152"/>
      <c r="AR2697" s="152"/>
      <c r="AS2697" s="152"/>
      <c r="AT2697" s="152"/>
      <c r="AU2697" s="152"/>
      <c r="AV2697" s="152"/>
      <c r="AW2697" s="152"/>
      <c r="AX2697" s="152"/>
      <c r="AY2697" s="152"/>
      <c r="AZ2697" s="152"/>
      <c r="BA2697" s="152"/>
      <c r="BB2697" s="152"/>
      <c r="BC2697" s="152"/>
      <c r="BD2697" s="152"/>
      <c r="BE2697" s="152"/>
      <c r="BF2697" s="152"/>
      <c r="BG2697" s="152"/>
      <c r="BH2697" s="152"/>
      <c r="BI2697" s="152"/>
      <c r="BJ2697" s="152"/>
      <c r="BK2697" s="152"/>
      <c r="BL2697" s="152"/>
      <c r="BM2697" s="152"/>
      <c r="BN2697" s="152"/>
      <c r="BO2697" s="152"/>
      <c r="BP2697" s="152"/>
      <c r="BQ2697" s="152"/>
      <c r="BR2697" s="152"/>
      <c r="BS2697" s="152"/>
      <c r="BT2697" s="152"/>
      <c r="BU2697" s="152"/>
      <c r="BV2697" s="152"/>
      <c r="BW2697" s="152"/>
      <c r="BX2697" s="152"/>
      <c r="BY2697" s="152"/>
      <c r="BZ2697" s="152"/>
      <c r="CA2697" s="152"/>
      <c r="CB2697" s="152"/>
      <c r="CC2697" s="152"/>
      <c r="CD2697" s="152"/>
      <c r="CE2697" s="152"/>
      <c r="CF2697" s="152"/>
      <c r="CG2697" s="152"/>
      <c r="CH2697" s="152"/>
      <c r="CI2697" s="152"/>
      <c r="CJ2697" s="152"/>
      <c r="CK2697" s="152"/>
      <c r="CL2697" s="152"/>
      <c r="CM2697" s="152"/>
      <c r="CN2697" s="152"/>
      <c r="CO2697" s="152"/>
      <c r="CP2697" s="152"/>
      <c r="CQ2697" s="152"/>
      <c r="CR2697" s="152"/>
      <c r="CS2697" s="152"/>
      <c r="CT2697" s="152"/>
      <c r="CU2697" s="152"/>
      <c r="CV2697" s="152"/>
      <c r="CW2697" s="152"/>
      <c r="CX2697" s="152"/>
      <c r="CY2697" s="152"/>
      <c r="CZ2697" s="152"/>
      <c r="DA2697" s="152"/>
      <c r="DB2697" s="152"/>
      <c r="DC2697" s="152"/>
      <c r="DD2697" s="152"/>
      <c r="DE2697" s="152"/>
      <c r="DF2697" s="152"/>
      <c r="DG2697" s="152"/>
      <c r="DH2697" s="152"/>
      <c r="DI2697" s="152"/>
      <c r="DJ2697" s="152"/>
      <c r="DK2697" s="152"/>
      <c r="DL2697" s="152"/>
      <c r="DM2697" s="152"/>
      <c r="DN2697" s="152"/>
      <c r="DO2697" s="152"/>
      <c r="DP2697" s="152"/>
      <c r="DQ2697" s="152"/>
      <c r="DR2697" s="152"/>
      <c r="DS2697" s="152"/>
      <c r="DT2697" s="152"/>
      <c r="DU2697" s="152"/>
      <c r="DV2697" s="152"/>
      <c r="DW2697" s="152"/>
      <c r="DX2697" s="152"/>
      <c r="DY2697" s="152"/>
      <c r="DZ2697" s="152"/>
      <c r="EA2697" s="152"/>
      <c r="EB2697" s="152"/>
      <c r="EC2697" s="152"/>
      <c r="ED2697" s="152"/>
      <c r="EE2697" s="152"/>
      <c r="EF2697" s="152"/>
      <c r="EG2697" s="152"/>
      <c r="EH2697" s="152"/>
      <c r="EI2697" s="152"/>
      <c r="EJ2697" s="152"/>
      <c r="EK2697" s="152"/>
      <c r="EL2697" s="152"/>
      <c r="EM2697" s="152"/>
      <c r="EN2697" s="152"/>
      <c r="EO2697" s="152"/>
      <c r="EP2697" s="152"/>
      <c r="EQ2697" s="152"/>
      <c r="ER2697" s="152"/>
      <c r="ES2697" s="152"/>
      <c r="ET2697" s="152"/>
      <c r="EU2697" s="152"/>
      <c r="EV2697" s="152"/>
      <c r="EW2697" s="152"/>
      <c r="EX2697" s="152"/>
      <c r="EY2697" s="152"/>
      <c r="EZ2697" s="152"/>
      <c r="FA2697" s="152"/>
      <c r="FB2697" s="152"/>
      <c r="FC2697" s="152"/>
      <c r="FD2697" s="152"/>
      <c r="FE2697" s="152"/>
      <c r="FF2697" s="152"/>
      <c r="FG2697" s="152"/>
      <c r="FH2697" s="152"/>
      <c r="FI2697" s="152"/>
      <c r="FJ2697" s="152"/>
      <c r="FK2697" s="152"/>
      <c r="FL2697" s="152"/>
      <c r="FM2697" s="152"/>
      <c r="FN2697" s="152"/>
      <c r="FO2697" s="152"/>
      <c r="FP2697" s="152"/>
      <c r="FQ2697" s="152"/>
      <c r="FR2697" s="152"/>
      <c r="FS2697" s="152"/>
      <c r="FT2697" s="152"/>
      <c r="FU2697" s="152"/>
      <c r="FV2697" s="152"/>
      <c r="FW2697" s="152"/>
      <c r="FX2697" s="152"/>
      <c r="FY2697" s="152"/>
      <c r="FZ2697" s="152"/>
      <c r="GA2697" s="152"/>
      <c r="GB2697" s="152"/>
      <c r="GC2697" s="152"/>
      <c r="GD2697" s="152"/>
      <c r="GE2697" s="152"/>
      <c r="GF2697" s="152"/>
      <c r="GG2697" s="152"/>
      <c r="GH2697" s="152"/>
      <c r="GI2697" s="152"/>
      <c r="GJ2697" s="152"/>
      <c r="GK2697" s="152"/>
      <c r="GL2697" s="152"/>
      <c r="GM2697" s="152"/>
      <c r="GN2697" s="152"/>
      <c r="GO2697" s="152"/>
      <c r="GP2697" s="152"/>
      <c r="GQ2697" s="152"/>
      <c r="GR2697" s="152"/>
      <c r="GS2697" s="152"/>
      <c r="GT2697" s="152"/>
      <c r="GU2697" s="152"/>
      <c r="GV2697" s="152"/>
      <c r="GW2697" s="152"/>
      <c r="GX2697" s="152"/>
      <c r="GY2697" s="152"/>
      <c r="GZ2697" s="152"/>
      <c r="HA2697" s="152"/>
      <c r="HB2697" s="152"/>
      <c r="HC2697" s="152"/>
      <c r="HD2697" s="152"/>
      <c r="HE2697" s="152"/>
      <c r="HF2697" s="152"/>
    </row>
    <row r="2698" spans="1:214" ht="15.5" customHeight="1" x14ac:dyDescent="0.35">
      <c r="A2698" s="286">
        <f>A2695+1</f>
        <v>2</v>
      </c>
      <c r="B2698" s="277">
        <v>5055</v>
      </c>
      <c r="C2698" s="286" t="s">
        <v>775</v>
      </c>
      <c r="D2698" s="287">
        <v>7239.6</v>
      </c>
      <c r="E2698" s="304" t="s">
        <v>70</v>
      </c>
      <c r="F2698" s="304">
        <v>5</v>
      </c>
      <c r="G2698" s="277" t="s">
        <v>71</v>
      </c>
      <c r="H2698" s="182" t="s">
        <v>72</v>
      </c>
      <c r="I2698" s="181">
        <f>I2699</f>
        <v>1245211.2</v>
      </c>
      <c r="J2698" s="181">
        <f>J2699</f>
        <v>172</v>
      </c>
      <c r="K2698" s="181">
        <f>K2699</f>
        <v>172</v>
      </c>
      <c r="L2698" s="152"/>
      <c r="M2698" s="152"/>
      <c r="N2698" s="152"/>
      <c r="O2698" s="152"/>
      <c r="P2698" s="152"/>
      <c r="Q2698" s="152"/>
      <c r="R2698" s="152"/>
      <c r="S2698" s="152"/>
      <c r="T2698" s="152"/>
      <c r="U2698" s="152"/>
      <c r="V2698" s="152"/>
      <c r="W2698" s="152"/>
      <c r="X2698" s="152"/>
      <c r="Y2698" s="152"/>
      <c r="Z2698" s="152"/>
      <c r="AA2698" s="152"/>
      <c r="AB2698" s="152"/>
      <c r="AC2698" s="152"/>
      <c r="AD2698" s="152"/>
      <c r="AE2698" s="152"/>
      <c r="AF2698" s="152"/>
      <c r="AG2698" s="152"/>
      <c r="AH2698" s="152"/>
      <c r="AI2698" s="152"/>
      <c r="AJ2698" s="152"/>
      <c r="AK2698" s="152"/>
      <c r="AL2698" s="152"/>
      <c r="AM2698" s="152"/>
      <c r="AN2698" s="152"/>
      <c r="AO2698" s="152"/>
      <c r="AP2698" s="152"/>
      <c r="AQ2698" s="152"/>
      <c r="AR2698" s="152"/>
      <c r="AS2698" s="152"/>
      <c r="AT2698" s="152"/>
      <c r="AU2698" s="152"/>
      <c r="AV2698" s="152"/>
      <c r="AW2698" s="152"/>
      <c r="AX2698" s="152"/>
      <c r="AY2698" s="152"/>
      <c r="AZ2698" s="152"/>
      <c r="BA2698" s="152"/>
      <c r="BB2698" s="152"/>
      <c r="BC2698" s="152"/>
      <c r="BD2698" s="152"/>
      <c r="BE2698" s="152"/>
      <c r="BF2698" s="152"/>
      <c r="BG2698" s="152"/>
      <c r="BH2698" s="152"/>
      <c r="BI2698" s="152"/>
      <c r="BJ2698" s="152"/>
      <c r="BK2698" s="152"/>
      <c r="BL2698" s="152"/>
      <c r="BM2698" s="152"/>
      <c r="BN2698" s="152"/>
      <c r="BO2698" s="152"/>
      <c r="BP2698" s="152"/>
      <c r="BQ2698" s="152"/>
      <c r="BR2698" s="152"/>
      <c r="BS2698" s="152"/>
      <c r="BT2698" s="152"/>
      <c r="BU2698" s="152"/>
      <c r="BV2698" s="152"/>
      <c r="BW2698" s="152"/>
      <c r="BX2698" s="152"/>
      <c r="BY2698" s="152"/>
      <c r="BZ2698" s="152"/>
      <c r="CA2698" s="152"/>
      <c r="CB2698" s="152"/>
      <c r="CC2698" s="152"/>
      <c r="CD2698" s="152"/>
      <c r="CE2698" s="152"/>
      <c r="CF2698" s="152"/>
      <c r="CG2698" s="152"/>
      <c r="CH2698" s="152"/>
      <c r="CI2698" s="152"/>
      <c r="CJ2698" s="152"/>
      <c r="CK2698" s="152"/>
      <c r="CL2698" s="152"/>
      <c r="CM2698" s="152"/>
      <c r="CN2698" s="152"/>
      <c r="CO2698" s="152"/>
      <c r="CP2698" s="152"/>
      <c r="CQ2698" s="152"/>
      <c r="CR2698" s="152"/>
      <c r="CS2698" s="152"/>
      <c r="CT2698" s="152"/>
      <c r="CU2698" s="152"/>
      <c r="CV2698" s="152"/>
      <c r="CW2698" s="152"/>
      <c r="CX2698" s="152"/>
      <c r="CY2698" s="152"/>
      <c r="CZ2698" s="152"/>
      <c r="DA2698" s="152"/>
      <c r="DB2698" s="152"/>
      <c r="DC2698" s="152"/>
      <c r="DD2698" s="152"/>
      <c r="DE2698" s="152"/>
      <c r="DF2698" s="152"/>
      <c r="DG2698" s="152"/>
      <c r="DH2698" s="152"/>
      <c r="DI2698" s="152"/>
      <c r="DJ2698" s="152"/>
      <c r="DK2698" s="152"/>
      <c r="DL2698" s="152"/>
      <c r="DM2698" s="152"/>
      <c r="DN2698" s="152"/>
      <c r="DO2698" s="152"/>
      <c r="DP2698" s="152"/>
      <c r="DQ2698" s="152"/>
      <c r="DR2698" s="152"/>
      <c r="DS2698" s="152"/>
      <c r="DT2698" s="152"/>
      <c r="DU2698" s="152"/>
      <c r="DV2698" s="152"/>
      <c r="DW2698" s="152"/>
      <c r="DX2698" s="152"/>
      <c r="DY2698" s="152"/>
      <c r="DZ2698" s="152"/>
      <c r="EA2698" s="152"/>
      <c r="EB2698" s="152"/>
      <c r="EC2698" s="152"/>
      <c r="ED2698" s="152"/>
      <c r="EE2698" s="152"/>
      <c r="EF2698" s="152"/>
      <c r="EG2698" s="152"/>
      <c r="EH2698" s="152"/>
      <c r="EI2698" s="152"/>
      <c r="EJ2698" s="152"/>
      <c r="EK2698" s="152"/>
      <c r="EL2698" s="152"/>
      <c r="EM2698" s="152"/>
      <c r="EN2698" s="152"/>
      <c r="EO2698" s="152"/>
      <c r="EP2698" s="152"/>
      <c r="EQ2698" s="152"/>
      <c r="ER2698" s="152"/>
      <c r="ES2698" s="152"/>
      <c r="ET2698" s="152"/>
      <c r="EU2698" s="152"/>
      <c r="EV2698" s="152"/>
      <c r="EW2698" s="152"/>
      <c r="EX2698" s="152"/>
      <c r="EY2698" s="152"/>
      <c r="EZ2698" s="152"/>
      <c r="FA2698" s="152"/>
      <c r="FB2698" s="152"/>
      <c r="FC2698" s="152"/>
      <c r="FD2698" s="152"/>
      <c r="FE2698" s="152"/>
      <c r="FF2698" s="152"/>
      <c r="FG2698" s="152"/>
      <c r="FH2698" s="152"/>
      <c r="FI2698" s="152"/>
      <c r="FJ2698" s="152"/>
      <c r="FK2698" s="152"/>
      <c r="FL2698" s="152"/>
      <c r="FM2698" s="152"/>
      <c r="FN2698" s="152"/>
      <c r="FO2698" s="152"/>
      <c r="FP2698" s="152"/>
      <c r="FQ2698" s="152"/>
      <c r="FR2698" s="152"/>
      <c r="FS2698" s="152"/>
      <c r="FT2698" s="152"/>
      <c r="FU2698" s="152"/>
      <c r="FV2698" s="152"/>
      <c r="FW2698" s="152"/>
      <c r="FX2698" s="152"/>
      <c r="FY2698" s="152"/>
      <c r="FZ2698" s="152"/>
      <c r="GA2698" s="152"/>
      <c r="GB2698" s="152"/>
      <c r="GC2698" s="152"/>
      <c r="GD2698" s="152"/>
      <c r="GE2698" s="152"/>
      <c r="GF2698" s="152"/>
      <c r="GG2698" s="152"/>
      <c r="GH2698" s="152"/>
      <c r="GI2698" s="152"/>
      <c r="GJ2698" s="152"/>
      <c r="GK2698" s="152"/>
      <c r="GL2698" s="152"/>
      <c r="GM2698" s="152"/>
      <c r="GN2698" s="152"/>
      <c r="GO2698" s="152"/>
      <c r="GP2698" s="152"/>
      <c r="GQ2698" s="152"/>
      <c r="GR2698" s="152"/>
      <c r="GS2698" s="152"/>
      <c r="GT2698" s="152"/>
      <c r="GU2698" s="152"/>
      <c r="GV2698" s="152"/>
      <c r="GW2698" s="152"/>
      <c r="GX2698" s="152"/>
      <c r="GY2698" s="152"/>
      <c r="GZ2698" s="152"/>
      <c r="HA2698" s="152"/>
      <c r="HB2698" s="152"/>
      <c r="HC2698" s="152"/>
      <c r="HD2698" s="152"/>
      <c r="HE2698" s="152"/>
      <c r="HF2698" s="152"/>
    </row>
    <row r="2699" spans="1:214" ht="46.5" x14ac:dyDescent="0.35">
      <c r="A2699" s="286">
        <v>61</v>
      </c>
      <c r="B2699" s="277"/>
      <c r="C2699" s="286"/>
      <c r="D2699" s="287"/>
      <c r="E2699" s="304"/>
      <c r="F2699" s="304"/>
      <c r="G2699" s="277"/>
      <c r="H2699" s="182" t="s">
        <v>673</v>
      </c>
      <c r="I2699" s="181">
        <f>D2698*K2699</f>
        <v>1245211.2</v>
      </c>
      <c r="J2699" s="181">
        <f>I2699/D2698</f>
        <v>172</v>
      </c>
      <c r="K2699" s="181">
        <f>154+18</f>
        <v>172</v>
      </c>
      <c r="L2699" s="152"/>
      <c r="M2699" s="152"/>
      <c r="N2699" s="152"/>
      <c r="O2699" s="152"/>
      <c r="P2699" s="152"/>
      <c r="Q2699" s="152"/>
      <c r="R2699" s="152"/>
      <c r="S2699" s="152"/>
      <c r="T2699" s="152"/>
      <c r="U2699" s="152"/>
      <c r="V2699" s="152"/>
      <c r="W2699" s="152"/>
      <c r="X2699" s="152"/>
      <c r="Y2699" s="152"/>
      <c r="Z2699" s="152"/>
      <c r="AA2699" s="152"/>
      <c r="AB2699" s="152"/>
      <c r="AC2699" s="152"/>
      <c r="AD2699" s="152"/>
      <c r="AE2699" s="152"/>
      <c r="AF2699" s="152"/>
      <c r="AG2699" s="152"/>
      <c r="AH2699" s="152"/>
      <c r="AI2699" s="152"/>
      <c r="AJ2699" s="152"/>
      <c r="AK2699" s="152"/>
      <c r="AL2699" s="152"/>
      <c r="AM2699" s="152"/>
      <c r="AN2699" s="152"/>
      <c r="AO2699" s="152"/>
      <c r="AP2699" s="152"/>
      <c r="AQ2699" s="152"/>
      <c r="AR2699" s="152"/>
      <c r="AS2699" s="152"/>
      <c r="AT2699" s="152"/>
      <c r="AU2699" s="152"/>
      <c r="AV2699" s="152"/>
      <c r="AW2699" s="152"/>
      <c r="AX2699" s="152"/>
      <c r="AY2699" s="152"/>
      <c r="AZ2699" s="152"/>
      <c r="BA2699" s="152"/>
      <c r="BB2699" s="152"/>
      <c r="BC2699" s="152"/>
      <c r="BD2699" s="152"/>
      <c r="BE2699" s="152"/>
      <c r="BF2699" s="152"/>
      <c r="BG2699" s="152"/>
      <c r="BH2699" s="152"/>
      <c r="BI2699" s="152"/>
      <c r="BJ2699" s="152"/>
      <c r="BK2699" s="152"/>
      <c r="BL2699" s="152"/>
      <c r="BM2699" s="152"/>
      <c r="BN2699" s="152"/>
      <c r="BO2699" s="152"/>
      <c r="BP2699" s="152"/>
      <c r="BQ2699" s="152"/>
      <c r="BR2699" s="152"/>
      <c r="BS2699" s="152"/>
      <c r="BT2699" s="152"/>
      <c r="BU2699" s="152"/>
      <c r="BV2699" s="152"/>
      <c r="BW2699" s="152"/>
      <c r="BX2699" s="152"/>
      <c r="BY2699" s="152"/>
      <c r="BZ2699" s="152"/>
      <c r="CA2699" s="152"/>
      <c r="CB2699" s="152"/>
      <c r="CC2699" s="152"/>
      <c r="CD2699" s="152"/>
      <c r="CE2699" s="152"/>
      <c r="CF2699" s="152"/>
      <c r="CG2699" s="152"/>
      <c r="CH2699" s="152"/>
      <c r="CI2699" s="152"/>
      <c r="CJ2699" s="152"/>
      <c r="CK2699" s="152"/>
      <c r="CL2699" s="152"/>
      <c r="CM2699" s="152"/>
      <c r="CN2699" s="152"/>
      <c r="CO2699" s="152"/>
      <c r="CP2699" s="152"/>
      <c r="CQ2699" s="152"/>
      <c r="CR2699" s="152"/>
      <c r="CS2699" s="152"/>
      <c r="CT2699" s="152"/>
      <c r="CU2699" s="152"/>
      <c r="CV2699" s="152"/>
      <c r="CW2699" s="152"/>
      <c r="CX2699" s="152"/>
      <c r="CY2699" s="152"/>
      <c r="CZ2699" s="152"/>
      <c r="DA2699" s="152"/>
      <c r="DB2699" s="152"/>
      <c r="DC2699" s="152"/>
      <c r="DD2699" s="152"/>
      <c r="DE2699" s="152"/>
      <c r="DF2699" s="152"/>
      <c r="DG2699" s="152"/>
      <c r="DH2699" s="152"/>
      <c r="DI2699" s="152"/>
      <c r="DJ2699" s="152"/>
      <c r="DK2699" s="152"/>
      <c r="DL2699" s="152"/>
      <c r="DM2699" s="152"/>
      <c r="DN2699" s="152"/>
      <c r="DO2699" s="152"/>
      <c r="DP2699" s="152"/>
      <c r="DQ2699" s="152"/>
      <c r="DR2699" s="152"/>
      <c r="DS2699" s="152"/>
      <c r="DT2699" s="152"/>
      <c r="DU2699" s="152"/>
      <c r="DV2699" s="152"/>
      <c r="DW2699" s="152"/>
      <c r="DX2699" s="152"/>
      <c r="DY2699" s="152"/>
      <c r="DZ2699" s="152"/>
      <c r="EA2699" s="152"/>
      <c r="EB2699" s="152"/>
      <c r="EC2699" s="152"/>
      <c r="ED2699" s="152"/>
      <c r="EE2699" s="152"/>
      <c r="EF2699" s="152"/>
      <c r="EG2699" s="152"/>
      <c r="EH2699" s="152"/>
      <c r="EI2699" s="152"/>
      <c r="EJ2699" s="152"/>
      <c r="EK2699" s="152"/>
      <c r="EL2699" s="152"/>
      <c r="EM2699" s="152"/>
      <c r="EN2699" s="152"/>
      <c r="EO2699" s="152"/>
      <c r="EP2699" s="152"/>
      <c r="EQ2699" s="152"/>
      <c r="ER2699" s="152"/>
      <c r="ES2699" s="152"/>
      <c r="ET2699" s="152"/>
      <c r="EU2699" s="152"/>
      <c r="EV2699" s="152"/>
      <c r="EW2699" s="152"/>
      <c r="EX2699" s="152"/>
      <c r="EY2699" s="152"/>
      <c r="EZ2699" s="152"/>
      <c r="FA2699" s="152"/>
      <c r="FB2699" s="152"/>
      <c r="FC2699" s="152"/>
      <c r="FD2699" s="152"/>
      <c r="FE2699" s="152"/>
      <c r="FF2699" s="152"/>
      <c r="FG2699" s="152"/>
      <c r="FH2699" s="152"/>
      <c r="FI2699" s="152"/>
      <c r="FJ2699" s="152"/>
      <c r="FK2699" s="152"/>
      <c r="FL2699" s="152"/>
      <c r="FM2699" s="152"/>
      <c r="FN2699" s="152"/>
      <c r="FO2699" s="152"/>
      <c r="FP2699" s="152"/>
      <c r="FQ2699" s="152"/>
      <c r="FR2699" s="152"/>
      <c r="FS2699" s="152"/>
      <c r="FT2699" s="152"/>
      <c r="FU2699" s="152"/>
      <c r="FV2699" s="152"/>
      <c r="FW2699" s="152"/>
      <c r="FX2699" s="152"/>
      <c r="FY2699" s="152"/>
      <c r="FZ2699" s="152"/>
      <c r="GA2699" s="152"/>
      <c r="GB2699" s="152"/>
      <c r="GC2699" s="152"/>
      <c r="GD2699" s="152"/>
      <c r="GE2699" s="152"/>
      <c r="GF2699" s="152"/>
      <c r="GG2699" s="152"/>
      <c r="GH2699" s="152"/>
      <c r="GI2699" s="152"/>
      <c r="GJ2699" s="152"/>
      <c r="GK2699" s="152"/>
      <c r="GL2699" s="152"/>
      <c r="GM2699" s="152"/>
      <c r="GN2699" s="152"/>
      <c r="GO2699" s="152"/>
      <c r="GP2699" s="152"/>
      <c r="GQ2699" s="152"/>
      <c r="GR2699" s="152"/>
      <c r="GS2699" s="152"/>
      <c r="GT2699" s="152"/>
      <c r="GU2699" s="152"/>
      <c r="GV2699" s="152"/>
      <c r="GW2699" s="152"/>
      <c r="GX2699" s="152"/>
      <c r="GY2699" s="152"/>
      <c r="GZ2699" s="152"/>
      <c r="HA2699" s="152"/>
      <c r="HB2699" s="152"/>
      <c r="HC2699" s="152"/>
      <c r="HD2699" s="152"/>
      <c r="HE2699" s="152"/>
      <c r="HF2699" s="152"/>
    </row>
    <row r="2700" spans="1:214" x14ac:dyDescent="0.35">
      <c r="A2700" s="138" t="s">
        <v>45</v>
      </c>
      <c r="B2700" s="143"/>
      <c r="C2700" s="144"/>
      <c r="D2700" s="154">
        <f>D2701+D2705+D2708+D2711+D2714++D2719+D2722+D2735+D2745+D2748+D2752+D2759+D2762+D2765+D2768+D2770+D2773+D2776+D2779+D2782+D2789+D2792+D2794+D2813+D2815+D2822+D2825+D2828+D2831+D2833</f>
        <v>106215.66</v>
      </c>
      <c r="E2700" s="154"/>
      <c r="F2700" s="154"/>
      <c r="G2700" s="154"/>
      <c r="H2700" s="35"/>
      <c r="I2700" s="154">
        <f>I2701+I2705+I2708+I2711+I2714++I2719+I2722+I2735+I2745+I2748+I2752+I2759+I2762+I2765+I2768+I2770+I2773+I2776+I2779+I2782+I2789+I2792+I2794+I2813+I2815+I2822+I2825+I2828+I2831+I2833</f>
        <v>163158088.06999999</v>
      </c>
      <c r="J2700" s="153"/>
      <c r="K2700" s="153"/>
      <c r="L2700" s="152"/>
      <c r="M2700" s="152"/>
      <c r="N2700" s="152"/>
      <c r="O2700" s="152"/>
      <c r="P2700" s="152"/>
      <c r="Q2700" s="152"/>
      <c r="R2700" s="152"/>
      <c r="S2700" s="152"/>
      <c r="T2700" s="152"/>
      <c r="U2700" s="152"/>
      <c r="V2700" s="152"/>
      <c r="W2700" s="152"/>
      <c r="X2700" s="152"/>
      <c r="Y2700" s="152"/>
      <c r="Z2700" s="152"/>
      <c r="AA2700" s="152"/>
      <c r="AB2700" s="152"/>
      <c r="AC2700" s="152"/>
      <c r="AD2700" s="152"/>
      <c r="AE2700" s="152"/>
      <c r="AF2700" s="152"/>
      <c r="AG2700" s="152"/>
      <c r="AH2700" s="152"/>
      <c r="AI2700" s="152"/>
      <c r="AJ2700" s="152"/>
      <c r="AK2700" s="152"/>
      <c r="AL2700" s="152"/>
      <c r="AM2700" s="152"/>
      <c r="AN2700" s="152"/>
      <c r="AO2700" s="152"/>
      <c r="AP2700" s="152"/>
      <c r="AQ2700" s="152"/>
      <c r="AR2700" s="152"/>
      <c r="AS2700" s="152"/>
      <c r="AT2700" s="152"/>
      <c r="AU2700" s="152"/>
      <c r="AV2700" s="152"/>
      <c r="AW2700" s="152"/>
      <c r="AX2700" s="152"/>
      <c r="AY2700" s="152"/>
      <c r="AZ2700" s="152"/>
      <c r="BA2700" s="152"/>
      <c r="BB2700" s="152"/>
      <c r="BC2700" s="152"/>
      <c r="BD2700" s="152"/>
      <c r="BE2700" s="152"/>
      <c r="BF2700" s="152"/>
      <c r="BG2700" s="152"/>
      <c r="BH2700" s="152"/>
      <c r="BI2700" s="152"/>
      <c r="BJ2700" s="152"/>
      <c r="BK2700" s="152"/>
      <c r="BL2700" s="152"/>
      <c r="BM2700" s="152"/>
      <c r="BN2700" s="152"/>
      <c r="BO2700" s="152"/>
      <c r="BP2700" s="152"/>
      <c r="BQ2700" s="152"/>
      <c r="BR2700" s="152"/>
      <c r="BS2700" s="152"/>
      <c r="BT2700" s="152"/>
      <c r="BU2700" s="152"/>
      <c r="BV2700" s="152"/>
      <c r="BW2700" s="152"/>
      <c r="BX2700" s="152"/>
      <c r="BY2700" s="152"/>
      <c r="BZ2700" s="152"/>
      <c r="CA2700" s="152"/>
      <c r="CB2700" s="152"/>
      <c r="CC2700" s="152"/>
      <c r="CD2700" s="152"/>
      <c r="CE2700" s="152"/>
      <c r="CF2700" s="152"/>
      <c r="CG2700" s="152"/>
      <c r="CH2700" s="152"/>
      <c r="CI2700" s="152"/>
      <c r="CJ2700" s="152"/>
      <c r="CK2700" s="152"/>
      <c r="CL2700" s="152"/>
      <c r="CM2700" s="152"/>
      <c r="CN2700" s="152"/>
      <c r="CO2700" s="152"/>
      <c r="CP2700" s="152"/>
      <c r="CQ2700" s="152"/>
      <c r="CR2700" s="152"/>
      <c r="CS2700" s="152"/>
      <c r="CT2700" s="152"/>
      <c r="CU2700" s="152"/>
      <c r="CV2700" s="152"/>
      <c r="CW2700" s="152"/>
      <c r="CX2700" s="152"/>
      <c r="CY2700" s="152"/>
      <c r="CZ2700" s="152"/>
      <c r="DA2700" s="152"/>
      <c r="DB2700" s="152"/>
      <c r="DC2700" s="152"/>
      <c r="DD2700" s="152"/>
      <c r="DE2700" s="152"/>
      <c r="DF2700" s="152"/>
      <c r="DG2700" s="152"/>
      <c r="DH2700" s="152"/>
      <c r="DI2700" s="152"/>
      <c r="DJ2700" s="152"/>
      <c r="DK2700" s="152"/>
      <c r="DL2700" s="152"/>
      <c r="DM2700" s="152"/>
      <c r="DN2700" s="152"/>
      <c r="DO2700" s="152"/>
      <c r="DP2700" s="152"/>
      <c r="DQ2700" s="152"/>
      <c r="DR2700" s="152"/>
      <c r="DS2700" s="152"/>
      <c r="DT2700" s="152"/>
      <c r="DU2700" s="152"/>
      <c r="DV2700" s="152"/>
      <c r="DW2700" s="152"/>
      <c r="DX2700" s="152"/>
      <c r="DY2700" s="152"/>
      <c r="DZ2700" s="152"/>
      <c r="EA2700" s="152"/>
      <c r="EB2700" s="152"/>
      <c r="EC2700" s="152"/>
      <c r="ED2700" s="152"/>
      <c r="EE2700" s="152"/>
      <c r="EF2700" s="152"/>
      <c r="EG2700" s="152"/>
      <c r="EH2700" s="152"/>
      <c r="EI2700" s="152"/>
      <c r="EJ2700" s="152"/>
      <c r="EK2700" s="152"/>
      <c r="EL2700" s="152"/>
      <c r="EM2700" s="152"/>
      <c r="EN2700" s="152"/>
      <c r="EO2700" s="152"/>
      <c r="EP2700" s="152"/>
      <c r="EQ2700" s="152"/>
      <c r="ER2700" s="152"/>
      <c r="ES2700" s="152"/>
      <c r="ET2700" s="152"/>
      <c r="EU2700" s="152"/>
      <c r="EV2700" s="152"/>
      <c r="EW2700" s="152"/>
      <c r="EX2700" s="152"/>
      <c r="EY2700" s="152"/>
      <c r="EZ2700" s="152"/>
      <c r="FA2700" s="152"/>
      <c r="FB2700" s="152"/>
      <c r="FC2700" s="152"/>
      <c r="FD2700" s="152"/>
      <c r="FE2700" s="152"/>
      <c r="FF2700" s="152"/>
      <c r="FG2700" s="152"/>
      <c r="FH2700" s="152"/>
      <c r="FI2700" s="152"/>
      <c r="FJ2700" s="152"/>
      <c r="FK2700" s="152"/>
      <c r="FL2700" s="152"/>
      <c r="FM2700" s="152"/>
      <c r="FN2700" s="152"/>
      <c r="FO2700" s="152"/>
      <c r="FP2700" s="152"/>
      <c r="FQ2700" s="152"/>
      <c r="FR2700" s="152"/>
      <c r="FS2700" s="152"/>
      <c r="FT2700" s="152"/>
      <c r="FU2700" s="152"/>
      <c r="FV2700" s="152"/>
      <c r="FW2700" s="152"/>
      <c r="FX2700" s="152"/>
      <c r="FY2700" s="152"/>
      <c r="FZ2700" s="152"/>
      <c r="GA2700" s="152"/>
      <c r="GB2700" s="152"/>
      <c r="GC2700" s="152"/>
      <c r="GD2700" s="152"/>
      <c r="GE2700" s="152"/>
      <c r="GF2700" s="152"/>
      <c r="GG2700" s="152"/>
      <c r="GH2700" s="152"/>
      <c r="GI2700" s="152"/>
      <c r="GJ2700" s="152"/>
      <c r="GK2700" s="152"/>
      <c r="GL2700" s="152"/>
      <c r="GM2700" s="152"/>
      <c r="GN2700" s="152"/>
      <c r="GO2700" s="152"/>
      <c r="GP2700" s="152"/>
      <c r="GQ2700" s="152"/>
      <c r="GR2700" s="152"/>
      <c r="GS2700" s="152"/>
      <c r="GT2700" s="152"/>
      <c r="GU2700" s="152"/>
      <c r="GV2700" s="152"/>
      <c r="GW2700" s="152"/>
      <c r="GX2700" s="152"/>
      <c r="GY2700" s="152"/>
      <c r="GZ2700" s="152"/>
      <c r="HA2700" s="152"/>
      <c r="HB2700" s="152"/>
      <c r="HC2700" s="152"/>
      <c r="HD2700" s="152"/>
      <c r="HE2700" s="152"/>
      <c r="HF2700" s="152"/>
    </row>
    <row r="2701" spans="1:214" ht="15.5" customHeight="1" x14ac:dyDescent="0.35">
      <c r="A2701" s="259">
        <v>1</v>
      </c>
      <c r="B2701" s="259">
        <v>5993</v>
      </c>
      <c r="C2701" s="262" t="s">
        <v>818</v>
      </c>
      <c r="D2701" s="256">
        <v>2420</v>
      </c>
      <c r="E2701" s="259" t="s">
        <v>74</v>
      </c>
      <c r="F2701" s="259">
        <v>9</v>
      </c>
      <c r="G2701" s="259" t="s">
        <v>641</v>
      </c>
      <c r="H2701" s="186" t="s">
        <v>72</v>
      </c>
      <c r="I2701" s="149">
        <f>SUM(I2702:I2704)</f>
        <v>1741104</v>
      </c>
      <c r="J2701" s="149">
        <f>SUM(J2702:J2704)</f>
        <v>719.46</v>
      </c>
      <c r="K2701" s="149">
        <f>SUM(K2702:K2704)</f>
        <v>734.58</v>
      </c>
      <c r="L2701" s="152"/>
      <c r="M2701" s="152"/>
      <c r="N2701" s="152"/>
      <c r="O2701" s="152"/>
      <c r="P2701" s="152"/>
      <c r="Q2701" s="152"/>
      <c r="R2701" s="152"/>
      <c r="S2701" s="152"/>
      <c r="T2701" s="152"/>
      <c r="U2701" s="152"/>
      <c r="V2701" s="152"/>
      <c r="W2701" s="152"/>
      <c r="X2701" s="152"/>
      <c r="Y2701" s="152"/>
      <c r="Z2701" s="152"/>
      <c r="AA2701" s="152"/>
      <c r="AB2701" s="152"/>
      <c r="AC2701" s="152"/>
      <c r="AD2701" s="152"/>
      <c r="AE2701" s="152"/>
      <c r="AF2701" s="152"/>
      <c r="AG2701" s="152"/>
      <c r="AH2701" s="152"/>
      <c r="AI2701" s="152"/>
      <c r="AJ2701" s="152"/>
      <c r="AK2701" s="152"/>
      <c r="AL2701" s="152"/>
      <c r="AM2701" s="152"/>
      <c r="AN2701" s="152"/>
      <c r="AO2701" s="152"/>
      <c r="AP2701" s="152"/>
      <c r="AQ2701" s="152"/>
      <c r="AR2701" s="152"/>
      <c r="AS2701" s="152"/>
      <c r="AT2701" s="152"/>
      <c r="AU2701" s="152"/>
      <c r="AV2701" s="152"/>
      <c r="AW2701" s="152"/>
      <c r="AX2701" s="152"/>
      <c r="AY2701" s="152"/>
      <c r="AZ2701" s="152"/>
      <c r="BA2701" s="152"/>
      <c r="BB2701" s="152"/>
      <c r="BC2701" s="152"/>
      <c r="BD2701" s="152"/>
      <c r="BE2701" s="152"/>
      <c r="BF2701" s="152"/>
      <c r="BG2701" s="152"/>
      <c r="BH2701" s="152"/>
      <c r="BI2701" s="152"/>
      <c r="BJ2701" s="152"/>
      <c r="BK2701" s="152"/>
      <c r="BL2701" s="152"/>
      <c r="BM2701" s="152"/>
      <c r="BN2701" s="152"/>
      <c r="BO2701" s="152"/>
      <c r="BP2701" s="152"/>
      <c r="BQ2701" s="152"/>
      <c r="BR2701" s="152"/>
      <c r="BS2701" s="152"/>
      <c r="BT2701" s="152"/>
      <c r="BU2701" s="152"/>
      <c r="BV2701" s="152"/>
      <c r="BW2701" s="152"/>
      <c r="BX2701" s="152"/>
      <c r="BY2701" s="152"/>
      <c r="BZ2701" s="152"/>
      <c r="CA2701" s="152"/>
      <c r="CB2701" s="152"/>
      <c r="CC2701" s="152"/>
      <c r="CD2701" s="152"/>
      <c r="CE2701" s="152"/>
      <c r="CF2701" s="152"/>
      <c r="CG2701" s="152"/>
      <c r="CH2701" s="152"/>
      <c r="CI2701" s="152"/>
      <c r="CJ2701" s="152"/>
      <c r="CK2701" s="152"/>
      <c r="CL2701" s="152"/>
      <c r="CM2701" s="152"/>
      <c r="CN2701" s="152"/>
      <c r="CO2701" s="152"/>
      <c r="CP2701" s="152"/>
      <c r="CQ2701" s="152"/>
      <c r="CR2701" s="152"/>
      <c r="CS2701" s="152"/>
      <c r="CT2701" s="152"/>
      <c r="CU2701" s="152"/>
      <c r="CV2701" s="152"/>
      <c r="CW2701" s="152"/>
      <c r="CX2701" s="152"/>
      <c r="CY2701" s="152"/>
      <c r="CZ2701" s="152"/>
      <c r="DA2701" s="152"/>
      <c r="DB2701" s="152"/>
      <c r="DC2701" s="152"/>
      <c r="DD2701" s="152"/>
      <c r="DE2701" s="152"/>
      <c r="DF2701" s="152"/>
      <c r="DG2701" s="152"/>
      <c r="DH2701" s="152"/>
      <c r="DI2701" s="152"/>
      <c r="DJ2701" s="152"/>
      <c r="DK2701" s="152"/>
      <c r="DL2701" s="152"/>
      <c r="DM2701" s="152"/>
      <c r="DN2701" s="152"/>
      <c r="DO2701" s="152"/>
      <c r="DP2701" s="152"/>
      <c r="DQ2701" s="152"/>
      <c r="DR2701" s="152"/>
      <c r="DS2701" s="152"/>
      <c r="DT2701" s="152"/>
      <c r="DU2701" s="152"/>
      <c r="DV2701" s="152"/>
      <c r="DW2701" s="152"/>
      <c r="DX2701" s="152"/>
      <c r="DY2701" s="152"/>
      <c r="DZ2701" s="152"/>
      <c r="EA2701" s="152"/>
      <c r="EB2701" s="152"/>
      <c r="EC2701" s="152"/>
      <c r="ED2701" s="152"/>
      <c r="EE2701" s="152"/>
      <c r="EF2701" s="152"/>
      <c r="EG2701" s="152"/>
      <c r="EH2701" s="152"/>
      <c r="EI2701" s="152"/>
      <c r="EJ2701" s="152"/>
      <c r="EK2701" s="152"/>
      <c r="EL2701" s="152"/>
      <c r="EM2701" s="152"/>
      <c r="EN2701" s="152"/>
      <c r="EO2701" s="152"/>
      <c r="EP2701" s="152"/>
      <c r="EQ2701" s="152"/>
      <c r="ER2701" s="152"/>
      <c r="ES2701" s="152"/>
      <c r="ET2701" s="152"/>
      <c r="EU2701" s="152"/>
      <c r="EV2701" s="152"/>
      <c r="EW2701" s="152"/>
      <c r="EX2701" s="152"/>
      <c r="EY2701" s="152"/>
      <c r="EZ2701" s="152"/>
      <c r="FA2701" s="152"/>
      <c r="FB2701" s="152"/>
      <c r="FC2701" s="152"/>
      <c r="FD2701" s="152"/>
      <c r="FE2701" s="152"/>
      <c r="FF2701" s="152"/>
      <c r="FG2701" s="152"/>
      <c r="FH2701" s="152"/>
      <c r="FI2701" s="152"/>
      <c r="FJ2701" s="152"/>
      <c r="FK2701" s="152"/>
      <c r="FL2701" s="152"/>
      <c r="FM2701" s="152"/>
      <c r="FN2701" s="152"/>
      <c r="FO2701" s="152"/>
      <c r="FP2701" s="152"/>
      <c r="FQ2701" s="152"/>
      <c r="FR2701" s="152"/>
      <c r="FS2701" s="152"/>
      <c r="FT2701" s="152"/>
      <c r="FU2701" s="152"/>
      <c r="FV2701" s="152"/>
      <c r="FW2701" s="152"/>
      <c r="FX2701" s="152"/>
      <c r="FY2701" s="152"/>
      <c r="FZ2701" s="152"/>
      <c r="GA2701" s="152"/>
      <c r="GB2701" s="152"/>
      <c r="GC2701" s="152"/>
      <c r="GD2701" s="152"/>
      <c r="GE2701" s="152"/>
      <c r="GF2701" s="152"/>
      <c r="GG2701" s="152"/>
      <c r="GH2701" s="152"/>
      <c r="GI2701" s="152"/>
      <c r="GJ2701" s="152"/>
      <c r="GK2701" s="152"/>
      <c r="GL2701" s="152"/>
      <c r="GM2701" s="152"/>
      <c r="GN2701" s="152"/>
      <c r="GO2701" s="152"/>
      <c r="GP2701" s="152"/>
      <c r="GQ2701" s="152"/>
      <c r="GR2701" s="152"/>
      <c r="GS2701" s="152"/>
      <c r="GT2701" s="152"/>
      <c r="GU2701" s="152"/>
      <c r="GV2701" s="152"/>
      <c r="GW2701" s="152"/>
      <c r="GX2701" s="152"/>
      <c r="GY2701" s="152"/>
      <c r="GZ2701" s="152"/>
      <c r="HA2701" s="152"/>
      <c r="HB2701" s="152"/>
      <c r="HC2701" s="152"/>
      <c r="HD2701" s="152"/>
      <c r="HE2701" s="152"/>
      <c r="HF2701" s="152"/>
    </row>
    <row r="2702" spans="1:214" ht="46.5" x14ac:dyDescent="0.35">
      <c r="A2702" s="260"/>
      <c r="B2702" s="260"/>
      <c r="C2702" s="263"/>
      <c r="D2702" s="257"/>
      <c r="E2702" s="260"/>
      <c r="F2702" s="260"/>
      <c r="G2702" s="260"/>
      <c r="H2702" s="186" t="s">
        <v>634</v>
      </c>
      <c r="I2702" s="149">
        <v>32281</v>
      </c>
      <c r="J2702" s="149">
        <f>I2702/D2701</f>
        <v>13.34</v>
      </c>
      <c r="K2702" s="149">
        <f>(22681+9600)/D2701</f>
        <v>13.34</v>
      </c>
      <c r="L2702" s="152"/>
      <c r="M2702" s="152"/>
      <c r="N2702" s="152"/>
      <c r="O2702" s="152"/>
      <c r="P2702" s="152"/>
      <c r="Q2702" s="152"/>
      <c r="R2702" s="152"/>
      <c r="S2702" s="152"/>
      <c r="T2702" s="152"/>
      <c r="U2702" s="152"/>
      <c r="V2702" s="152"/>
      <c r="W2702" s="152"/>
      <c r="X2702" s="152"/>
      <c r="Y2702" s="152"/>
      <c r="Z2702" s="152"/>
      <c r="AA2702" s="152"/>
      <c r="AB2702" s="152"/>
      <c r="AC2702" s="152"/>
      <c r="AD2702" s="152"/>
      <c r="AE2702" s="152"/>
      <c r="AF2702" s="152"/>
      <c r="AG2702" s="152"/>
      <c r="AH2702" s="152"/>
      <c r="AI2702" s="152"/>
      <c r="AJ2702" s="152"/>
      <c r="AK2702" s="152"/>
      <c r="AL2702" s="152"/>
      <c r="AM2702" s="152"/>
      <c r="AN2702" s="152"/>
      <c r="AO2702" s="152"/>
      <c r="AP2702" s="152"/>
      <c r="AQ2702" s="152"/>
      <c r="AR2702" s="152"/>
      <c r="AS2702" s="152"/>
      <c r="AT2702" s="152"/>
      <c r="AU2702" s="152"/>
      <c r="AV2702" s="152"/>
      <c r="AW2702" s="152"/>
      <c r="AX2702" s="152"/>
      <c r="AY2702" s="152"/>
      <c r="AZ2702" s="152"/>
      <c r="BA2702" s="152"/>
      <c r="BB2702" s="152"/>
      <c r="BC2702" s="152"/>
      <c r="BD2702" s="152"/>
      <c r="BE2702" s="152"/>
      <c r="BF2702" s="152"/>
      <c r="BG2702" s="152"/>
      <c r="BH2702" s="152"/>
      <c r="BI2702" s="152"/>
      <c r="BJ2702" s="152"/>
      <c r="BK2702" s="152"/>
      <c r="BL2702" s="152"/>
      <c r="BM2702" s="152"/>
      <c r="BN2702" s="152"/>
      <c r="BO2702" s="152"/>
      <c r="BP2702" s="152"/>
      <c r="BQ2702" s="152"/>
      <c r="BR2702" s="152"/>
      <c r="BS2702" s="152"/>
      <c r="BT2702" s="152"/>
      <c r="BU2702" s="152"/>
      <c r="BV2702" s="152"/>
      <c r="BW2702" s="152"/>
      <c r="BX2702" s="152"/>
      <c r="BY2702" s="152"/>
      <c r="BZ2702" s="152"/>
      <c r="CA2702" s="152"/>
      <c r="CB2702" s="152"/>
      <c r="CC2702" s="152"/>
      <c r="CD2702" s="152"/>
      <c r="CE2702" s="152"/>
      <c r="CF2702" s="152"/>
      <c r="CG2702" s="152"/>
      <c r="CH2702" s="152"/>
      <c r="CI2702" s="152"/>
      <c r="CJ2702" s="152"/>
      <c r="CK2702" s="152"/>
      <c r="CL2702" s="152"/>
      <c r="CM2702" s="152"/>
      <c r="CN2702" s="152"/>
      <c r="CO2702" s="152"/>
      <c r="CP2702" s="152"/>
      <c r="CQ2702" s="152"/>
      <c r="CR2702" s="152"/>
      <c r="CS2702" s="152"/>
      <c r="CT2702" s="152"/>
      <c r="CU2702" s="152"/>
      <c r="CV2702" s="152"/>
      <c r="CW2702" s="152"/>
      <c r="CX2702" s="152"/>
      <c r="CY2702" s="152"/>
      <c r="CZ2702" s="152"/>
      <c r="DA2702" s="152"/>
      <c r="DB2702" s="152"/>
      <c r="DC2702" s="152"/>
      <c r="DD2702" s="152"/>
      <c r="DE2702" s="152"/>
      <c r="DF2702" s="152"/>
      <c r="DG2702" s="152"/>
      <c r="DH2702" s="152"/>
      <c r="DI2702" s="152"/>
      <c r="DJ2702" s="152"/>
      <c r="DK2702" s="152"/>
      <c r="DL2702" s="152"/>
      <c r="DM2702" s="152"/>
      <c r="DN2702" s="152"/>
      <c r="DO2702" s="152"/>
      <c r="DP2702" s="152"/>
      <c r="DQ2702" s="152"/>
      <c r="DR2702" s="152"/>
      <c r="DS2702" s="152"/>
      <c r="DT2702" s="152"/>
      <c r="DU2702" s="152"/>
      <c r="DV2702" s="152"/>
      <c r="DW2702" s="152"/>
      <c r="DX2702" s="152"/>
      <c r="DY2702" s="152"/>
      <c r="DZ2702" s="152"/>
      <c r="EA2702" s="152"/>
      <c r="EB2702" s="152"/>
      <c r="EC2702" s="152"/>
      <c r="ED2702" s="152"/>
      <c r="EE2702" s="152"/>
      <c r="EF2702" s="152"/>
      <c r="EG2702" s="152"/>
      <c r="EH2702" s="152"/>
      <c r="EI2702" s="152"/>
      <c r="EJ2702" s="152"/>
      <c r="EK2702" s="152"/>
      <c r="EL2702" s="152"/>
      <c r="EM2702" s="152"/>
      <c r="EN2702" s="152"/>
      <c r="EO2702" s="152"/>
      <c r="EP2702" s="152"/>
      <c r="EQ2702" s="152"/>
      <c r="ER2702" s="152"/>
      <c r="ES2702" s="152"/>
      <c r="ET2702" s="152"/>
      <c r="EU2702" s="152"/>
      <c r="EV2702" s="152"/>
      <c r="EW2702" s="152"/>
      <c r="EX2702" s="152"/>
      <c r="EY2702" s="152"/>
      <c r="EZ2702" s="152"/>
      <c r="FA2702" s="152"/>
      <c r="FB2702" s="152"/>
      <c r="FC2702" s="152"/>
      <c r="FD2702" s="152"/>
      <c r="FE2702" s="152"/>
      <c r="FF2702" s="152"/>
      <c r="FG2702" s="152"/>
      <c r="FH2702" s="152"/>
      <c r="FI2702" s="152"/>
      <c r="FJ2702" s="152"/>
      <c r="FK2702" s="152"/>
      <c r="FL2702" s="152"/>
      <c r="FM2702" s="152"/>
      <c r="FN2702" s="152"/>
      <c r="FO2702" s="152"/>
      <c r="FP2702" s="152"/>
      <c r="FQ2702" s="152"/>
      <c r="FR2702" s="152"/>
      <c r="FS2702" s="152"/>
      <c r="FT2702" s="152"/>
      <c r="FU2702" s="152"/>
      <c r="FV2702" s="152"/>
      <c r="FW2702" s="152"/>
      <c r="FX2702" s="152"/>
      <c r="FY2702" s="152"/>
      <c r="FZ2702" s="152"/>
      <c r="GA2702" s="152"/>
      <c r="GB2702" s="152"/>
      <c r="GC2702" s="152"/>
      <c r="GD2702" s="152"/>
      <c r="GE2702" s="152"/>
      <c r="GF2702" s="152"/>
      <c r="GG2702" s="152"/>
      <c r="GH2702" s="152"/>
      <c r="GI2702" s="152"/>
      <c r="GJ2702" s="152"/>
      <c r="GK2702" s="152"/>
      <c r="GL2702" s="152"/>
      <c r="GM2702" s="152"/>
      <c r="GN2702" s="152"/>
      <c r="GO2702" s="152"/>
      <c r="GP2702" s="152"/>
      <c r="GQ2702" s="152"/>
      <c r="GR2702" s="152"/>
      <c r="GS2702" s="152"/>
      <c r="GT2702" s="152"/>
      <c r="GU2702" s="152"/>
      <c r="GV2702" s="152"/>
      <c r="GW2702" s="152"/>
      <c r="GX2702" s="152"/>
      <c r="GY2702" s="152"/>
      <c r="GZ2702" s="152"/>
      <c r="HA2702" s="152"/>
      <c r="HB2702" s="152"/>
      <c r="HC2702" s="152"/>
      <c r="HD2702" s="152"/>
      <c r="HE2702" s="152"/>
      <c r="HF2702" s="152"/>
    </row>
    <row r="2703" spans="1:214" x14ac:dyDescent="0.35">
      <c r="A2703" s="260"/>
      <c r="B2703" s="260"/>
      <c r="C2703" s="263"/>
      <c r="D2703" s="257"/>
      <c r="E2703" s="260"/>
      <c r="F2703" s="260"/>
      <c r="G2703" s="260"/>
      <c r="H2703" s="186" t="s">
        <v>642</v>
      </c>
      <c r="I2703" s="149">
        <v>1708823</v>
      </c>
      <c r="J2703" s="149">
        <f>I2703/D2701-0.01</f>
        <v>706.12</v>
      </c>
      <c r="K2703" s="149">
        <f>1708823/D2701</f>
        <v>706.13</v>
      </c>
      <c r="L2703" s="152"/>
      <c r="M2703" s="152"/>
      <c r="N2703" s="152"/>
      <c r="O2703" s="152"/>
      <c r="P2703" s="152"/>
      <c r="Q2703" s="152"/>
      <c r="R2703" s="152"/>
      <c r="S2703" s="152"/>
      <c r="T2703" s="152"/>
      <c r="U2703" s="152"/>
      <c r="V2703" s="152"/>
      <c r="W2703" s="152"/>
      <c r="X2703" s="152"/>
      <c r="Y2703" s="152"/>
      <c r="Z2703" s="152"/>
      <c r="AA2703" s="152"/>
      <c r="AB2703" s="152"/>
      <c r="AC2703" s="152"/>
      <c r="AD2703" s="152"/>
      <c r="AE2703" s="152"/>
      <c r="AF2703" s="152"/>
      <c r="AG2703" s="152"/>
      <c r="AH2703" s="152"/>
      <c r="AI2703" s="152"/>
      <c r="AJ2703" s="152"/>
      <c r="AK2703" s="152"/>
      <c r="AL2703" s="152"/>
      <c r="AM2703" s="152"/>
      <c r="AN2703" s="152"/>
      <c r="AO2703" s="152"/>
      <c r="AP2703" s="152"/>
      <c r="AQ2703" s="152"/>
      <c r="AR2703" s="152"/>
      <c r="AS2703" s="152"/>
      <c r="AT2703" s="152"/>
      <c r="AU2703" s="152"/>
      <c r="AV2703" s="152"/>
      <c r="AW2703" s="152"/>
      <c r="AX2703" s="152"/>
      <c r="AY2703" s="152"/>
      <c r="AZ2703" s="152"/>
      <c r="BA2703" s="152"/>
      <c r="BB2703" s="152"/>
      <c r="BC2703" s="152"/>
      <c r="BD2703" s="152"/>
      <c r="BE2703" s="152"/>
      <c r="BF2703" s="152"/>
      <c r="BG2703" s="152"/>
      <c r="BH2703" s="152"/>
      <c r="BI2703" s="152"/>
      <c r="BJ2703" s="152"/>
      <c r="BK2703" s="152"/>
      <c r="BL2703" s="152"/>
      <c r="BM2703" s="152"/>
      <c r="BN2703" s="152"/>
      <c r="BO2703" s="152"/>
      <c r="BP2703" s="152"/>
      <c r="BQ2703" s="152"/>
      <c r="BR2703" s="152"/>
      <c r="BS2703" s="152"/>
      <c r="BT2703" s="152"/>
      <c r="BU2703" s="152"/>
      <c r="BV2703" s="152"/>
      <c r="BW2703" s="152"/>
      <c r="BX2703" s="152"/>
      <c r="BY2703" s="152"/>
      <c r="BZ2703" s="152"/>
      <c r="CA2703" s="152"/>
      <c r="CB2703" s="152"/>
      <c r="CC2703" s="152"/>
      <c r="CD2703" s="152"/>
      <c r="CE2703" s="152"/>
      <c r="CF2703" s="152"/>
      <c r="CG2703" s="152"/>
      <c r="CH2703" s="152"/>
      <c r="CI2703" s="152"/>
      <c r="CJ2703" s="152"/>
      <c r="CK2703" s="152"/>
      <c r="CL2703" s="152"/>
      <c r="CM2703" s="152"/>
      <c r="CN2703" s="152"/>
      <c r="CO2703" s="152"/>
      <c r="CP2703" s="152"/>
      <c r="CQ2703" s="152"/>
      <c r="CR2703" s="152"/>
      <c r="CS2703" s="152"/>
      <c r="CT2703" s="152"/>
      <c r="CU2703" s="152"/>
      <c r="CV2703" s="152"/>
      <c r="CW2703" s="152"/>
      <c r="CX2703" s="152"/>
      <c r="CY2703" s="152"/>
      <c r="CZ2703" s="152"/>
      <c r="DA2703" s="152"/>
      <c r="DB2703" s="152"/>
      <c r="DC2703" s="152"/>
      <c r="DD2703" s="152"/>
      <c r="DE2703" s="152"/>
      <c r="DF2703" s="152"/>
      <c r="DG2703" s="152"/>
      <c r="DH2703" s="152"/>
      <c r="DI2703" s="152"/>
      <c r="DJ2703" s="152"/>
      <c r="DK2703" s="152"/>
      <c r="DL2703" s="152"/>
      <c r="DM2703" s="152"/>
      <c r="DN2703" s="152"/>
      <c r="DO2703" s="152"/>
      <c r="DP2703" s="152"/>
      <c r="DQ2703" s="152"/>
      <c r="DR2703" s="152"/>
      <c r="DS2703" s="152"/>
      <c r="DT2703" s="152"/>
      <c r="DU2703" s="152"/>
      <c r="DV2703" s="152"/>
      <c r="DW2703" s="152"/>
      <c r="DX2703" s="152"/>
      <c r="DY2703" s="152"/>
      <c r="DZ2703" s="152"/>
      <c r="EA2703" s="152"/>
      <c r="EB2703" s="152"/>
      <c r="EC2703" s="152"/>
      <c r="ED2703" s="152"/>
      <c r="EE2703" s="152"/>
      <c r="EF2703" s="152"/>
      <c r="EG2703" s="152"/>
      <c r="EH2703" s="152"/>
      <c r="EI2703" s="152"/>
      <c r="EJ2703" s="152"/>
      <c r="EK2703" s="152"/>
      <c r="EL2703" s="152"/>
      <c r="EM2703" s="152"/>
      <c r="EN2703" s="152"/>
      <c r="EO2703" s="152"/>
      <c r="EP2703" s="152"/>
      <c r="EQ2703" s="152"/>
      <c r="ER2703" s="152"/>
      <c r="ES2703" s="152"/>
      <c r="ET2703" s="152"/>
      <c r="EU2703" s="152"/>
      <c r="EV2703" s="152"/>
      <c r="EW2703" s="152"/>
      <c r="EX2703" s="152"/>
      <c r="EY2703" s="152"/>
      <c r="EZ2703" s="152"/>
      <c r="FA2703" s="152"/>
      <c r="FB2703" s="152"/>
      <c r="FC2703" s="152"/>
      <c r="FD2703" s="152"/>
      <c r="FE2703" s="152"/>
      <c r="FF2703" s="152"/>
      <c r="FG2703" s="152"/>
      <c r="FH2703" s="152"/>
      <c r="FI2703" s="152"/>
      <c r="FJ2703" s="152"/>
      <c r="FK2703" s="152"/>
      <c r="FL2703" s="152"/>
      <c r="FM2703" s="152"/>
      <c r="FN2703" s="152"/>
      <c r="FO2703" s="152"/>
      <c r="FP2703" s="152"/>
      <c r="FQ2703" s="152"/>
      <c r="FR2703" s="152"/>
      <c r="FS2703" s="152"/>
      <c r="FT2703" s="152"/>
      <c r="FU2703" s="152"/>
      <c r="FV2703" s="152"/>
      <c r="FW2703" s="152"/>
      <c r="FX2703" s="152"/>
      <c r="FY2703" s="152"/>
      <c r="FZ2703" s="152"/>
      <c r="GA2703" s="152"/>
      <c r="GB2703" s="152"/>
      <c r="GC2703" s="152"/>
      <c r="GD2703" s="152"/>
      <c r="GE2703" s="152"/>
      <c r="GF2703" s="152"/>
      <c r="GG2703" s="152"/>
      <c r="GH2703" s="152"/>
      <c r="GI2703" s="152"/>
      <c r="GJ2703" s="152"/>
      <c r="GK2703" s="152"/>
      <c r="GL2703" s="152"/>
      <c r="GM2703" s="152"/>
      <c r="GN2703" s="152"/>
      <c r="GO2703" s="152"/>
      <c r="GP2703" s="152"/>
      <c r="GQ2703" s="152"/>
      <c r="GR2703" s="152"/>
      <c r="GS2703" s="152"/>
      <c r="GT2703" s="152"/>
      <c r="GU2703" s="152"/>
      <c r="GV2703" s="152"/>
      <c r="GW2703" s="152"/>
      <c r="GX2703" s="152"/>
      <c r="GY2703" s="152"/>
      <c r="GZ2703" s="152"/>
      <c r="HA2703" s="152"/>
      <c r="HB2703" s="152"/>
      <c r="HC2703" s="152"/>
      <c r="HD2703" s="152"/>
      <c r="HE2703" s="152"/>
      <c r="HF2703" s="152"/>
    </row>
    <row r="2704" spans="1:214" x14ac:dyDescent="0.35">
      <c r="A2704" s="260"/>
      <c r="B2704" s="260"/>
      <c r="C2704" s="263"/>
      <c r="D2704" s="257"/>
      <c r="E2704" s="260"/>
      <c r="F2704" s="260"/>
      <c r="G2704" s="261"/>
      <c r="H2704" s="186" t="s">
        <v>75</v>
      </c>
      <c r="I2704" s="149">
        <v>0</v>
      </c>
      <c r="J2704" s="149">
        <f>I2704/D2701</f>
        <v>0</v>
      </c>
      <c r="K2704" s="149">
        <f>36569/D2701</f>
        <v>15.11</v>
      </c>
      <c r="L2704" s="152"/>
      <c r="M2704" s="152"/>
      <c r="N2704" s="152"/>
      <c r="O2704" s="152"/>
      <c r="P2704" s="152"/>
      <c r="Q2704" s="152"/>
      <c r="R2704" s="152"/>
      <c r="S2704" s="152"/>
      <c r="T2704" s="152"/>
      <c r="U2704" s="152"/>
      <c r="V2704" s="152"/>
      <c r="W2704" s="152"/>
      <c r="X2704" s="152"/>
      <c r="Y2704" s="152"/>
      <c r="Z2704" s="152"/>
      <c r="AA2704" s="152"/>
      <c r="AB2704" s="152"/>
      <c r="AC2704" s="152"/>
      <c r="AD2704" s="152"/>
      <c r="AE2704" s="152"/>
      <c r="AF2704" s="152"/>
      <c r="AG2704" s="152"/>
      <c r="AH2704" s="152"/>
      <c r="AI2704" s="152"/>
      <c r="AJ2704" s="152"/>
      <c r="AK2704" s="152"/>
      <c r="AL2704" s="152"/>
      <c r="AM2704" s="152"/>
      <c r="AN2704" s="152"/>
      <c r="AO2704" s="152"/>
      <c r="AP2704" s="152"/>
      <c r="AQ2704" s="152"/>
      <c r="AR2704" s="152"/>
      <c r="AS2704" s="152"/>
      <c r="AT2704" s="152"/>
      <c r="AU2704" s="152"/>
      <c r="AV2704" s="152"/>
      <c r="AW2704" s="152"/>
      <c r="AX2704" s="152"/>
      <c r="AY2704" s="152"/>
      <c r="AZ2704" s="152"/>
      <c r="BA2704" s="152"/>
      <c r="BB2704" s="152"/>
      <c r="BC2704" s="152"/>
      <c r="BD2704" s="152"/>
      <c r="BE2704" s="152"/>
      <c r="BF2704" s="152"/>
      <c r="BG2704" s="152"/>
      <c r="BH2704" s="152"/>
      <c r="BI2704" s="152"/>
      <c r="BJ2704" s="152"/>
      <c r="BK2704" s="152"/>
      <c r="BL2704" s="152"/>
      <c r="BM2704" s="152"/>
      <c r="BN2704" s="152"/>
      <c r="BO2704" s="152"/>
      <c r="BP2704" s="152"/>
      <c r="BQ2704" s="152"/>
      <c r="BR2704" s="152"/>
      <c r="BS2704" s="152"/>
      <c r="BT2704" s="152"/>
      <c r="BU2704" s="152"/>
      <c r="BV2704" s="152"/>
      <c r="BW2704" s="152"/>
      <c r="BX2704" s="152"/>
      <c r="BY2704" s="152"/>
      <c r="BZ2704" s="152"/>
      <c r="CA2704" s="152"/>
      <c r="CB2704" s="152"/>
      <c r="CC2704" s="152"/>
      <c r="CD2704" s="152"/>
      <c r="CE2704" s="152"/>
      <c r="CF2704" s="152"/>
      <c r="CG2704" s="152"/>
      <c r="CH2704" s="152"/>
      <c r="CI2704" s="152"/>
      <c r="CJ2704" s="152"/>
      <c r="CK2704" s="152"/>
      <c r="CL2704" s="152"/>
      <c r="CM2704" s="152"/>
      <c r="CN2704" s="152"/>
      <c r="CO2704" s="152"/>
      <c r="CP2704" s="152"/>
      <c r="CQ2704" s="152"/>
      <c r="CR2704" s="152"/>
      <c r="CS2704" s="152"/>
      <c r="CT2704" s="152"/>
      <c r="CU2704" s="152"/>
      <c r="CV2704" s="152"/>
      <c r="CW2704" s="152"/>
      <c r="CX2704" s="152"/>
      <c r="CY2704" s="152"/>
      <c r="CZ2704" s="152"/>
      <c r="DA2704" s="152"/>
      <c r="DB2704" s="152"/>
      <c r="DC2704" s="152"/>
      <c r="DD2704" s="152"/>
      <c r="DE2704" s="152"/>
      <c r="DF2704" s="152"/>
      <c r="DG2704" s="152"/>
      <c r="DH2704" s="152"/>
      <c r="DI2704" s="152"/>
      <c r="DJ2704" s="152"/>
      <c r="DK2704" s="152"/>
      <c r="DL2704" s="152"/>
      <c r="DM2704" s="152"/>
      <c r="DN2704" s="152"/>
      <c r="DO2704" s="152"/>
      <c r="DP2704" s="152"/>
      <c r="DQ2704" s="152"/>
      <c r="DR2704" s="152"/>
      <c r="DS2704" s="152"/>
      <c r="DT2704" s="152"/>
      <c r="DU2704" s="152"/>
      <c r="DV2704" s="152"/>
      <c r="DW2704" s="152"/>
      <c r="DX2704" s="152"/>
      <c r="DY2704" s="152"/>
      <c r="DZ2704" s="152"/>
      <c r="EA2704" s="152"/>
      <c r="EB2704" s="152"/>
      <c r="EC2704" s="152"/>
      <c r="ED2704" s="152"/>
      <c r="EE2704" s="152"/>
      <c r="EF2704" s="152"/>
      <c r="EG2704" s="152"/>
      <c r="EH2704" s="152"/>
      <c r="EI2704" s="152"/>
      <c r="EJ2704" s="152"/>
      <c r="EK2704" s="152"/>
      <c r="EL2704" s="152"/>
      <c r="EM2704" s="152"/>
      <c r="EN2704" s="152"/>
      <c r="EO2704" s="152"/>
      <c r="EP2704" s="152"/>
      <c r="EQ2704" s="152"/>
      <c r="ER2704" s="152"/>
      <c r="ES2704" s="152"/>
      <c r="ET2704" s="152"/>
      <c r="EU2704" s="152"/>
      <c r="EV2704" s="152"/>
      <c r="EW2704" s="152"/>
      <c r="EX2704" s="152"/>
      <c r="EY2704" s="152"/>
      <c r="EZ2704" s="152"/>
      <c r="FA2704" s="152"/>
      <c r="FB2704" s="152"/>
      <c r="FC2704" s="152"/>
      <c r="FD2704" s="152"/>
      <c r="FE2704" s="152"/>
      <c r="FF2704" s="152"/>
      <c r="FG2704" s="152"/>
      <c r="FH2704" s="152"/>
      <c r="FI2704" s="152"/>
      <c r="FJ2704" s="152"/>
      <c r="FK2704" s="152"/>
      <c r="FL2704" s="152"/>
      <c r="FM2704" s="152"/>
      <c r="FN2704" s="152"/>
      <c r="FO2704" s="152"/>
      <c r="FP2704" s="152"/>
      <c r="FQ2704" s="152"/>
      <c r="FR2704" s="152"/>
      <c r="FS2704" s="152"/>
      <c r="FT2704" s="152"/>
      <c r="FU2704" s="152"/>
      <c r="FV2704" s="152"/>
      <c r="FW2704" s="152"/>
      <c r="FX2704" s="152"/>
      <c r="FY2704" s="152"/>
      <c r="FZ2704" s="152"/>
      <c r="GA2704" s="152"/>
      <c r="GB2704" s="152"/>
      <c r="GC2704" s="152"/>
      <c r="GD2704" s="152"/>
      <c r="GE2704" s="152"/>
      <c r="GF2704" s="152"/>
      <c r="GG2704" s="152"/>
      <c r="GH2704" s="152"/>
      <c r="GI2704" s="152"/>
      <c r="GJ2704" s="152"/>
      <c r="GK2704" s="152"/>
      <c r="GL2704" s="152"/>
      <c r="GM2704" s="152"/>
      <c r="GN2704" s="152"/>
      <c r="GO2704" s="152"/>
      <c r="GP2704" s="152"/>
      <c r="GQ2704" s="152"/>
      <c r="GR2704" s="152"/>
      <c r="GS2704" s="152"/>
      <c r="GT2704" s="152"/>
      <c r="GU2704" s="152"/>
      <c r="GV2704" s="152"/>
      <c r="GW2704" s="152"/>
      <c r="GX2704" s="152"/>
      <c r="GY2704" s="152"/>
      <c r="GZ2704" s="152"/>
      <c r="HA2704" s="152"/>
      <c r="HB2704" s="152"/>
      <c r="HC2704" s="152"/>
      <c r="HD2704" s="152"/>
      <c r="HE2704" s="152"/>
      <c r="HF2704" s="152"/>
    </row>
    <row r="2705" spans="1:214" s="187" customFormat="1" x14ac:dyDescent="0.35">
      <c r="A2705" s="259">
        <f>A2701+1</f>
        <v>2</v>
      </c>
      <c r="B2705" s="259">
        <v>5861</v>
      </c>
      <c r="C2705" s="262" t="s">
        <v>492</v>
      </c>
      <c r="D2705" s="256">
        <v>2357.8000000000002</v>
      </c>
      <c r="E2705" s="259" t="s">
        <v>74</v>
      </c>
      <c r="F2705" s="259">
        <v>4</v>
      </c>
      <c r="G2705" s="259" t="s">
        <v>71</v>
      </c>
      <c r="H2705" s="151" t="s">
        <v>72</v>
      </c>
      <c r="I2705" s="149">
        <f>I2706+I2707</f>
        <v>7639979.3399999999</v>
      </c>
      <c r="J2705" s="149">
        <f>J2706+J2707</f>
        <v>3240.3</v>
      </c>
      <c r="K2705" s="149">
        <f>K2706+K2707</f>
        <v>4728</v>
      </c>
    </row>
    <row r="2706" spans="1:214" s="187" customFormat="1" x14ac:dyDescent="0.35">
      <c r="A2706" s="260"/>
      <c r="B2706" s="260"/>
      <c r="C2706" s="263"/>
      <c r="D2706" s="257"/>
      <c r="E2706" s="260"/>
      <c r="F2706" s="260"/>
      <c r="G2706" s="260"/>
      <c r="H2706" s="151" t="s">
        <v>635</v>
      </c>
      <c r="I2706" s="149">
        <f>D2705*K2706*0.7</f>
        <v>7639979.3399999999</v>
      </c>
      <c r="J2706" s="149">
        <f>I2706/D2705</f>
        <v>3240.3</v>
      </c>
      <c r="K2706" s="149">
        <v>4629</v>
      </c>
    </row>
    <row r="2707" spans="1:214" s="187" customFormat="1" x14ac:dyDescent="0.35">
      <c r="A2707" s="261"/>
      <c r="B2707" s="261"/>
      <c r="C2707" s="264"/>
      <c r="D2707" s="258"/>
      <c r="E2707" s="261"/>
      <c r="F2707" s="261"/>
      <c r="G2707" s="261"/>
      <c r="H2707" s="151" t="s">
        <v>75</v>
      </c>
      <c r="I2707" s="149">
        <v>0</v>
      </c>
      <c r="J2707" s="149">
        <v>0</v>
      </c>
      <c r="K2707" s="149">
        <v>99</v>
      </c>
    </row>
    <row r="2708" spans="1:214" s="187" customFormat="1" x14ac:dyDescent="0.35">
      <c r="A2708" s="259">
        <f>A2705+1</f>
        <v>3</v>
      </c>
      <c r="B2708" s="259">
        <v>5865</v>
      </c>
      <c r="C2708" s="262" t="s">
        <v>494</v>
      </c>
      <c r="D2708" s="256">
        <v>2034.2</v>
      </c>
      <c r="E2708" s="259" t="s">
        <v>74</v>
      </c>
      <c r="F2708" s="259">
        <v>4</v>
      </c>
      <c r="G2708" s="259" t="s">
        <v>71</v>
      </c>
      <c r="H2708" s="151" t="s">
        <v>72</v>
      </c>
      <c r="I2708" s="149">
        <f>I2709+I2710</f>
        <v>6591418.2599999998</v>
      </c>
      <c r="J2708" s="149">
        <f>J2709+J2710</f>
        <v>3240.3</v>
      </c>
      <c r="K2708" s="149">
        <f>K2709+K2710</f>
        <v>4728</v>
      </c>
    </row>
    <row r="2709" spans="1:214" x14ac:dyDescent="0.35">
      <c r="A2709" s="260"/>
      <c r="B2709" s="260"/>
      <c r="C2709" s="263"/>
      <c r="D2709" s="257"/>
      <c r="E2709" s="260"/>
      <c r="F2709" s="260"/>
      <c r="G2709" s="260"/>
      <c r="H2709" s="151" t="s">
        <v>635</v>
      </c>
      <c r="I2709" s="149">
        <f>D2708*K2709*0.7</f>
        <v>6591418.2599999998</v>
      </c>
      <c r="J2709" s="149">
        <f>I2709/D2708</f>
        <v>3240.3</v>
      </c>
      <c r="K2709" s="149">
        <v>4629</v>
      </c>
      <c r="L2709" s="152"/>
      <c r="M2709" s="152"/>
      <c r="N2709" s="152"/>
      <c r="O2709" s="152"/>
      <c r="P2709" s="152"/>
      <c r="Q2709" s="152"/>
      <c r="R2709" s="152"/>
      <c r="S2709" s="152"/>
      <c r="T2709" s="152"/>
      <c r="U2709" s="152"/>
      <c r="V2709" s="152"/>
      <c r="W2709" s="152"/>
      <c r="X2709" s="152"/>
      <c r="Y2709" s="152"/>
      <c r="Z2709" s="152"/>
      <c r="AA2709" s="152"/>
      <c r="AB2709" s="152"/>
      <c r="AC2709" s="152"/>
      <c r="AD2709" s="152"/>
      <c r="AE2709" s="152"/>
      <c r="AF2709" s="152"/>
      <c r="AG2709" s="152"/>
      <c r="AH2709" s="152"/>
      <c r="AI2709" s="152"/>
      <c r="AJ2709" s="152"/>
      <c r="AK2709" s="152"/>
      <c r="AL2709" s="152"/>
      <c r="AM2709" s="152"/>
      <c r="AN2709" s="152"/>
      <c r="AO2709" s="152"/>
      <c r="AP2709" s="152"/>
      <c r="AQ2709" s="152"/>
      <c r="AR2709" s="152"/>
      <c r="AS2709" s="152"/>
      <c r="AT2709" s="152"/>
      <c r="AU2709" s="152"/>
      <c r="AV2709" s="152"/>
      <c r="AW2709" s="152"/>
      <c r="AX2709" s="152"/>
      <c r="AY2709" s="152"/>
      <c r="AZ2709" s="152"/>
      <c r="BA2709" s="152"/>
      <c r="BB2709" s="152"/>
      <c r="BC2709" s="152"/>
      <c r="BD2709" s="152"/>
      <c r="BE2709" s="152"/>
      <c r="BF2709" s="152"/>
      <c r="BG2709" s="152"/>
      <c r="BH2709" s="152"/>
      <c r="BI2709" s="152"/>
      <c r="BJ2709" s="152"/>
      <c r="BK2709" s="152"/>
      <c r="BL2709" s="152"/>
      <c r="BM2709" s="152"/>
      <c r="BN2709" s="152"/>
      <c r="BO2709" s="152"/>
      <c r="BP2709" s="152"/>
      <c r="BQ2709" s="152"/>
      <c r="BR2709" s="152"/>
      <c r="BS2709" s="152"/>
      <c r="BT2709" s="152"/>
      <c r="BU2709" s="152"/>
      <c r="BV2709" s="152"/>
      <c r="BW2709" s="152"/>
      <c r="BX2709" s="152"/>
      <c r="BY2709" s="152"/>
      <c r="BZ2709" s="152"/>
      <c r="CA2709" s="152"/>
      <c r="CB2709" s="152"/>
      <c r="CC2709" s="152"/>
      <c r="CD2709" s="152"/>
      <c r="CE2709" s="152"/>
      <c r="CF2709" s="152"/>
      <c r="CG2709" s="152"/>
      <c r="CH2709" s="152"/>
      <c r="CI2709" s="152"/>
      <c r="CJ2709" s="152"/>
      <c r="CK2709" s="152"/>
      <c r="CL2709" s="152"/>
      <c r="CM2709" s="152"/>
      <c r="CN2709" s="152"/>
      <c r="CO2709" s="152"/>
      <c r="CP2709" s="152"/>
      <c r="CQ2709" s="152"/>
      <c r="CR2709" s="152"/>
      <c r="CS2709" s="152"/>
      <c r="CT2709" s="152"/>
      <c r="CU2709" s="152"/>
      <c r="CV2709" s="152"/>
      <c r="CW2709" s="152"/>
      <c r="CX2709" s="152"/>
      <c r="CY2709" s="152"/>
      <c r="CZ2709" s="152"/>
      <c r="DA2709" s="152"/>
      <c r="DB2709" s="152"/>
      <c r="DC2709" s="152"/>
      <c r="DD2709" s="152"/>
      <c r="DE2709" s="152"/>
      <c r="DF2709" s="152"/>
      <c r="DG2709" s="152"/>
      <c r="DH2709" s="152"/>
      <c r="DI2709" s="152"/>
      <c r="DJ2709" s="152"/>
      <c r="DK2709" s="152"/>
      <c r="DL2709" s="152"/>
      <c r="DM2709" s="152"/>
      <c r="DN2709" s="152"/>
      <c r="DO2709" s="152"/>
      <c r="DP2709" s="152"/>
      <c r="DQ2709" s="152"/>
      <c r="DR2709" s="152"/>
      <c r="DS2709" s="152"/>
      <c r="DT2709" s="152"/>
      <c r="DU2709" s="152"/>
      <c r="DV2709" s="152"/>
      <c r="DW2709" s="152"/>
      <c r="DX2709" s="152"/>
      <c r="DY2709" s="152"/>
      <c r="DZ2709" s="152"/>
      <c r="EA2709" s="152"/>
      <c r="EB2709" s="152"/>
      <c r="EC2709" s="152"/>
      <c r="ED2709" s="152"/>
      <c r="EE2709" s="152"/>
      <c r="EF2709" s="152"/>
      <c r="EG2709" s="152"/>
      <c r="EH2709" s="152"/>
      <c r="EI2709" s="152"/>
      <c r="EJ2709" s="152"/>
      <c r="EK2709" s="152"/>
      <c r="EL2709" s="152"/>
      <c r="EM2709" s="152"/>
      <c r="EN2709" s="152"/>
      <c r="EO2709" s="152"/>
      <c r="EP2709" s="152"/>
      <c r="EQ2709" s="152"/>
      <c r="ER2709" s="152"/>
      <c r="ES2709" s="152"/>
      <c r="ET2709" s="152"/>
      <c r="EU2709" s="152"/>
      <c r="EV2709" s="152"/>
      <c r="EW2709" s="152"/>
      <c r="EX2709" s="152"/>
      <c r="EY2709" s="152"/>
      <c r="EZ2709" s="152"/>
      <c r="FA2709" s="152"/>
      <c r="FB2709" s="152"/>
      <c r="FC2709" s="152"/>
      <c r="FD2709" s="152"/>
      <c r="FE2709" s="152"/>
      <c r="FF2709" s="152"/>
      <c r="FG2709" s="152"/>
      <c r="FH2709" s="152"/>
      <c r="FI2709" s="152"/>
      <c r="FJ2709" s="152"/>
      <c r="FK2709" s="152"/>
      <c r="FL2709" s="152"/>
      <c r="FM2709" s="152"/>
      <c r="FN2709" s="152"/>
      <c r="FO2709" s="152"/>
      <c r="FP2709" s="152"/>
      <c r="FQ2709" s="152"/>
      <c r="FR2709" s="152"/>
      <c r="FS2709" s="152"/>
      <c r="FT2709" s="152"/>
      <c r="FU2709" s="152"/>
      <c r="FV2709" s="152"/>
      <c r="FW2709" s="152"/>
      <c r="FX2709" s="152"/>
      <c r="FY2709" s="152"/>
      <c r="FZ2709" s="152"/>
      <c r="GA2709" s="152"/>
      <c r="GB2709" s="152"/>
      <c r="GC2709" s="152"/>
      <c r="GD2709" s="152"/>
      <c r="GE2709" s="152"/>
      <c r="GF2709" s="152"/>
      <c r="GG2709" s="152"/>
      <c r="GH2709" s="152"/>
      <c r="GI2709" s="152"/>
      <c r="GJ2709" s="152"/>
      <c r="GK2709" s="152"/>
      <c r="GL2709" s="152"/>
      <c r="GM2709" s="152"/>
      <c r="GN2709" s="152"/>
      <c r="GO2709" s="152"/>
      <c r="GP2709" s="152"/>
      <c r="GQ2709" s="152"/>
      <c r="GR2709" s="152"/>
      <c r="GS2709" s="152"/>
      <c r="GT2709" s="152"/>
      <c r="GU2709" s="152"/>
      <c r="GV2709" s="152"/>
      <c r="GW2709" s="152"/>
      <c r="GX2709" s="152"/>
      <c r="GY2709" s="152"/>
      <c r="GZ2709" s="152"/>
      <c r="HA2709" s="152"/>
      <c r="HB2709" s="152"/>
      <c r="HC2709" s="152"/>
      <c r="HD2709" s="152"/>
      <c r="HE2709" s="152"/>
      <c r="HF2709" s="152"/>
    </row>
    <row r="2710" spans="1:214" x14ac:dyDescent="0.35">
      <c r="A2710" s="261"/>
      <c r="B2710" s="261"/>
      <c r="C2710" s="264"/>
      <c r="D2710" s="258"/>
      <c r="E2710" s="261"/>
      <c r="F2710" s="261"/>
      <c r="G2710" s="261"/>
      <c r="H2710" s="151" t="s">
        <v>75</v>
      </c>
      <c r="I2710" s="149">
        <v>0</v>
      </c>
      <c r="J2710" s="149">
        <v>0</v>
      </c>
      <c r="K2710" s="149">
        <v>99</v>
      </c>
      <c r="L2710" s="152"/>
      <c r="M2710" s="152"/>
      <c r="N2710" s="152"/>
      <c r="O2710" s="152"/>
      <c r="P2710" s="152"/>
      <c r="Q2710" s="152"/>
      <c r="R2710" s="152"/>
      <c r="S2710" s="152"/>
      <c r="T2710" s="152"/>
      <c r="U2710" s="152"/>
      <c r="V2710" s="152"/>
      <c r="W2710" s="152"/>
      <c r="X2710" s="152"/>
      <c r="Y2710" s="152"/>
      <c r="Z2710" s="152"/>
      <c r="AA2710" s="152"/>
      <c r="AB2710" s="152"/>
      <c r="AC2710" s="152"/>
      <c r="AD2710" s="152"/>
      <c r="AE2710" s="152"/>
      <c r="AF2710" s="152"/>
      <c r="AG2710" s="152"/>
      <c r="AH2710" s="152"/>
      <c r="AI2710" s="152"/>
      <c r="AJ2710" s="152"/>
      <c r="AK2710" s="152"/>
      <c r="AL2710" s="152"/>
      <c r="AM2710" s="152"/>
      <c r="AN2710" s="152"/>
      <c r="AO2710" s="152"/>
      <c r="AP2710" s="152"/>
      <c r="AQ2710" s="152"/>
      <c r="AR2710" s="152"/>
      <c r="AS2710" s="152"/>
      <c r="AT2710" s="152"/>
      <c r="AU2710" s="152"/>
      <c r="AV2710" s="152"/>
      <c r="AW2710" s="152"/>
      <c r="AX2710" s="152"/>
      <c r="AY2710" s="152"/>
      <c r="AZ2710" s="152"/>
      <c r="BA2710" s="152"/>
      <c r="BB2710" s="152"/>
      <c r="BC2710" s="152"/>
      <c r="BD2710" s="152"/>
      <c r="BE2710" s="152"/>
      <c r="BF2710" s="152"/>
      <c r="BG2710" s="152"/>
      <c r="BH2710" s="152"/>
      <c r="BI2710" s="152"/>
      <c r="BJ2710" s="152"/>
      <c r="BK2710" s="152"/>
      <c r="BL2710" s="152"/>
      <c r="BM2710" s="152"/>
      <c r="BN2710" s="152"/>
      <c r="BO2710" s="152"/>
      <c r="BP2710" s="152"/>
      <c r="BQ2710" s="152"/>
      <c r="BR2710" s="152"/>
      <c r="BS2710" s="152"/>
      <c r="BT2710" s="152"/>
      <c r="BU2710" s="152"/>
      <c r="BV2710" s="152"/>
      <c r="BW2710" s="152"/>
      <c r="BX2710" s="152"/>
      <c r="BY2710" s="152"/>
      <c r="BZ2710" s="152"/>
      <c r="CA2710" s="152"/>
      <c r="CB2710" s="152"/>
      <c r="CC2710" s="152"/>
      <c r="CD2710" s="152"/>
      <c r="CE2710" s="152"/>
      <c r="CF2710" s="152"/>
      <c r="CG2710" s="152"/>
      <c r="CH2710" s="152"/>
      <c r="CI2710" s="152"/>
      <c r="CJ2710" s="152"/>
      <c r="CK2710" s="152"/>
      <c r="CL2710" s="152"/>
      <c r="CM2710" s="152"/>
      <c r="CN2710" s="152"/>
      <c r="CO2710" s="152"/>
      <c r="CP2710" s="152"/>
      <c r="CQ2710" s="152"/>
      <c r="CR2710" s="152"/>
      <c r="CS2710" s="152"/>
      <c r="CT2710" s="152"/>
      <c r="CU2710" s="152"/>
      <c r="CV2710" s="152"/>
      <c r="CW2710" s="152"/>
      <c r="CX2710" s="152"/>
      <c r="CY2710" s="152"/>
      <c r="CZ2710" s="152"/>
      <c r="DA2710" s="152"/>
      <c r="DB2710" s="152"/>
      <c r="DC2710" s="152"/>
      <c r="DD2710" s="152"/>
      <c r="DE2710" s="152"/>
      <c r="DF2710" s="152"/>
      <c r="DG2710" s="152"/>
      <c r="DH2710" s="152"/>
      <c r="DI2710" s="152"/>
      <c r="DJ2710" s="152"/>
      <c r="DK2710" s="152"/>
      <c r="DL2710" s="152"/>
      <c r="DM2710" s="152"/>
      <c r="DN2710" s="152"/>
      <c r="DO2710" s="152"/>
      <c r="DP2710" s="152"/>
      <c r="DQ2710" s="152"/>
      <c r="DR2710" s="152"/>
      <c r="DS2710" s="152"/>
      <c r="DT2710" s="152"/>
      <c r="DU2710" s="152"/>
      <c r="DV2710" s="152"/>
      <c r="DW2710" s="152"/>
      <c r="DX2710" s="152"/>
      <c r="DY2710" s="152"/>
      <c r="DZ2710" s="152"/>
      <c r="EA2710" s="152"/>
      <c r="EB2710" s="152"/>
      <c r="EC2710" s="152"/>
      <c r="ED2710" s="152"/>
      <c r="EE2710" s="152"/>
      <c r="EF2710" s="152"/>
      <c r="EG2710" s="152"/>
      <c r="EH2710" s="152"/>
      <c r="EI2710" s="152"/>
      <c r="EJ2710" s="152"/>
      <c r="EK2710" s="152"/>
      <c r="EL2710" s="152"/>
      <c r="EM2710" s="152"/>
      <c r="EN2710" s="152"/>
      <c r="EO2710" s="152"/>
      <c r="EP2710" s="152"/>
      <c r="EQ2710" s="152"/>
      <c r="ER2710" s="152"/>
      <c r="ES2710" s="152"/>
      <c r="ET2710" s="152"/>
      <c r="EU2710" s="152"/>
      <c r="EV2710" s="152"/>
      <c r="EW2710" s="152"/>
      <c r="EX2710" s="152"/>
      <c r="EY2710" s="152"/>
      <c r="EZ2710" s="152"/>
      <c r="FA2710" s="152"/>
      <c r="FB2710" s="152"/>
      <c r="FC2710" s="152"/>
      <c r="FD2710" s="152"/>
      <c r="FE2710" s="152"/>
      <c r="FF2710" s="152"/>
      <c r="FG2710" s="152"/>
      <c r="FH2710" s="152"/>
      <c r="FI2710" s="152"/>
      <c r="FJ2710" s="152"/>
      <c r="FK2710" s="152"/>
      <c r="FL2710" s="152"/>
      <c r="FM2710" s="152"/>
      <c r="FN2710" s="152"/>
      <c r="FO2710" s="152"/>
      <c r="FP2710" s="152"/>
      <c r="FQ2710" s="152"/>
      <c r="FR2710" s="152"/>
      <c r="FS2710" s="152"/>
      <c r="FT2710" s="152"/>
      <c r="FU2710" s="152"/>
      <c r="FV2710" s="152"/>
      <c r="FW2710" s="152"/>
      <c r="FX2710" s="152"/>
      <c r="FY2710" s="152"/>
      <c r="FZ2710" s="152"/>
      <c r="GA2710" s="152"/>
      <c r="GB2710" s="152"/>
      <c r="GC2710" s="152"/>
      <c r="GD2710" s="152"/>
      <c r="GE2710" s="152"/>
      <c r="GF2710" s="152"/>
      <c r="GG2710" s="152"/>
      <c r="GH2710" s="152"/>
      <c r="GI2710" s="152"/>
      <c r="GJ2710" s="152"/>
      <c r="GK2710" s="152"/>
      <c r="GL2710" s="152"/>
      <c r="GM2710" s="152"/>
      <c r="GN2710" s="152"/>
      <c r="GO2710" s="152"/>
      <c r="GP2710" s="152"/>
      <c r="GQ2710" s="152"/>
      <c r="GR2710" s="152"/>
      <c r="GS2710" s="152"/>
      <c r="GT2710" s="152"/>
      <c r="GU2710" s="152"/>
      <c r="GV2710" s="152"/>
      <c r="GW2710" s="152"/>
      <c r="GX2710" s="152"/>
      <c r="GY2710" s="152"/>
      <c r="GZ2710" s="152"/>
      <c r="HA2710" s="152"/>
      <c r="HB2710" s="152"/>
      <c r="HC2710" s="152"/>
      <c r="HD2710" s="152"/>
      <c r="HE2710" s="152"/>
      <c r="HF2710" s="152"/>
    </row>
    <row r="2711" spans="1:214" x14ac:dyDescent="0.35">
      <c r="A2711" s="259">
        <f>A2708+1</f>
        <v>4</v>
      </c>
      <c r="B2711" s="259">
        <v>5866</v>
      </c>
      <c r="C2711" s="262" t="s">
        <v>495</v>
      </c>
      <c r="D2711" s="256">
        <v>2046.3</v>
      </c>
      <c r="E2711" s="259" t="s">
        <v>74</v>
      </c>
      <c r="F2711" s="259">
        <v>4</v>
      </c>
      <c r="G2711" s="259" t="s">
        <v>71</v>
      </c>
      <c r="H2711" s="151" t="s">
        <v>72</v>
      </c>
      <c r="I2711" s="149">
        <f>I2712+I2713</f>
        <v>9472322.6999999993</v>
      </c>
      <c r="J2711" s="149">
        <f>J2712+J2713</f>
        <v>4629</v>
      </c>
      <c r="K2711" s="149">
        <f>K2712+K2713</f>
        <v>4728</v>
      </c>
      <c r="L2711" s="152"/>
      <c r="M2711" s="152"/>
      <c r="N2711" s="152"/>
      <c r="O2711" s="152"/>
      <c r="P2711" s="152"/>
      <c r="Q2711" s="152"/>
      <c r="R2711" s="152"/>
      <c r="S2711" s="152"/>
      <c r="T2711" s="152"/>
      <c r="U2711" s="152"/>
      <c r="V2711" s="152"/>
      <c r="W2711" s="152"/>
      <c r="X2711" s="152"/>
      <c r="Y2711" s="152"/>
      <c r="Z2711" s="152"/>
      <c r="AA2711" s="152"/>
      <c r="AB2711" s="152"/>
      <c r="AC2711" s="152"/>
      <c r="AD2711" s="152"/>
      <c r="AE2711" s="152"/>
      <c r="AF2711" s="152"/>
      <c r="AG2711" s="152"/>
      <c r="AH2711" s="152"/>
      <c r="AI2711" s="152"/>
      <c r="AJ2711" s="152"/>
      <c r="AK2711" s="152"/>
      <c r="AL2711" s="152"/>
      <c r="AM2711" s="152"/>
      <c r="AN2711" s="152"/>
      <c r="AO2711" s="152"/>
      <c r="AP2711" s="152"/>
      <c r="AQ2711" s="152"/>
      <c r="AR2711" s="152"/>
      <c r="AS2711" s="152"/>
      <c r="AT2711" s="152"/>
      <c r="AU2711" s="152"/>
      <c r="AV2711" s="152"/>
      <c r="AW2711" s="152"/>
      <c r="AX2711" s="152"/>
      <c r="AY2711" s="152"/>
      <c r="AZ2711" s="152"/>
      <c r="BA2711" s="152"/>
      <c r="BB2711" s="152"/>
      <c r="BC2711" s="152"/>
      <c r="BD2711" s="152"/>
      <c r="BE2711" s="152"/>
      <c r="BF2711" s="152"/>
      <c r="BG2711" s="152"/>
      <c r="BH2711" s="152"/>
      <c r="BI2711" s="152"/>
      <c r="BJ2711" s="152"/>
      <c r="BK2711" s="152"/>
      <c r="BL2711" s="152"/>
      <c r="BM2711" s="152"/>
      <c r="BN2711" s="152"/>
      <c r="BO2711" s="152"/>
      <c r="BP2711" s="152"/>
      <c r="BQ2711" s="152"/>
      <c r="BR2711" s="152"/>
      <c r="BS2711" s="152"/>
      <c r="BT2711" s="152"/>
      <c r="BU2711" s="152"/>
      <c r="BV2711" s="152"/>
      <c r="BW2711" s="152"/>
      <c r="BX2711" s="152"/>
      <c r="BY2711" s="152"/>
      <c r="BZ2711" s="152"/>
      <c r="CA2711" s="152"/>
      <c r="CB2711" s="152"/>
      <c r="CC2711" s="152"/>
      <c r="CD2711" s="152"/>
      <c r="CE2711" s="152"/>
      <c r="CF2711" s="152"/>
      <c r="CG2711" s="152"/>
      <c r="CH2711" s="152"/>
      <c r="CI2711" s="152"/>
      <c r="CJ2711" s="152"/>
      <c r="CK2711" s="152"/>
      <c r="CL2711" s="152"/>
      <c r="CM2711" s="152"/>
      <c r="CN2711" s="152"/>
      <c r="CO2711" s="152"/>
      <c r="CP2711" s="152"/>
      <c r="CQ2711" s="152"/>
      <c r="CR2711" s="152"/>
      <c r="CS2711" s="152"/>
      <c r="CT2711" s="152"/>
      <c r="CU2711" s="152"/>
      <c r="CV2711" s="152"/>
      <c r="CW2711" s="152"/>
      <c r="CX2711" s="152"/>
      <c r="CY2711" s="152"/>
      <c r="CZ2711" s="152"/>
      <c r="DA2711" s="152"/>
      <c r="DB2711" s="152"/>
      <c r="DC2711" s="152"/>
      <c r="DD2711" s="152"/>
      <c r="DE2711" s="152"/>
      <c r="DF2711" s="152"/>
      <c r="DG2711" s="152"/>
      <c r="DH2711" s="152"/>
      <c r="DI2711" s="152"/>
      <c r="DJ2711" s="152"/>
      <c r="DK2711" s="152"/>
      <c r="DL2711" s="152"/>
      <c r="DM2711" s="152"/>
      <c r="DN2711" s="152"/>
      <c r="DO2711" s="152"/>
      <c r="DP2711" s="152"/>
      <c r="DQ2711" s="152"/>
      <c r="DR2711" s="152"/>
      <c r="DS2711" s="152"/>
      <c r="DT2711" s="152"/>
      <c r="DU2711" s="152"/>
      <c r="DV2711" s="152"/>
      <c r="DW2711" s="152"/>
      <c r="DX2711" s="152"/>
      <c r="DY2711" s="152"/>
      <c r="DZ2711" s="152"/>
      <c r="EA2711" s="152"/>
      <c r="EB2711" s="152"/>
      <c r="EC2711" s="152"/>
      <c r="ED2711" s="152"/>
      <c r="EE2711" s="152"/>
      <c r="EF2711" s="152"/>
      <c r="EG2711" s="152"/>
      <c r="EH2711" s="152"/>
      <c r="EI2711" s="152"/>
      <c r="EJ2711" s="152"/>
      <c r="EK2711" s="152"/>
      <c r="EL2711" s="152"/>
      <c r="EM2711" s="152"/>
      <c r="EN2711" s="152"/>
      <c r="EO2711" s="152"/>
      <c r="EP2711" s="152"/>
      <c r="EQ2711" s="152"/>
      <c r="ER2711" s="152"/>
      <c r="ES2711" s="152"/>
      <c r="ET2711" s="152"/>
      <c r="EU2711" s="152"/>
      <c r="EV2711" s="152"/>
      <c r="EW2711" s="152"/>
      <c r="EX2711" s="152"/>
      <c r="EY2711" s="152"/>
      <c r="EZ2711" s="152"/>
      <c r="FA2711" s="152"/>
      <c r="FB2711" s="152"/>
      <c r="FC2711" s="152"/>
      <c r="FD2711" s="152"/>
      <c r="FE2711" s="152"/>
      <c r="FF2711" s="152"/>
      <c r="FG2711" s="152"/>
      <c r="FH2711" s="152"/>
      <c r="FI2711" s="152"/>
      <c r="FJ2711" s="152"/>
      <c r="FK2711" s="152"/>
      <c r="FL2711" s="152"/>
      <c r="FM2711" s="152"/>
      <c r="FN2711" s="152"/>
      <c r="FO2711" s="152"/>
      <c r="FP2711" s="152"/>
      <c r="FQ2711" s="152"/>
      <c r="FR2711" s="152"/>
      <c r="FS2711" s="152"/>
      <c r="FT2711" s="152"/>
      <c r="FU2711" s="152"/>
      <c r="FV2711" s="152"/>
      <c r="FW2711" s="152"/>
      <c r="FX2711" s="152"/>
      <c r="FY2711" s="152"/>
      <c r="FZ2711" s="152"/>
      <c r="GA2711" s="152"/>
      <c r="GB2711" s="152"/>
      <c r="GC2711" s="152"/>
      <c r="GD2711" s="152"/>
      <c r="GE2711" s="152"/>
      <c r="GF2711" s="152"/>
      <c r="GG2711" s="152"/>
      <c r="GH2711" s="152"/>
      <c r="GI2711" s="152"/>
      <c r="GJ2711" s="152"/>
      <c r="GK2711" s="152"/>
      <c r="GL2711" s="152"/>
      <c r="GM2711" s="152"/>
      <c r="GN2711" s="152"/>
      <c r="GO2711" s="152"/>
      <c r="GP2711" s="152"/>
      <c r="GQ2711" s="152"/>
      <c r="GR2711" s="152"/>
      <c r="GS2711" s="152"/>
      <c r="GT2711" s="152"/>
      <c r="GU2711" s="152"/>
      <c r="GV2711" s="152"/>
      <c r="GW2711" s="152"/>
      <c r="GX2711" s="152"/>
      <c r="GY2711" s="152"/>
      <c r="GZ2711" s="152"/>
      <c r="HA2711" s="152"/>
      <c r="HB2711" s="152"/>
      <c r="HC2711" s="152"/>
      <c r="HD2711" s="152"/>
      <c r="HE2711" s="152"/>
      <c r="HF2711" s="152"/>
    </row>
    <row r="2712" spans="1:214" x14ac:dyDescent="0.35">
      <c r="A2712" s="260"/>
      <c r="B2712" s="260"/>
      <c r="C2712" s="263"/>
      <c r="D2712" s="257"/>
      <c r="E2712" s="260"/>
      <c r="F2712" s="260"/>
      <c r="G2712" s="260"/>
      <c r="H2712" s="151" t="s">
        <v>635</v>
      </c>
      <c r="I2712" s="149">
        <f>D2711*K2712</f>
        <v>9472322.6999999993</v>
      </c>
      <c r="J2712" s="149">
        <f>I2712/D2711</f>
        <v>4629</v>
      </c>
      <c r="K2712" s="149">
        <v>4629</v>
      </c>
      <c r="L2712" s="152"/>
      <c r="M2712" s="152"/>
      <c r="N2712" s="152"/>
      <c r="O2712" s="152"/>
      <c r="P2712" s="152"/>
      <c r="Q2712" s="152"/>
      <c r="R2712" s="152"/>
      <c r="S2712" s="152"/>
      <c r="T2712" s="152"/>
      <c r="U2712" s="152"/>
      <c r="V2712" s="152"/>
      <c r="W2712" s="152"/>
      <c r="X2712" s="152"/>
      <c r="Y2712" s="152"/>
      <c r="Z2712" s="152"/>
      <c r="AA2712" s="152"/>
      <c r="AB2712" s="152"/>
      <c r="AC2712" s="152"/>
      <c r="AD2712" s="152"/>
      <c r="AE2712" s="152"/>
      <c r="AF2712" s="152"/>
      <c r="AG2712" s="152"/>
      <c r="AH2712" s="152"/>
      <c r="AI2712" s="152"/>
      <c r="AJ2712" s="152"/>
      <c r="AK2712" s="152"/>
      <c r="AL2712" s="152"/>
      <c r="AM2712" s="152"/>
      <c r="AN2712" s="152"/>
      <c r="AO2712" s="152"/>
      <c r="AP2712" s="152"/>
      <c r="AQ2712" s="152"/>
      <c r="AR2712" s="152"/>
      <c r="AS2712" s="152"/>
      <c r="AT2712" s="152"/>
      <c r="AU2712" s="152"/>
      <c r="AV2712" s="152"/>
      <c r="AW2712" s="152"/>
      <c r="AX2712" s="152"/>
      <c r="AY2712" s="152"/>
      <c r="AZ2712" s="152"/>
      <c r="BA2712" s="152"/>
      <c r="BB2712" s="152"/>
      <c r="BC2712" s="152"/>
      <c r="BD2712" s="152"/>
      <c r="BE2712" s="152"/>
      <c r="BF2712" s="152"/>
      <c r="BG2712" s="152"/>
      <c r="BH2712" s="152"/>
      <c r="BI2712" s="152"/>
      <c r="BJ2712" s="152"/>
      <c r="BK2712" s="152"/>
      <c r="BL2712" s="152"/>
      <c r="BM2712" s="152"/>
      <c r="BN2712" s="152"/>
      <c r="BO2712" s="152"/>
      <c r="BP2712" s="152"/>
      <c r="BQ2712" s="152"/>
      <c r="BR2712" s="152"/>
      <c r="BS2712" s="152"/>
      <c r="BT2712" s="152"/>
      <c r="BU2712" s="152"/>
      <c r="BV2712" s="152"/>
      <c r="BW2712" s="152"/>
      <c r="BX2712" s="152"/>
      <c r="BY2712" s="152"/>
      <c r="BZ2712" s="152"/>
      <c r="CA2712" s="152"/>
      <c r="CB2712" s="152"/>
      <c r="CC2712" s="152"/>
      <c r="CD2712" s="152"/>
      <c r="CE2712" s="152"/>
      <c r="CF2712" s="152"/>
      <c r="CG2712" s="152"/>
      <c r="CH2712" s="152"/>
      <c r="CI2712" s="152"/>
      <c r="CJ2712" s="152"/>
      <c r="CK2712" s="152"/>
      <c r="CL2712" s="152"/>
      <c r="CM2712" s="152"/>
      <c r="CN2712" s="152"/>
      <c r="CO2712" s="152"/>
      <c r="CP2712" s="152"/>
      <c r="CQ2712" s="152"/>
      <c r="CR2712" s="152"/>
      <c r="CS2712" s="152"/>
      <c r="CT2712" s="152"/>
      <c r="CU2712" s="152"/>
      <c r="CV2712" s="152"/>
      <c r="CW2712" s="152"/>
      <c r="CX2712" s="152"/>
      <c r="CY2712" s="152"/>
      <c r="CZ2712" s="152"/>
      <c r="DA2712" s="152"/>
      <c r="DB2712" s="152"/>
      <c r="DC2712" s="152"/>
      <c r="DD2712" s="152"/>
      <c r="DE2712" s="152"/>
      <c r="DF2712" s="152"/>
      <c r="DG2712" s="152"/>
      <c r="DH2712" s="152"/>
      <c r="DI2712" s="152"/>
      <c r="DJ2712" s="152"/>
      <c r="DK2712" s="152"/>
      <c r="DL2712" s="152"/>
      <c r="DM2712" s="152"/>
      <c r="DN2712" s="152"/>
      <c r="DO2712" s="152"/>
      <c r="DP2712" s="152"/>
      <c r="DQ2712" s="152"/>
      <c r="DR2712" s="152"/>
      <c r="DS2712" s="152"/>
      <c r="DT2712" s="152"/>
      <c r="DU2712" s="152"/>
      <c r="DV2712" s="152"/>
      <c r="DW2712" s="152"/>
      <c r="DX2712" s="152"/>
      <c r="DY2712" s="152"/>
      <c r="DZ2712" s="152"/>
      <c r="EA2712" s="152"/>
      <c r="EB2712" s="152"/>
      <c r="EC2712" s="152"/>
      <c r="ED2712" s="152"/>
      <c r="EE2712" s="152"/>
      <c r="EF2712" s="152"/>
      <c r="EG2712" s="152"/>
      <c r="EH2712" s="152"/>
      <c r="EI2712" s="152"/>
      <c r="EJ2712" s="152"/>
      <c r="EK2712" s="152"/>
      <c r="EL2712" s="152"/>
      <c r="EM2712" s="152"/>
      <c r="EN2712" s="152"/>
      <c r="EO2712" s="152"/>
      <c r="EP2712" s="152"/>
      <c r="EQ2712" s="152"/>
      <c r="ER2712" s="152"/>
      <c r="ES2712" s="152"/>
      <c r="ET2712" s="152"/>
      <c r="EU2712" s="152"/>
      <c r="EV2712" s="152"/>
      <c r="EW2712" s="152"/>
      <c r="EX2712" s="152"/>
      <c r="EY2712" s="152"/>
      <c r="EZ2712" s="152"/>
      <c r="FA2712" s="152"/>
      <c r="FB2712" s="152"/>
      <c r="FC2712" s="152"/>
      <c r="FD2712" s="152"/>
      <c r="FE2712" s="152"/>
      <c r="FF2712" s="152"/>
      <c r="FG2712" s="152"/>
      <c r="FH2712" s="152"/>
      <c r="FI2712" s="152"/>
      <c r="FJ2712" s="152"/>
      <c r="FK2712" s="152"/>
      <c r="FL2712" s="152"/>
      <c r="FM2712" s="152"/>
      <c r="FN2712" s="152"/>
      <c r="FO2712" s="152"/>
      <c r="FP2712" s="152"/>
      <c r="FQ2712" s="152"/>
      <c r="FR2712" s="152"/>
      <c r="FS2712" s="152"/>
      <c r="FT2712" s="152"/>
      <c r="FU2712" s="152"/>
      <c r="FV2712" s="152"/>
      <c r="FW2712" s="152"/>
      <c r="FX2712" s="152"/>
      <c r="FY2712" s="152"/>
      <c r="FZ2712" s="152"/>
      <c r="GA2712" s="152"/>
      <c r="GB2712" s="152"/>
      <c r="GC2712" s="152"/>
      <c r="GD2712" s="152"/>
      <c r="GE2712" s="152"/>
      <c r="GF2712" s="152"/>
      <c r="GG2712" s="152"/>
      <c r="GH2712" s="152"/>
      <c r="GI2712" s="152"/>
      <c r="GJ2712" s="152"/>
      <c r="GK2712" s="152"/>
      <c r="GL2712" s="152"/>
      <c r="GM2712" s="152"/>
      <c r="GN2712" s="152"/>
      <c r="GO2712" s="152"/>
      <c r="GP2712" s="152"/>
      <c r="GQ2712" s="152"/>
      <c r="GR2712" s="152"/>
      <c r="GS2712" s="152"/>
      <c r="GT2712" s="152"/>
      <c r="GU2712" s="152"/>
      <c r="GV2712" s="152"/>
      <c r="GW2712" s="152"/>
      <c r="GX2712" s="152"/>
      <c r="GY2712" s="152"/>
      <c r="GZ2712" s="152"/>
      <c r="HA2712" s="152"/>
      <c r="HB2712" s="152"/>
      <c r="HC2712" s="152"/>
      <c r="HD2712" s="152"/>
      <c r="HE2712" s="152"/>
      <c r="HF2712" s="152"/>
    </row>
    <row r="2713" spans="1:214" x14ac:dyDescent="0.35">
      <c r="A2713" s="261"/>
      <c r="B2713" s="261"/>
      <c r="C2713" s="264"/>
      <c r="D2713" s="258"/>
      <c r="E2713" s="261"/>
      <c r="F2713" s="261"/>
      <c r="G2713" s="261"/>
      <c r="H2713" s="151" t="s">
        <v>75</v>
      </c>
      <c r="I2713" s="149">
        <v>0</v>
      </c>
      <c r="J2713" s="149">
        <v>0</v>
      </c>
      <c r="K2713" s="149">
        <v>99</v>
      </c>
      <c r="L2713" s="152"/>
      <c r="M2713" s="152"/>
      <c r="N2713" s="152"/>
      <c r="O2713" s="152"/>
      <c r="P2713" s="152"/>
      <c r="Q2713" s="152"/>
      <c r="R2713" s="152"/>
      <c r="S2713" s="152"/>
      <c r="T2713" s="152"/>
      <c r="U2713" s="152"/>
      <c r="V2713" s="152"/>
      <c r="W2713" s="152"/>
      <c r="X2713" s="152"/>
      <c r="Y2713" s="152"/>
      <c r="Z2713" s="152"/>
      <c r="AA2713" s="152"/>
      <c r="AB2713" s="152"/>
      <c r="AC2713" s="152"/>
      <c r="AD2713" s="152"/>
      <c r="AE2713" s="152"/>
      <c r="AF2713" s="152"/>
      <c r="AG2713" s="152"/>
      <c r="AH2713" s="152"/>
      <c r="AI2713" s="152"/>
      <c r="AJ2713" s="152"/>
      <c r="AK2713" s="152"/>
      <c r="AL2713" s="152"/>
      <c r="AM2713" s="152"/>
      <c r="AN2713" s="152"/>
      <c r="AO2713" s="152"/>
      <c r="AP2713" s="152"/>
      <c r="AQ2713" s="152"/>
      <c r="AR2713" s="152"/>
      <c r="AS2713" s="152"/>
      <c r="AT2713" s="152"/>
      <c r="AU2713" s="152"/>
      <c r="AV2713" s="152"/>
      <c r="AW2713" s="152"/>
      <c r="AX2713" s="152"/>
      <c r="AY2713" s="152"/>
      <c r="AZ2713" s="152"/>
      <c r="BA2713" s="152"/>
      <c r="BB2713" s="152"/>
      <c r="BC2713" s="152"/>
      <c r="BD2713" s="152"/>
      <c r="BE2713" s="152"/>
      <c r="BF2713" s="152"/>
      <c r="BG2713" s="152"/>
      <c r="BH2713" s="152"/>
      <c r="BI2713" s="152"/>
      <c r="BJ2713" s="152"/>
      <c r="BK2713" s="152"/>
      <c r="BL2713" s="152"/>
      <c r="BM2713" s="152"/>
      <c r="BN2713" s="152"/>
      <c r="BO2713" s="152"/>
      <c r="BP2713" s="152"/>
      <c r="BQ2713" s="152"/>
      <c r="BR2713" s="152"/>
      <c r="BS2713" s="152"/>
      <c r="BT2713" s="152"/>
      <c r="BU2713" s="152"/>
      <c r="BV2713" s="152"/>
      <c r="BW2713" s="152"/>
      <c r="BX2713" s="152"/>
      <c r="BY2713" s="152"/>
      <c r="BZ2713" s="152"/>
      <c r="CA2713" s="152"/>
      <c r="CB2713" s="152"/>
      <c r="CC2713" s="152"/>
      <c r="CD2713" s="152"/>
      <c r="CE2713" s="152"/>
      <c r="CF2713" s="152"/>
      <c r="CG2713" s="152"/>
      <c r="CH2713" s="152"/>
      <c r="CI2713" s="152"/>
      <c r="CJ2713" s="152"/>
      <c r="CK2713" s="152"/>
      <c r="CL2713" s="152"/>
      <c r="CM2713" s="152"/>
      <c r="CN2713" s="152"/>
      <c r="CO2713" s="152"/>
      <c r="CP2713" s="152"/>
      <c r="CQ2713" s="152"/>
      <c r="CR2713" s="152"/>
      <c r="CS2713" s="152"/>
      <c r="CT2713" s="152"/>
      <c r="CU2713" s="152"/>
      <c r="CV2713" s="152"/>
      <c r="CW2713" s="152"/>
      <c r="CX2713" s="152"/>
      <c r="CY2713" s="152"/>
      <c r="CZ2713" s="152"/>
      <c r="DA2713" s="152"/>
      <c r="DB2713" s="152"/>
      <c r="DC2713" s="152"/>
      <c r="DD2713" s="152"/>
      <c r="DE2713" s="152"/>
      <c r="DF2713" s="152"/>
      <c r="DG2713" s="152"/>
      <c r="DH2713" s="152"/>
      <c r="DI2713" s="152"/>
      <c r="DJ2713" s="152"/>
      <c r="DK2713" s="152"/>
      <c r="DL2713" s="152"/>
      <c r="DM2713" s="152"/>
      <c r="DN2713" s="152"/>
      <c r="DO2713" s="152"/>
      <c r="DP2713" s="152"/>
      <c r="DQ2713" s="152"/>
      <c r="DR2713" s="152"/>
      <c r="DS2713" s="152"/>
      <c r="DT2713" s="152"/>
      <c r="DU2713" s="152"/>
      <c r="DV2713" s="152"/>
      <c r="DW2713" s="152"/>
      <c r="DX2713" s="152"/>
      <c r="DY2713" s="152"/>
      <c r="DZ2713" s="152"/>
      <c r="EA2713" s="152"/>
      <c r="EB2713" s="152"/>
      <c r="EC2713" s="152"/>
      <c r="ED2713" s="152"/>
      <c r="EE2713" s="152"/>
      <c r="EF2713" s="152"/>
      <c r="EG2713" s="152"/>
      <c r="EH2713" s="152"/>
      <c r="EI2713" s="152"/>
      <c r="EJ2713" s="152"/>
      <c r="EK2713" s="152"/>
      <c r="EL2713" s="152"/>
      <c r="EM2713" s="152"/>
      <c r="EN2713" s="152"/>
      <c r="EO2713" s="152"/>
      <c r="EP2713" s="152"/>
      <c r="EQ2713" s="152"/>
      <c r="ER2713" s="152"/>
      <c r="ES2713" s="152"/>
      <c r="ET2713" s="152"/>
      <c r="EU2713" s="152"/>
      <c r="EV2713" s="152"/>
      <c r="EW2713" s="152"/>
      <c r="EX2713" s="152"/>
      <c r="EY2713" s="152"/>
      <c r="EZ2713" s="152"/>
      <c r="FA2713" s="152"/>
      <c r="FB2713" s="152"/>
      <c r="FC2713" s="152"/>
      <c r="FD2713" s="152"/>
      <c r="FE2713" s="152"/>
      <c r="FF2713" s="152"/>
      <c r="FG2713" s="152"/>
      <c r="FH2713" s="152"/>
      <c r="FI2713" s="152"/>
      <c r="FJ2713" s="152"/>
      <c r="FK2713" s="152"/>
      <c r="FL2713" s="152"/>
      <c r="FM2713" s="152"/>
      <c r="FN2713" s="152"/>
      <c r="FO2713" s="152"/>
      <c r="FP2713" s="152"/>
      <c r="FQ2713" s="152"/>
      <c r="FR2713" s="152"/>
      <c r="FS2713" s="152"/>
      <c r="FT2713" s="152"/>
      <c r="FU2713" s="152"/>
      <c r="FV2713" s="152"/>
      <c r="FW2713" s="152"/>
      <c r="FX2713" s="152"/>
      <c r="FY2713" s="152"/>
      <c r="FZ2713" s="152"/>
      <c r="GA2713" s="152"/>
      <c r="GB2713" s="152"/>
      <c r="GC2713" s="152"/>
      <c r="GD2713" s="152"/>
      <c r="GE2713" s="152"/>
      <c r="GF2713" s="152"/>
      <c r="GG2713" s="152"/>
      <c r="GH2713" s="152"/>
      <c r="GI2713" s="152"/>
      <c r="GJ2713" s="152"/>
      <c r="GK2713" s="152"/>
      <c r="GL2713" s="152"/>
      <c r="GM2713" s="152"/>
      <c r="GN2713" s="152"/>
      <c r="GO2713" s="152"/>
      <c r="GP2713" s="152"/>
      <c r="GQ2713" s="152"/>
      <c r="GR2713" s="152"/>
      <c r="GS2713" s="152"/>
      <c r="GT2713" s="152"/>
      <c r="GU2713" s="152"/>
      <c r="GV2713" s="152"/>
      <c r="GW2713" s="152"/>
      <c r="GX2713" s="152"/>
      <c r="GY2713" s="152"/>
      <c r="GZ2713" s="152"/>
      <c r="HA2713" s="152"/>
      <c r="HB2713" s="152"/>
      <c r="HC2713" s="152"/>
      <c r="HD2713" s="152"/>
      <c r="HE2713" s="152"/>
      <c r="HF2713" s="152"/>
    </row>
    <row r="2714" spans="1:214" ht="15.5" customHeight="1" x14ac:dyDescent="0.35">
      <c r="A2714" s="259">
        <f>A2711+1</f>
        <v>5</v>
      </c>
      <c r="B2714" s="259">
        <v>5870</v>
      </c>
      <c r="C2714" s="262" t="s">
        <v>820</v>
      </c>
      <c r="D2714" s="256">
        <v>2339.1999999999998</v>
      </c>
      <c r="E2714" s="256" t="s">
        <v>74</v>
      </c>
      <c r="F2714" s="280">
        <v>4</v>
      </c>
      <c r="G2714" s="153"/>
      <c r="H2714" s="186" t="s">
        <v>672</v>
      </c>
      <c r="I2714" s="149">
        <f>I2715+I2716+I2717+I2718</f>
        <v>1427847.68</v>
      </c>
      <c r="J2714" s="149">
        <f t="shared" ref="J2714:K2714" si="5">J2715+J2716+J2717+J2718</f>
        <v>610.4</v>
      </c>
      <c r="K2714" s="149">
        <f t="shared" si="5"/>
        <v>891</v>
      </c>
      <c r="L2714" s="152"/>
      <c r="M2714" s="152"/>
      <c r="N2714" s="152"/>
      <c r="O2714" s="152"/>
      <c r="P2714" s="152"/>
      <c r="Q2714" s="152"/>
      <c r="R2714" s="152"/>
      <c r="S2714" s="152"/>
      <c r="T2714" s="152"/>
      <c r="U2714" s="152"/>
      <c r="V2714" s="152"/>
      <c r="W2714" s="152"/>
      <c r="X2714" s="152"/>
      <c r="Y2714" s="152"/>
      <c r="Z2714" s="152"/>
      <c r="AA2714" s="152"/>
      <c r="AB2714" s="152"/>
      <c r="AC2714" s="152"/>
      <c r="AD2714" s="152"/>
      <c r="AE2714" s="152"/>
      <c r="AF2714" s="152"/>
      <c r="AG2714" s="152"/>
      <c r="AH2714" s="152"/>
      <c r="AI2714" s="152"/>
      <c r="AJ2714" s="152"/>
      <c r="AK2714" s="152"/>
      <c r="AL2714" s="152"/>
      <c r="AM2714" s="152"/>
      <c r="AN2714" s="152"/>
      <c r="AO2714" s="152"/>
      <c r="AP2714" s="152"/>
      <c r="AQ2714" s="152"/>
      <c r="AR2714" s="152"/>
      <c r="AS2714" s="152"/>
      <c r="AT2714" s="152"/>
      <c r="AU2714" s="152"/>
      <c r="AV2714" s="152"/>
      <c r="AW2714" s="152"/>
      <c r="AX2714" s="152"/>
      <c r="AY2714" s="152"/>
      <c r="AZ2714" s="152"/>
      <c r="BA2714" s="152"/>
      <c r="BB2714" s="152"/>
      <c r="BC2714" s="152"/>
      <c r="BD2714" s="152"/>
      <c r="BE2714" s="152"/>
      <c r="BF2714" s="152"/>
      <c r="BG2714" s="152"/>
      <c r="BH2714" s="152"/>
      <c r="BI2714" s="152"/>
      <c r="BJ2714" s="152"/>
      <c r="BK2714" s="152"/>
      <c r="BL2714" s="152"/>
      <c r="BM2714" s="152"/>
      <c r="BN2714" s="152"/>
      <c r="BO2714" s="152"/>
      <c r="BP2714" s="152"/>
      <c r="BQ2714" s="152"/>
      <c r="BR2714" s="152"/>
      <c r="BS2714" s="152"/>
      <c r="BT2714" s="152"/>
      <c r="BU2714" s="152"/>
      <c r="BV2714" s="152"/>
      <c r="BW2714" s="152"/>
      <c r="BX2714" s="152"/>
      <c r="BY2714" s="152"/>
      <c r="BZ2714" s="152"/>
      <c r="CA2714" s="152"/>
      <c r="CB2714" s="152"/>
      <c r="CC2714" s="152"/>
      <c r="CD2714" s="152"/>
      <c r="CE2714" s="152"/>
      <c r="CF2714" s="152"/>
      <c r="CG2714" s="152"/>
      <c r="CH2714" s="152"/>
      <c r="CI2714" s="152"/>
      <c r="CJ2714" s="152"/>
      <c r="CK2714" s="152"/>
      <c r="CL2714" s="152"/>
      <c r="CM2714" s="152"/>
      <c r="CN2714" s="152"/>
      <c r="CO2714" s="152"/>
      <c r="CP2714" s="152"/>
      <c r="CQ2714" s="152"/>
      <c r="CR2714" s="152"/>
      <c r="CS2714" s="152"/>
      <c r="CT2714" s="152"/>
      <c r="CU2714" s="152"/>
      <c r="CV2714" s="152"/>
      <c r="CW2714" s="152"/>
      <c r="CX2714" s="152"/>
      <c r="CY2714" s="152"/>
      <c r="CZ2714" s="152"/>
      <c r="DA2714" s="152"/>
      <c r="DB2714" s="152"/>
      <c r="DC2714" s="152"/>
      <c r="DD2714" s="152"/>
      <c r="DE2714" s="152"/>
      <c r="DF2714" s="152"/>
      <c r="DG2714" s="152"/>
      <c r="DH2714" s="152"/>
      <c r="DI2714" s="152"/>
      <c r="DJ2714" s="152"/>
      <c r="DK2714" s="152"/>
      <c r="DL2714" s="152"/>
      <c r="DM2714" s="152"/>
      <c r="DN2714" s="152"/>
      <c r="DO2714" s="152"/>
      <c r="DP2714" s="152"/>
      <c r="DQ2714" s="152"/>
      <c r="DR2714" s="152"/>
      <c r="DS2714" s="152"/>
      <c r="DT2714" s="152"/>
      <c r="DU2714" s="152"/>
      <c r="DV2714" s="152"/>
      <c r="DW2714" s="152"/>
      <c r="DX2714" s="152"/>
      <c r="DY2714" s="152"/>
      <c r="DZ2714" s="152"/>
      <c r="EA2714" s="152"/>
      <c r="EB2714" s="152"/>
      <c r="EC2714" s="152"/>
      <c r="ED2714" s="152"/>
      <c r="EE2714" s="152"/>
      <c r="EF2714" s="152"/>
      <c r="EG2714" s="152"/>
      <c r="EH2714" s="152"/>
      <c r="EI2714" s="152"/>
      <c r="EJ2714" s="152"/>
      <c r="EK2714" s="152"/>
      <c r="EL2714" s="152"/>
      <c r="EM2714" s="152"/>
      <c r="EN2714" s="152"/>
      <c r="EO2714" s="152"/>
      <c r="EP2714" s="152"/>
      <c r="EQ2714" s="152"/>
      <c r="ER2714" s="152"/>
      <c r="ES2714" s="152"/>
      <c r="ET2714" s="152"/>
      <c r="EU2714" s="152"/>
      <c r="EV2714" s="152"/>
      <c r="EW2714" s="152"/>
      <c r="EX2714" s="152"/>
      <c r="EY2714" s="152"/>
      <c r="EZ2714" s="152"/>
      <c r="FA2714" s="152"/>
      <c r="FB2714" s="152"/>
      <c r="FC2714" s="152"/>
      <c r="FD2714" s="152"/>
      <c r="FE2714" s="152"/>
      <c r="FF2714" s="152"/>
      <c r="FG2714" s="152"/>
      <c r="FH2714" s="152"/>
      <c r="FI2714" s="152"/>
      <c r="FJ2714" s="152"/>
      <c r="FK2714" s="152"/>
      <c r="FL2714" s="152"/>
      <c r="FM2714" s="152"/>
      <c r="FN2714" s="152"/>
      <c r="FO2714" s="152"/>
      <c r="FP2714" s="152"/>
      <c r="FQ2714" s="152"/>
      <c r="FR2714" s="152"/>
      <c r="FS2714" s="152"/>
      <c r="FT2714" s="152"/>
      <c r="FU2714" s="152"/>
      <c r="FV2714" s="152"/>
      <c r="FW2714" s="152"/>
      <c r="FX2714" s="152"/>
      <c r="FY2714" s="152"/>
      <c r="FZ2714" s="152"/>
      <c r="GA2714" s="152"/>
      <c r="GB2714" s="152"/>
      <c r="GC2714" s="152"/>
      <c r="GD2714" s="152"/>
      <c r="GE2714" s="152"/>
      <c r="GF2714" s="152"/>
      <c r="GG2714" s="152"/>
      <c r="GH2714" s="152"/>
      <c r="GI2714" s="152"/>
      <c r="GJ2714" s="152"/>
      <c r="GK2714" s="152"/>
      <c r="GL2714" s="152"/>
      <c r="GM2714" s="152"/>
      <c r="GN2714" s="152"/>
      <c r="GO2714" s="152"/>
      <c r="GP2714" s="152"/>
      <c r="GQ2714" s="152"/>
      <c r="GR2714" s="152"/>
      <c r="GS2714" s="152"/>
      <c r="GT2714" s="152"/>
      <c r="GU2714" s="152"/>
      <c r="GV2714" s="152"/>
      <c r="GW2714" s="152"/>
      <c r="GX2714" s="152"/>
      <c r="GY2714" s="152"/>
      <c r="GZ2714" s="152"/>
      <c r="HA2714" s="152"/>
      <c r="HB2714" s="152"/>
      <c r="HC2714" s="152"/>
      <c r="HD2714" s="152"/>
      <c r="HE2714" s="152"/>
      <c r="HF2714" s="152"/>
    </row>
    <row r="2715" spans="1:214" x14ac:dyDescent="0.35">
      <c r="A2715" s="260"/>
      <c r="B2715" s="260"/>
      <c r="C2715" s="263"/>
      <c r="D2715" s="257"/>
      <c r="E2715" s="257"/>
      <c r="F2715" s="281"/>
      <c r="G2715" s="259" t="s">
        <v>77</v>
      </c>
      <c r="H2715" s="186" t="s">
        <v>73</v>
      </c>
      <c r="I2715" s="149">
        <f>K2715*D2714*70/100</f>
        <v>758134.72</v>
      </c>
      <c r="J2715" s="149">
        <f>I2715/D2714</f>
        <v>324.10000000000002</v>
      </c>
      <c r="K2715" s="149">
        <v>463</v>
      </c>
      <c r="L2715" s="152"/>
      <c r="M2715" s="152"/>
      <c r="N2715" s="152"/>
      <c r="O2715" s="152"/>
      <c r="P2715" s="152"/>
      <c r="Q2715" s="152"/>
      <c r="R2715" s="152"/>
      <c r="S2715" s="152"/>
      <c r="T2715" s="152"/>
      <c r="U2715" s="152"/>
      <c r="V2715" s="152"/>
      <c r="W2715" s="152"/>
      <c r="X2715" s="152"/>
      <c r="Y2715" s="152"/>
      <c r="Z2715" s="152"/>
      <c r="AA2715" s="152"/>
      <c r="AB2715" s="152"/>
      <c r="AC2715" s="152"/>
      <c r="AD2715" s="152"/>
      <c r="AE2715" s="152"/>
      <c r="AF2715" s="152"/>
      <c r="AG2715" s="152"/>
      <c r="AH2715" s="152"/>
      <c r="AI2715" s="152"/>
      <c r="AJ2715" s="152"/>
      <c r="AK2715" s="152"/>
      <c r="AL2715" s="152"/>
      <c r="AM2715" s="152"/>
      <c r="AN2715" s="152"/>
      <c r="AO2715" s="152"/>
      <c r="AP2715" s="152"/>
      <c r="AQ2715" s="152"/>
      <c r="AR2715" s="152"/>
      <c r="AS2715" s="152"/>
      <c r="AT2715" s="152"/>
      <c r="AU2715" s="152"/>
      <c r="AV2715" s="152"/>
      <c r="AW2715" s="152"/>
      <c r="AX2715" s="152"/>
      <c r="AY2715" s="152"/>
      <c r="AZ2715" s="152"/>
      <c r="BA2715" s="152"/>
      <c r="BB2715" s="152"/>
      <c r="BC2715" s="152"/>
      <c r="BD2715" s="152"/>
      <c r="BE2715" s="152"/>
      <c r="BF2715" s="152"/>
      <c r="BG2715" s="152"/>
      <c r="BH2715" s="152"/>
      <c r="BI2715" s="152"/>
      <c r="BJ2715" s="152"/>
      <c r="BK2715" s="152"/>
      <c r="BL2715" s="152"/>
      <c r="BM2715" s="152"/>
      <c r="BN2715" s="152"/>
      <c r="BO2715" s="152"/>
      <c r="BP2715" s="152"/>
      <c r="BQ2715" s="152"/>
      <c r="BR2715" s="152"/>
      <c r="BS2715" s="152"/>
      <c r="BT2715" s="152"/>
      <c r="BU2715" s="152"/>
      <c r="BV2715" s="152"/>
      <c r="BW2715" s="152"/>
      <c r="BX2715" s="152"/>
      <c r="BY2715" s="152"/>
      <c r="BZ2715" s="152"/>
      <c r="CA2715" s="152"/>
      <c r="CB2715" s="152"/>
      <c r="CC2715" s="152"/>
      <c r="CD2715" s="152"/>
      <c r="CE2715" s="152"/>
      <c r="CF2715" s="152"/>
      <c r="CG2715" s="152"/>
      <c r="CH2715" s="152"/>
      <c r="CI2715" s="152"/>
      <c r="CJ2715" s="152"/>
      <c r="CK2715" s="152"/>
      <c r="CL2715" s="152"/>
      <c r="CM2715" s="152"/>
      <c r="CN2715" s="152"/>
      <c r="CO2715" s="152"/>
      <c r="CP2715" s="152"/>
      <c r="CQ2715" s="152"/>
      <c r="CR2715" s="152"/>
      <c r="CS2715" s="152"/>
      <c r="CT2715" s="152"/>
      <c r="CU2715" s="152"/>
      <c r="CV2715" s="152"/>
      <c r="CW2715" s="152"/>
      <c r="CX2715" s="152"/>
      <c r="CY2715" s="152"/>
      <c r="CZ2715" s="152"/>
      <c r="DA2715" s="152"/>
      <c r="DB2715" s="152"/>
      <c r="DC2715" s="152"/>
      <c r="DD2715" s="152"/>
      <c r="DE2715" s="152"/>
      <c r="DF2715" s="152"/>
      <c r="DG2715" s="152"/>
      <c r="DH2715" s="152"/>
      <c r="DI2715" s="152"/>
      <c r="DJ2715" s="152"/>
      <c r="DK2715" s="152"/>
      <c r="DL2715" s="152"/>
      <c r="DM2715" s="152"/>
      <c r="DN2715" s="152"/>
      <c r="DO2715" s="152"/>
      <c r="DP2715" s="152"/>
      <c r="DQ2715" s="152"/>
      <c r="DR2715" s="152"/>
      <c r="DS2715" s="152"/>
      <c r="DT2715" s="152"/>
      <c r="DU2715" s="152"/>
      <c r="DV2715" s="152"/>
      <c r="DW2715" s="152"/>
      <c r="DX2715" s="152"/>
      <c r="DY2715" s="152"/>
      <c r="DZ2715" s="152"/>
      <c r="EA2715" s="152"/>
      <c r="EB2715" s="152"/>
      <c r="EC2715" s="152"/>
      <c r="ED2715" s="152"/>
      <c r="EE2715" s="152"/>
      <c r="EF2715" s="152"/>
      <c r="EG2715" s="152"/>
      <c r="EH2715" s="152"/>
      <c r="EI2715" s="152"/>
      <c r="EJ2715" s="152"/>
      <c r="EK2715" s="152"/>
      <c r="EL2715" s="152"/>
      <c r="EM2715" s="152"/>
      <c r="EN2715" s="152"/>
      <c r="EO2715" s="152"/>
      <c r="EP2715" s="152"/>
      <c r="EQ2715" s="152"/>
      <c r="ER2715" s="152"/>
      <c r="ES2715" s="152"/>
      <c r="ET2715" s="152"/>
      <c r="EU2715" s="152"/>
      <c r="EV2715" s="152"/>
      <c r="EW2715" s="152"/>
      <c r="EX2715" s="152"/>
      <c r="EY2715" s="152"/>
      <c r="EZ2715" s="152"/>
      <c r="FA2715" s="152"/>
      <c r="FB2715" s="152"/>
      <c r="FC2715" s="152"/>
      <c r="FD2715" s="152"/>
      <c r="FE2715" s="152"/>
      <c r="FF2715" s="152"/>
      <c r="FG2715" s="152"/>
      <c r="FH2715" s="152"/>
      <c r="FI2715" s="152"/>
      <c r="FJ2715" s="152"/>
      <c r="FK2715" s="152"/>
      <c r="FL2715" s="152"/>
      <c r="FM2715" s="152"/>
      <c r="FN2715" s="152"/>
      <c r="FO2715" s="152"/>
      <c r="FP2715" s="152"/>
      <c r="FQ2715" s="152"/>
      <c r="FR2715" s="152"/>
      <c r="FS2715" s="152"/>
      <c r="FT2715" s="152"/>
      <c r="FU2715" s="152"/>
      <c r="FV2715" s="152"/>
      <c r="FW2715" s="152"/>
      <c r="FX2715" s="152"/>
      <c r="FY2715" s="152"/>
      <c r="FZ2715" s="152"/>
      <c r="GA2715" s="152"/>
      <c r="GB2715" s="152"/>
      <c r="GC2715" s="152"/>
      <c r="GD2715" s="152"/>
      <c r="GE2715" s="152"/>
      <c r="GF2715" s="152"/>
      <c r="GG2715" s="152"/>
      <c r="GH2715" s="152"/>
      <c r="GI2715" s="152"/>
      <c r="GJ2715" s="152"/>
      <c r="GK2715" s="152"/>
      <c r="GL2715" s="152"/>
      <c r="GM2715" s="152"/>
      <c r="GN2715" s="152"/>
      <c r="GO2715" s="152"/>
      <c r="GP2715" s="152"/>
      <c r="GQ2715" s="152"/>
      <c r="GR2715" s="152"/>
      <c r="GS2715" s="152"/>
      <c r="GT2715" s="152"/>
      <c r="GU2715" s="152"/>
      <c r="GV2715" s="152"/>
      <c r="GW2715" s="152"/>
      <c r="GX2715" s="152"/>
      <c r="GY2715" s="152"/>
      <c r="GZ2715" s="152"/>
      <c r="HA2715" s="152"/>
      <c r="HB2715" s="152"/>
      <c r="HC2715" s="152"/>
      <c r="HD2715" s="152"/>
      <c r="HE2715" s="152"/>
      <c r="HF2715" s="152"/>
    </row>
    <row r="2716" spans="1:214" s="152" customFormat="1" x14ac:dyDescent="0.35">
      <c r="A2716" s="260"/>
      <c r="B2716" s="260"/>
      <c r="C2716" s="263"/>
      <c r="D2716" s="257"/>
      <c r="E2716" s="257"/>
      <c r="F2716" s="281"/>
      <c r="G2716" s="261"/>
      <c r="H2716" s="186" t="s">
        <v>75</v>
      </c>
      <c r="I2716" s="149">
        <v>0</v>
      </c>
      <c r="J2716" s="149">
        <f>I2716/D2714</f>
        <v>0</v>
      </c>
      <c r="K2716" s="149">
        <v>10</v>
      </c>
    </row>
    <row r="2717" spans="1:214" s="152" customFormat="1" x14ac:dyDescent="0.35">
      <c r="A2717" s="260"/>
      <c r="B2717" s="260"/>
      <c r="C2717" s="263"/>
      <c r="D2717" s="257"/>
      <c r="E2717" s="257"/>
      <c r="F2717" s="281"/>
      <c r="G2717" s="259" t="s">
        <v>78</v>
      </c>
      <c r="H2717" s="186" t="s">
        <v>73</v>
      </c>
      <c r="I2717" s="149">
        <f>D2714*K2717*70/100</f>
        <v>669712.96</v>
      </c>
      <c r="J2717" s="149">
        <f>I2717/D2714</f>
        <v>286.3</v>
      </c>
      <c r="K2717" s="149">
        <v>409</v>
      </c>
    </row>
    <row r="2718" spans="1:214" s="152" customFormat="1" x14ac:dyDescent="0.35">
      <c r="A2718" s="260"/>
      <c r="B2718" s="260"/>
      <c r="C2718" s="263"/>
      <c r="D2718" s="257"/>
      <c r="E2718" s="257"/>
      <c r="F2718" s="281"/>
      <c r="G2718" s="261"/>
      <c r="H2718" s="186" t="s">
        <v>75</v>
      </c>
      <c r="I2718" s="149">
        <v>0</v>
      </c>
      <c r="J2718" s="149">
        <f>I2718/D2714</f>
        <v>0</v>
      </c>
      <c r="K2718" s="149">
        <v>9</v>
      </c>
    </row>
    <row r="2719" spans="1:214" s="152" customFormat="1" x14ac:dyDescent="0.35">
      <c r="A2719" s="259">
        <f>A2714+1</f>
        <v>6</v>
      </c>
      <c r="B2719" s="259">
        <v>5873</v>
      </c>
      <c r="C2719" s="262" t="s">
        <v>497</v>
      </c>
      <c r="D2719" s="256">
        <v>2929.4</v>
      </c>
      <c r="E2719" s="259" t="s">
        <v>74</v>
      </c>
      <c r="F2719" s="259">
        <v>4</v>
      </c>
      <c r="G2719" s="259" t="s">
        <v>71</v>
      </c>
      <c r="H2719" s="151" t="s">
        <v>72</v>
      </c>
      <c r="I2719" s="149">
        <f>I2720+I2721</f>
        <v>9492134.8200000003</v>
      </c>
      <c r="J2719" s="149">
        <f>J2720+J2721</f>
        <v>3240.3</v>
      </c>
      <c r="K2719" s="149">
        <f>K2720+K2721</f>
        <v>4728</v>
      </c>
    </row>
    <row r="2720" spans="1:214" s="152" customFormat="1" x14ac:dyDescent="0.35">
      <c r="A2720" s="260"/>
      <c r="B2720" s="260"/>
      <c r="C2720" s="263"/>
      <c r="D2720" s="257"/>
      <c r="E2720" s="260"/>
      <c r="F2720" s="260"/>
      <c r="G2720" s="260"/>
      <c r="H2720" s="151" t="s">
        <v>635</v>
      </c>
      <c r="I2720" s="149">
        <f>D2719*K2720*0.7</f>
        <v>9492134.8200000003</v>
      </c>
      <c r="J2720" s="149">
        <f>I2720/D2719</f>
        <v>3240.3</v>
      </c>
      <c r="K2720" s="149">
        <v>4629</v>
      </c>
    </row>
    <row r="2721" spans="1:11" s="152" customFormat="1" x14ac:dyDescent="0.35">
      <c r="A2721" s="261"/>
      <c r="B2721" s="261"/>
      <c r="C2721" s="264"/>
      <c r="D2721" s="258"/>
      <c r="E2721" s="261"/>
      <c r="F2721" s="261"/>
      <c r="G2721" s="261"/>
      <c r="H2721" s="151" t="s">
        <v>75</v>
      </c>
      <c r="I2721" s="149">
        <v>0</v>
      </c>
      <c r="J2721" s="149">
        <v>0</v>
      </c>
      <c r="K2721" s="149">
        <v>99</v>
      </c>
    </row>
    <row r="2722" spans="1:11" s="152" customFormat="1" ht="15.5" customHeight="1" x14ac:dyDescent="0.35">
      <c r="A2722" s="259">
        <f>A2719+1</f>
        <v>7</v>
      </c>
      <c r="B2722" s="259">
        <v>5914</v>
      </c>
      <c r="C2722" s="262" t="s">
        <v>828</v>
      </c>
      <c r="D2722" s="256">
        <v>14256.9</v>
      </c>
      <c r="E2722" s="259" t="s">
        <v>70</v>
      </c>
      <c r="F2722" s="259">
        <v>10</v>
      </c>
      <c r="G2722" s="155"/>
      <c r="H2722" s="186" t="s">
        <v>72</v>
      </c>
      <c r="I2722" s="149">
        <f>SUM(I2723:I2734)</f>
        <v>6964416</v>
      </c>
      <c r="J2722" s="149">
        <f>SUM(J2723:J2734)</f>
        <v>488.49</v>
      </c>
      <c r="K2722" s="149">
        <f>SUM(K2723:K2734)</f>
        <v>498.76</v>
      </c>
    </row>
    <row r="2723" spans="1:11" s="152" customFormat="1" ht="46.5" x14ac:dyDescent="0.35">
      <c r="A2723" s="260"/>
      <c r="B2723" s="260"/>
      <c r="C2723" s="263"/>
      <c r="D2723" s="257"/>
      <c r="E2723" s="260"/>
      <c r="F2723" s="260"/>
      <c r="G2723" s="259" t="s">
        <v>641</v>
      </c>
      <c r="H2723" s="186" t="s">
        <v>634</v>
      </c>
      <c r="I2723" s="149">
        <v>32281</v>
      </c>
      <c r="J2723" s="149">
        <f>I2723/D2722</f>
        <v>2.2599999999999998</v>
      </c>
      <c r="K2723" s="149">
        <f>(22681+9600)/D2722</f>
        <v>2.2599999999999998</v>
      </c>
    </row>
    <row r="2724" spans="1:11" s="152" customFormat="1" x14ac:dyDescent="0.35">
      <c r="A2724" s="260"/>
      <c r="B2724" s="260"/>
      <c r="C2724" s="263"/>
      <c r="D2724" s="257"/>
      <c r="E2724" s="260"/>
      <c r="F2724" s="260"/>
      <c r="G2724" s="260"/>
      <c r="H2724" s="186" t="s">
        <v>642</v>
      </c>
      <c r="I2724" s="149">
        <v>1708823</v>
      </c>
      <c r="J2724" s="149">
        <f>I2724/D2722+0.01</f>
        <v>119.87</v>
      </c>
      <c r="K2724" s="149">
        <f>1708823/D2722+0.01</f>
        <v>119.87</v>
      </c>
    </row>
    <row r="2725" spans="1:11" x14ac:dyDescent="0.35">
      <c r="A2725" s="260"/>
      <c r="B2725" s="260"/>
      <c r="C2725" s="263"/>
      <c r="D2725" s="257"/>
      <c r="E2725" s="260"/>
      <c r="F2725" s="260"/>
      <c r="G2725" s="261"/>
      <c r="H2725" s="186" t="s">
        <v>75</v>
      </c>
      <c r="I2725" s="149">
        <v>0</v>
      </c>
      <c r="J2725" s="149">
        <f>I2725/D2722</f>
        <v>0</v>
      </c>
      <c r="K2725" s="149">
        <f>36569/D2722-0.01</f>
        <v>2.56</v>
      </c>
    </row>
    <row r="2726" spans="1:11" ht="46.5" x14ac:dyDescent="0.35">
      <c r="A2726" s="260"/>
      <c r="B2726" s="260"/>
      <c r="C2726" s="263"/>
      <c r="D2726" s="257"/>
      <c r="E2726" s="260"/>
      <c r="F2726" s="260"/>
      <c r="G2726" s="259" t="s">
        <v>647</v>
      </c>
      <c r="H2726" s="186" t="s">
        <v>634</v>
      </c>
      <c r="I2726" s="149">
        <v>32281</v>
      </c>
      <c r="J2726" s="149">
        <f>I2726/D2722</f>
        <v>2.2599999999999998</v>
      </c>
      <c r="K2726" s="149">
        <f>(22681+9600)/D2722</f>
        <v>2.2599999999999998</v>
      </c>
    </row>
    <row r="2727" spans="1:11" x14ac:dyDescent="0.35">
      <c r="A2727" s="260"/>
      <c r="B2727" s="260"/>
      <c r="C2727" s="263"/>
      <c r="D2727" s="257"/>
      <c r="E2727" s="260"/>
      <c r="F2727" s="260"/>
      <c r="G2727" s="260"/>
      <c r="H2727" s="186" t="s">
        <v>642</v>
      </c>
      <c r="I2727" s="149">
        <v>1708823</v>
      </c>
      <c r="J2727" s="149">
        <f>I2727/D2722</f>
        <v>119.86</v>
      </c>
      <c r="K2727" s="149">
        <f>1708823/D2722</f>
        <v>119.86</v>
      </c>
    </row>
    <row r="2728" spans="1:11" x14ac:dyDescent="0.35">
      <c r="A2728" s="260"/>
      <c r="B2728" s="260"/>
      <c r="C2728" s="263"/>
      <c r="D2728" s="257"/>
      <c r="E2728" s="260"/>
      <c r="F2728" s="260"/>
      <c r="G2728" s="261"/>
      <c r="H2728" s="186" t="s">
        <v>75</v>
      </c>
      <c r="I2728" s="149">
        <v>0</v>
      </c>
      <c r="J2728" s="149">
        <f>I2728/D2722</f>
        <v>0</v>
      </c>
      <c r="K2728" s="149">
        <f>36569/D2722</f>
        <v>2.57</v>
      </c>
    </row>
    <row r="2729" spans="1:11" ht="46.5" x14ac:dyDescent="0.35">
      <c r="A2729" s="260"/>
      <c r="B2729" s="260"/>
      <c r="C2729" s="263"/>
      <c r="D2729" s="257"/>
      <c r="E2729" s="260"/>
      <c r="F2729" s="260"/>
      <c r="G2729" s="259" t="s">
        <v>648</v>
      </c>
      <c r="H2729" s="186" t="s">
        <v>634</v>
      </c>
      <c r="I2729" s="149">
        <v>32281</v>
      </c>
      <c r="J2729" s="149">
        <f>I2729/D2722</f>
        <v>2.2599999999999998</v>
      </c>
      <c r="K2729" s="149">
        <f>(22681+9600)/D2722</f>
        <v>2.2599999999999998</v>
      </c>
    </row>
    <row r="2730" spans="1:11" x14ac:dyDescent="0.35">
      <c r="A2730" s="260"/>
      <c r="B2730" s="260"/>
      <c r="C2730" s="263"/>
      <c r="D2730" s="257"/>
      <c r="E2730" s="260"/>
      <c r="F2730" s="260"/>
      <c r="G2730" s="260"/>
      <c r="H2730" s="186" t="s">
        <v>642</v>
      </c>
      <c r="I2730" s="149">
        <v>1708823</v>
      </c>
      <c r="J2730" s="149">
        <f>I2730/D2722</f>
        <v>119.86</v>
      </c>
      <c r="K2730" s="149">
        <f>1708823/D2722</f>
        <v>119.86</v>
      </c>
    </row>
    <row r="2731" spans="1:11" x14ac:dyDescent="0.35">
      <c r="A2731" s="260"/>
      <c r="B2731" s="260"/>
      <c r="C2731" s="263"/>
      <c r="D2731" s="257"/>
      <c r="E2731" s="260"/>
      <c r="F2731" s="260"/>
      <c r="G2731" s="261"/>
      <c r="H2731" s="186" t="s">
        <v>75</v>
      </c>
      <c r="I2731" s="149">
        <v>0</v>
      </c>
      <c r="J2731" s="149">
        <f>I2731/D2722</f>
        <v>0</v>
      </c>
      <c r="K2731" s="149">
        <f>36569/D2722</f>
        <v>2.57</v>
      </c>
    </row>
    <row r="2732" spans="1:11" ht="46.5" x14ac:dyDescent="0.35">
      <c r="A2732" s="260"/>
      <c r="B2732" s="260"/>
      <c r="C2732" s="263"/>
      <c r="D2732" s="257"/>
      <c r="E2732" s="260"/>
      <c r="F2732" s="260"/>
      <c r="G2732" s="259" t="s">
        <v>649</v>
      </c>
      <c r="H2732" s="186" t="s">
        <v>634</v>
      </c>
      <c r="I2732" s="149">
        <v>32281</v>
      </c>
      <c r="J2732" s="149">
        <f>I2732/D2722</f>
        <v>2.2599999999999998</v>
      </c>
      <c r="K2732" s="149">
        <f>(22681+9600)/D2722</f>
        <v>2.2599999999999998</v>
      </c>
    </row>
    <row r="2733" spans="1:11" x14ac:dyDescent="0.35">
      <c r="A2733" s="260"/>
      <c r="B2733" s="260"/>
      <c r="C2733" s="263"/>
      <c r="D2733" s="257"/>
      <c r="E2733" s="260"/>
      <c r="F2733" s="260"/>
      <c r="G2733" s="260"/>
      <c r="H2733" s="186" t="s">
        <v>642</v>
      </c>
      <c r="I2733" s="149">
        <v>1708823</v>
      </c>
      <c r="J2733" s="149">
        <f>I2733/D2722</f>
        <v>119.86</v>
      </c>
      <c r="K2733" s="149">
        <f>1708823/D2722</f>
        <v>119.86</v>
      </c>
    </row>
    <row r="2734" spans="1:11" x14ac:dyDescent="0.35">
      <c r="A2734" s="260"/>
      <c r="B2734" s="260"/>
      <c r="C2734" s="263"/>
      <c r="D2734" s="257"/>
      <c r="E2734" s="260"/>
      <c r="F2734" s="260"/>
      <c r="G2734" s="261"/>
      <c r="H2734" s="186" t="s">
        <v>75</v>
      </c>
      <c r="I2734" s="149">
        <v>0</v>
      </c>
      <c r="J2734" s="149">
        <f>I2734/D2722</f>
        <v>0</v>
      </c>
      <c r="K2734" s="149">
        <f>36569/D2722</f>
        <v>2.57</v>
      </c>
    </row>
    <row r="2735" spans="1:11" x14ac:dyDescent="0.35">
      <c r="A2735" s="280">
        <f>A2722+1</f>
        <v>8</v>
      </c>
      <c r="B2735" s="280">
        <v>5923</v>
      </c>
      <c r="C2735" s="297" t="s">
        <v>624</v>
      </c>
      <c r="D2735" s="256">
        <v>10217.4</v>
      </c>
      <c r="E2735" s="280" t="s">
        <v>79</v>
      </c>
      <c r="F2735" s="280">
        <v>10</v>
      </c>
      <c r="G2735" s="153"/>
      <c r="H2735" s="151" t="s">
        <v>72</v>
      </c>
      <c r="I2735" s="149">
        <f>SUM(I2736:I2744)</f>
        <v>5223312</v>
      </c>
      <c r="J2735" s="149">
        <f>SUM(J2736:J2744)</f>
        <v>511.22</v>
      </c>
      <c r="K2735" s="149">
        <f>SUM(K2736:K2744)</f>
        <v>521.94000000000005</v>
      </c>
    </row>
    <row r="2736" spans="1:11" ht="46.5" x14ac:dyDescent="0.35">
      <c r="A2736" s="281"/>
      <c r="B2736" s="281"/>
      <c r="C2736" s="298"/>
      <c r="D2736" s="257"/>
      <c r="E2736" s="281"/>
      <c r="F2736" s="281"/>
      <c r="G2736" s="259" t="s">
        <v>641</v>
      </c>
      <c r="H2736" s="151" t="s">
        <v>634</v>
      </c>
      <c r="I2736" s="149">
        <f>22681+9600</f>
        <v>32281</v>
      </c>
      <c r="J2736" s="149">
        <f>I2736/D2735</f>
        <v>3.16</v>
      </c>
      <c r="K2736" s="149">
        <f>32281/D2735</f>
        <v>3.16</v>
      </c>
    </row>
    <row r="2737" spans="1:213" x14ac:dyDescent="0.35">
      <c r="A2737" s="281"/>
      <c r="B2737" s="281"/>
      <c r="C2737" s="298"/>
      <c r="D2737" s="257"/>
      <c r="E2737" s="281"/>
      <c r="F2737" s="281"/>
      <c r="G2737" s="260"/>
      <c r="H2737" s="151" t="s">
        <v>642</v>
      </c>
      <c r="I2737" s="149">
        <v>1708823</v>
      </c>
      <c r="J2737" s="149">
        <f>I2737/D2735</f>
        <v>167.25</v>
      </c>
      <c r="K2737" s="149">
        <f>1708823/D2735</f>
        <v>167.25</v>
      </c>
    </row>
    <row r="2738" spans="1:213" s="145" customFormat="1" x14ac:dyDescent="0.35">
      <c r="A2738" s="281"/>
      <c r="B2738" s="281"/>
      <c r="C2738" s="298"/>
      <c r="D2738" s="257"/>
      <c r="E2738" s="281"/>
      <c r="F2738" s="281"/>
      <c r="G2738" s="261"/>
      <c r="H2738" s="151" t="s">
        <v>75</v>
      </c>
      <c r="I2738" s="149">
        <v>0</v>
      </c>
      <c r="J2738" s="149">
        <v>0</v>
      </c>
      <c r="K2738" s="149">
        <f>36569/D2735-0.01</f>
        <v>3.57</v>
      </c>
      <c r="L2738" s="123"/>
      <c r="M2738" s="123"/>
      <c r="N2738" s="123"/>
      <c r="O2738" s="123"/>
      <c r="P2738" s="123"/>
      <c r="Q2738" s="123"/>
      <c r="R2738" s="123"/>
      <c r="S2738" s="123"/>
      <c r="T2738" s="123"/>
      <c r="U2738" s="123"/>
      <c r="V2738" s="123"/>
      <c r="W2738" s="123"/>
      <c r="X2738" s="123"/>
      <c r="Y2738" s="123"/>
      <c r="Z2738" s="123"/>
      <c r="AA2738" s="123"/>
      <c r="AB2738" s="123"/>
      <c r="AC2738" s="123"/>
      <c r="AD2738" s="123"/>
      <c r="AE2738" s="123"/>
      <c r="AF2738" s="123"/>
      <c r="AG2738" s="123"/>
      <c r="AH2738" s="123"/>
      <c r="AI2738" s="123"/>
      <c r="AJ2738" s="123"/>
      <c r="AK2738" s="123"/>
      <c r="AL2738" s="123"/>
      <c r="AM2738" s="123"/>
      <c r="AN2738" s="123"/>
      <c r="AO2738" s="123"/>
      <c r="AP2738" s="123"/>
      <c r="AQ2738" s="123"/>
      <c r="AR2738" s="123"/>
      <c r="AS2738" s="123"/>
      <c r="AT2738" s="123"/>
      <c r="AU2738" s="123"/>
      <c r="AV2738" s="123"/>
      <c r="AW2738" s="123"/>
      <c r="AX2738" s="123"/>
      <c r="AY2738" s="123"/>
      <c r="AZ2738" s="123"/>
      <c r="BA2738" s="123"/>
      <c r="BB2738" s="123"/>
      <c r="BC2738" s="123"/>
      <c r="BD2738" s="123"/>
      <c r="BE2738" s="123"/>
      <c r="BF2738" s="123"/>
      <c r="BG2738" s="123"/>
      <c r="BH2738" s="123"/>
      <c r="BI2738" s="123"/>
      <c r="BJ2738" s="123"/>
      <c r="BK2738" s="123"/>
      <c r="BL2738" s="123"/>
      <c r="BM2738" s="123"/>
      <c r="BN2738" s="123"/>
      <c r="BO2738" s="123"/>
      <c r="BP2738" s="123"/>
      <c r="BQ2738" s="123"/>
      <c r="BR2738" s="123"/>
      <c r="BS2738" s="123"/>
      <c r="BT2738" s="123"/>
      <c r="BU2738" s="123"/>
      <c r="BV2738" s="123"/>
      <c r="BW2738" s="123"/>
      <c r="BX2738" s="123"/>
      <c r="BY2738" s="123"/>
      <c r="BZ2738" s="123"/>
      <c r="CA2738" s="123"/>
      <c r="CB2738" s="123"/>
      <c r="CC2738" s="123"/>
      <c r="CD2738" s="123"/>
      <c r="CE2738" s="123"/>
      <c r="CF2738" s="123"/>
      <c r="CG2738" s="123"/>
      <c r="CH2738" s="123"/>
      <c r="CI2738" s="123"/>
      <c r="CJ2738" s="123"/>
      <c r="CK2738" s="123"/>
      <c r="CL2738" s="123"/>
      <c r="CM2738" s="123"/>
      <c r="CN2738" s="123"/>
      <c r="CO2738" s="123"/>
      <c r="CP2738" s="123"/>
      <c r="CQ2738" s="123"/>
      <c r="CR2738" s="123"/>
      <c r="CS2738" s="123"/>
      <c r="CT2738" s="123"/>
      <c r="CU2738" s="123"/>
      <c r="CV2738" s="123"/>
      <c r="CW2738" s="123"/>
      <c r="CX2738" s="123"/>
      <c r="CY2738" s="123"/>
      <c r="CZ2738" s="123"/>
      <c r="DA2738" s="123"/>
      <c r="DB2738" s="123"/>
      <c r="DC2738" s="123"/>
      <c r="DD2738" s="123"/>
      <c r="DE2738" s="123"/>
      <c r="DF2738" s="123"/>
      <c r="DG2738" s="123"/>
      <c r="DH2738" s="123"/>
      <c r="DI2738" s="123"/>
      <c r="DJ2738" s="123"/>
      <c r="DK2738" s="123"/>
      <c r="DL2738" s="123"/>
      <c r="DM2738" s="123"/>
      <c r="DN2738" s="123"/>
      <c r="DO2738" s="123"/>
      <c r="DP2738" s="123"/>
      <c r="DQ2738" s="123"/>
      <c r="DR2738" s="123"/>
      <c r="DS2738" s="123"/>
      <c r="DT2738" s="123"/>
      <c r="DU2738" s="123"/>
      <c r="DV2738" s="123"/>
      <c r="DW2738" s="123"/>
      <c r="DX2738" s="123"/>
      <c r="DY2738" s="123"/>
      <c r="DZ2738" s="123"/>
      <c r="EA2738" s="123"/>
      <c r="EB2738" s="123"/>
      <c r="EC2738" s="123"/>
      <c r="ED2738" s="123"/>
      <c r="EE2738" s="123"/>
      <c r="EF2738" s="123"/>
      <c r="EG2738" s="123"/>
      <c r="EH2738" s="123"/>
      <c r="EI2738" s="123"/>
      <c r="EJ2738" s="123"/>
      <c r="EK2738" s="123"/>
      <c r="EL2738" s="123"/>
      <c r="EM2738" s="123"/>
      <c r="EN2738" s="123"/>
      <c r="EO2738" s="123"/>
      <c r="EP2738" s="123"/>
      <c r="EQ2738" s="123"/>
      <c r="ER2738" s="123"/>
      <c r="ES2738" s="123"/>
      <c r="ET2738" s="123"/>
      <c r="EU2738" s="123"/>
      <c r="EV2738" s="123"/>
      <c r="EW2738" s="123"/>
      <c r="EX2738" s="123"/>
      <c r="EY2738" s="123"/>
      <c r="EZ2738" s="123"/>
      <c r="FA2738" s="123"/>
      <c r="FB2738" s="123"/>
      <c r="FC2738" s="123"/>
      <c r="FD2738" s="123"/>
      <c r="FE2738" s="123"/>
      <c r="FF2738" s="123"/>
      <c r="FG2738" s="123"/>
      <c r="FH2738" s="123"/>
      <c r="FI2738" s="123"/>
      <c r="FJ2738" s="123"/>
      <c r="FK2738" s="123"/>
      <c r="FL2738" s="123"/>
      <c r="FM2738" s="123"/>
      <c r="FN2738" s="123"/>
      <c r="FO2738" s="123"/>
      <c r="FP2738" s="123"/>
      <c r="FQ2738" s="123"/>
      <c r="FR2738" s="123"/>
      <c r="FS2738" s="123"/>
      <c r="FT2738" s="123"/>
      <c r="FU2738" s="123"/>
      <c r="FV2738" s="123"/>
      <c r="FW2738" s="123"/>
      <c r="FX2738" s="123"/>
      <c r="FY2738" s="123"/>
      <c r="FZ2738" s="123"/>
      <c r="GA2738" s="123"/>
      <c r="GB2738" s="123"/>
      <c r="GC2738" s="123"/>
      <c r="GD2738" s="123"/>
      <c r="GE2738" s="123"/>
      <c r="GF2738" s="123"/>
      <c r="GG2738" s="123"/>
      <c r="GH2738" s="123"/>
      <c r="GI2738" s="123"/>
      <c r="GJ2738" s="123"/>
      <c r="GK2738" s="123"/>
      <c r="GL2738" s="123"/>
      <c r="GM2738" s="123"/>
      <c r="GN2738" s="123"/>
      <c r="GO2738" s="123"/>
      <c r="GP2738" s="123"/>
      <c r="GQ2738" s="123"/>
      <c r="GR2738" s="123"/>
      <c r="GS2738" s="123"/>
      <c r="GT2738" s="123"/>
      <c r="GU2738" s="123"/>
      <c r="GV2738" s="123"/>
      <c r="GW2738" s="123"/>
      <c r="GX2738" s="123"/>
      <c r="GY2738" s="123"/>
      <c r="GZ2738" s="123"/>
      <c r="HA2738" s="123"/>
      <c r="HB2738" s="123"/>
      <c r="HC2738" s="123"/>
      <c r="HD2738" s="123"/>
      <c r="HE2738" s="123"/>
    </row>
    <row r="2739" spans="1:213" s="145" customFormat="1" ht="46.5" x14ac:dyDescent="0.35">
      <c r="A2739" s="281"/>
      <c r="B2739" s="281"/>
      <c r="C2739" s="298"/>
      <c r="D2739" s="257"/>
      <c r="E2739" s="281"/>
      <c r="F2739" s="281"/>
      <c r="G2739" s="259" t="s">
        <v>647</v>
      </c>
      <c r="H2739" s="151" t="s">
        <v>634</v>
      </c>
      <c r="I2739" s="149">
        <f>22681+9600</f>
        <v>32281</v>
      </c>
      <c r="J2739" s="149">
        <f>I2739/D2735</f>
        <v>3.16</v>
      </c>
      <c r="K2739" s="149">
        <f>32281/D2735</f>
        <v>3.16</v>
      </c>
      <c r="L2739" s="123"/>
      <c r="M2739" s="123"/>
      <c r="N2739" s="123"/>
      <c r="O2739" s="123"/>
      <c r="P2739" s="123"/>
      <c r="Q2739" s="123"/>
      <c r="R2739" s="123"/>
      <c r="S2739" s="123"/>
      <c r="T2739" s="123"/>
      <c r="U2739" s="123"/>
      <c r="V2739" s="123"/>
      <c r="W2739" s="123"/>
      <c r="X2739" s="123"/>
      <c r="Y2739" s="123"/>
      <c r="Z2739" s="123"/>
      <c r="AA2739" s="123"/>
      <c r="AB2739" s="123"/>
      <c r="AC2739" s="123"/>
      <c r="AD2739" s="123"/>
      <c r="AE2739" s="123"/>
      <c r="AF2739" s="123"/>
      <c r="AG2739" s="123"/>
      <c r="AH2739" s="123"/>
      <c r="AI2739" s="123"/>
      <c r="AJ2739" s="123"/>
      <c r="AK2739" s="123"/>
      <c r="AL2739" s="123"/>
      <c r="AM2739" s="123"/>
      <c r="AN2739" s="123"/>
      <c r="AO2739" s="123"/>
      <c r="AP2739" s="123"/>
      <c r="AQ2739" s="123"/>
      <c r="AR2739" s="123"/>
      <c r="AS2739" s="123"/>
      <c r="AT2739" s="123"/>
      <c r="AU2739" s="123"/>
      <c r="AV2739" s="123"/>
      <c r="AW2739" s="123"/>
      <c r="AX2739" s="123"/>
      <c r="AY2739" s="123"/>
      <c r="AZ2739" s="123"/>
      <c r="BA2739" s="123"/>
      <c r="BB2739" s="123"/>
      <c r="BC2739" s="123"/>
      <c r="BD2739" s="123"/>
      <c r="BE2739" s="123"/>
      <c r="BF2739" s="123"/>
      <c r="BG2739" s="123"/>
      <c r="BH2739" s="123"/>
      <c r="BI2739" s="123"/>
      <c r="BJ2739" s="123"/>
      <c r="BK2739" s="123"/>
      <c r="BL2739" s="123"/>
      <c r="BM2739" s="123"/>
      <c r="BN2739" s="123"/>
      <c r="BO2739" s="123"/>
      <c r="BP2739" s="123"/>
      <c r="BQ2739" s="123"/>
      <c r="BR2739" s="123"/>
      <c r="BS2739" s="123"/>
      <c r="BT2739" s="123"/>
      <c r="BU2739" s="123"/>
      <c r="BV2739" s="123"/>
      <c r="BW2739" s="123"/>
      <c r="BX2739" s="123"/>
      <c r="BY2739" s="123"/>
      <c r="BZ2739" s="123"/>
      <c r="CA2739" s="123"/>
      <c r="CB2739" s="123"/>
      <c r="CC2739" s="123"/>
      <c r="CD2739" s="123"/>
      <c r="CE2739" s="123"/>
      <c r="CF2739" s="123"/>
      <c r="CG2739" s="123"/>
      <c r="CH2739" s="123"/>
      <c r="CI2739" s="123"/>
      <c r="CJ2739" s="123"/>
      <c r="CK2739" s="123"/>
      <c r="CL2739" s="123"/>
      <c r="CM2739" s="123"/>
      <c r="CN2739" s="123"/>
      <c r="CO2739" s="123"/>
      <c r="CP2739" s="123"/>
      <c r="CQ2739" s="123"/>
      <c r="CR2739" s="123"/>
      <c r="CS2739" s="123"/>
      <c r="CT2739" s="123"/>
      <c r="CU2739" s="123"/>
      <c r="CV2739" s="123"/>
      <c r="CW2739" s="123"/>
      <c r="CX2739" s="123"/>
      <c r="CY2739" s="123"/>
      <c r="CZ2739" s="123"/>
      <c r="DA2739" s="123"/>
      <c r="DB2739" s="123"/>
      <c r="DC2739" s="123"/>
      <c r="DD2739" s="123"/>
      <c r="DE2739" s="123"/>
      <c r="DF2739" s="123"/>
      <c r="DG2739" s="123"/>
      <c r="DH2739" s="123"/>
      <c r="DI2739" s="123"/>
      <c r="DJ2739" s="123"/>
      <c r="DK2739" s="123"/>
      <c r="DL2739" s="123"/>
      <c r="DM2739" s="123"/>
      <c r="DN2739" s="123"/>
      <c r="DO2739" s="123"/>
      <c r="DP2739" s="123"/>
      <c r="DQ2739" s="123"/>
      <c r="DR2739" s="123"/>
      <c r="DS2739" s="123"/>
      <c r="DT2739" s="123"/>
      <c r="DU2739" s="123"/>
      <c r="DV2739" s="123"/>
      <c r="DW2739" s="123"/>
      <c r="DX2739" s="123"/>
      <c r="DY2739" s="123"/>
      <c r="DZ2739" s="123"/>
      <c r="EA2739" s="123"/>
      <c r="EB2739" s="123"/>
      <c r="EC2739" s="123"/>
      <c r="ED2739" s="123"/>
      <c r="EE2739" s="123"/>
      <c r="EF2739" s="123"/>
      <c r="EG2739" s="123"/>
      <c r="EH2739" s="123"/>
      <c r="EI2739" s="123"/>
      <c r="EJ2739" s="123"/>
      <c r="EK2739" s="123"/>
      <c r="EL2739" s="123"/>
      <c r="EM2739" s="123"/>
      <c r="EN2739" s="123"/>
      <c r="EO2739" s="123"/>
      <c r="EP2739" s="123"/>
      <c r="EQ2739" s="123"/>
      <c r="ER2739" s="123"/>
      <c r="ES2739" s="123"/>
      <c r="ET2739" s="123"/>
      <c r="EU2739" s="123"/>
      <c r="EV2739" s="123"/>
      <c r="EW2739" s="123"/>
      <c r="EX2739" s="123"/>
      <c r="EY2739" s="123"/>
      <c r="EZ2739" s="123"/>
      <c r="FA2739" s="123"/>
      <c r="FB2739" s="123"/>
      <c r="FC2739" s="123"/>
      <c r="FD2739" s="123"/>
      <c r="FE2739" s="123"/>
      <c r="FF2739" s="123"/>
      <c r="FG2739" s="123"/>
      <c r="FH2739" s="123"/>
      <c r="FI2739" s="123"/>
      <c r="FJ2739" s="123"/>
      <c r="FK2739" s="123"/>
      <c r="FL2739" s="123"/>
      <c r="FM2739" s="123"/>
      <c r="FN2739" s="123"/>
      <c r="FO2739" s="123"/>
      <c r="FP2739" s="123"/>
      <c r="FQ2739" s="123"/>
      <c r="FR2739" s="123"/>
      <c r="FS2739" s="123"/>
      <c r="FT2739" s="123"/>
      <c r="FU2739" s="123"/>
      <c r="FV2739" s="123"/>
      <c r="FW2739" s="123"/>
      <c r="FX2739" s="123"/>
      <c r="FY2739" s="123"/>
      <c r="FZ2739" s="123"/>
      <c r="GA2739" s="123"/>
      <c r="GB2739" s="123"/>
      <c r="GC2739" s="123"/>
      <c r="GD2739" s="123"/>
      <c r="GE2739" s="123"/>
      <c r="GF2739" s="123"/>
      <c r="GG2739" s="123"/>
      <c r="GH2739" s="123"/>
      <c r="GI2739" s="123"/>
      <c r="GJ2739" s="123"/>
      <c r="GK2739" s="123"/>
      <c r="GL2739" s="123"/>
      <c r="GM2739" s="123"/>
      <c r="GN2739" s="123"/>
      <c r="GO2739" s="123"/>
      <c r="GP2739" s="123"/>
      <c r="GQ2739" s="123"/>
      <c r="GR2739" s="123"/>
      <c r="GS2739" s="123"/>
      <c r="GT2739" s="123"/>
      <c r="GU2739" s="123"/>
      <c r="GV2739" s="123"/>
      <c r="GW2739" s="123"/>
      <c r="GX2739" s="123"/>
      <c r="GY2739" s="123"/>
      <c r="GZ2739" s="123"/>
      <c r="HA2739" s="123"/>
      <c r="HB2739" s="123"/>
      <c r="HC2739" s="123"/>
      <c r="HD2739" s="123"/>
      <c r="HE2739" s="123"/>
    </row>
    <row r="2740" spans="1:213" x14ac:dyDescent="0.35">
      <c r="A2740" s="281"/>
      <c r="B2740" s="281"/>
      <c r="C2740" s="298"/>
      <c r="D2740" s="257"/>
      <c r="E2740" s="281"/>
      <c r="F2740" s="281"/>
      <c r="G2740" s="260"/>
      <c r="H2740" s="151" t="s">
        <v>642</v>
      </c>
      <c r="I2740" s="149">
        <v>1708823</v>
      </c>
      <c r="J2740" s="149">
        <f>I2740/D2735</f>
        <v>167.25</v>
      </c>
      <c r="K2740" s="149">
        <f>1708823/D2735</f>
        <v>167.25</v>
      </c>
    </row>
    <row r="2741" spans="1:213" s="145" customFormat="1" x14ac:dyDescent="0.35">
      <c r="A2741" s="281"/>
      <c r="B2741" s="281"/>
      <c r="C2741" s="298"/>
      <c r="D2741" s="257"/>
      <c r="E2741" s="281"/>
      <c r="F2741" s="281"/>
      <c r="G2741" s="261"/>
      <c r="H2741" s="151" t="s">
        <v>75</v>
      </c>
      <c r="I2741" s="149">
        <v>0</v>
      </c>
      <c r="J2741" s="149">
        <v>0</v>
      </c>
      <c r="K2741" s="149">
        <f>36569/D2735-0.01</f>
        <v>3.57</v>
      </c>
      <c r="L2741" s="123"/>
      <c r="M2741" s="123"/>
      <c r="N2741" s="123"/>
      <c r="O2741" s="123"/>
      <c r="P2741" s="123"/>
      <c r="Q2741" s="123"/>
      <c r="R2741" s="123"/>
      <c r="S2741" s="123"/>
      <c r="T2741" s="123"/>
      <c r="U2741" s="123"/>
      <c r="V2741" s="123"/>
      <c r="W2741" s="123"/>
      <c r="X2741" s="123"/>
      <c r="Y2741" s="123"/>
      <c r="Z2741" s="123"/>
      <c r="AA2741" s="123"/>
      <c r="AB2741" s="123"/>
      <c r="AC2741" s="123"/>
      <c r="AD2741" s="123"/>
      <c r="AE2741" s="123"/>
      <c r="AF2741" s="123"/>
      <c r="AG2741" s="123"/>
      <c r="AH2741" s="123"/>
      <c r="AI2741" s="123"/>
      <c r="AJ2741" s="123"/>
      <c r="AK2741" s="123"/>
      <c r="AL2741" s="123"/>
      <c r="AM2741" s="123"/>
      <c r="AN2741" s="123"/>
      <c r="AO2741" s="123"/>
      <c r="AP2741" s="123"/>
      <c r="AQ2741" s="123"/>
      <c r="AR2741" s="123"/>
      <c r="AS2741" s="123"/>
      <c r="AT2741" s="123"/>
      <c r="AU2741" s="123"/>
      <c r="AV2741" s="123"/>
      <c r="AW2741" s="123"/>
      <c r="AX2741" s="123"/>
      <c r="AY2741" s="123"/>
      <c r="AZ2741" s="123"/>
      <c r="BA2741" s="123"/>
      <c r="BB2741" s="123"/>
      <c r="BC2741" s="123"/>
      <c r="BD2741" s="123"/>
      <c r="BE2741" s="123"/>
      <c r="BF2741" s="123"/>
      <c r="BG2741" s="123"/>
      <c r="BH2741" s="123"/>
      <c r="BI2741" s="123"/>
      <c r="BJ2741" s="123"/>
      <c r="BK2741" s="123"/>
      <c r="BL2741" s="123"/>
      <c r="BM2741" s="123"/>
      <c r="BN2741" s="123"/>
      <c r="BO2741" s="123"/>
      <c r="BP2741" s="123"/>
      <c r="BQ2741" s="123"/>
      <c r="BR2741" s="123"/>
      <c r="BS2741" s="123"/>
      <c r="BT2741" s="123"/>
      <c r="BU2741" s="123"/>
      <c r="BV2741" s="123"/>
      <c r="BW2741" s="123"/>
      <c r="BX2741" s="123"/>
      <c r="BY2741" s="123"/>
      <c r="BZ2741" s="123"/>
      <c r="CA2741" s="123"/>
      <c r="CB2741" s="123"/>
      <c r="CC2741" s="123"/>
      <c r="CD2741" s="123"/>
      <c r="CE2741" s="123"/>
      <c r="CF2741" s="123"/>
      <c r="CG2741" s="123"/>
      <c r="CH2741" s="123"/>
      <c r="CI2741" s="123"/>
      <c r="CJ2741" s="123"/>
      <c r="CK2741" s="123"/>
      <c r="CL2741" s="123"/>
      <c r="CM2741" s="123"/>
      <c r="CN2741" s="123"/>
      <c r="CO2741" s="123"/>
      <c r="CP2741" s="123"/>
      <c r="CQ2741" s="123"/>
      <c r="CR2741" s="123"/>
      <c r="CS2741" s="123"/>
      <c r="CT2741" s="123"/>
      <c r="CU2741" s="123"/>
      <c r="CV2741" s="123"/>
      <c r="CW2741" s="123"/>
      <c r="CX2741" s="123"/>
      <c r="CY2741" s="123"/>
      <c r="CZ2741" s="123"/>
      <c r="DA2741" s="123"/>
      <c r="DB2741" s="123"/>
      <c r="DC2741" s="123"/>
      <c r="DD2741" s="123"/>
      <c r="DE2741" s="123"/>
      <c r="DF2741" s="123"/>
      <c r="DG2741" s="123"/>
      <c r="DH2741" s="123"/>
      <c r="DI2741" s="123"/>
      <c r="DJ2741" s="123"/>
      <c r="DK2741" s="123"/>
      <c r="DL2741" s="123"/>
      <c r="DM2741" s="123"/>
      <c r="DN2741" s="123"/>
      <c r="DO2741" s="123"/>
      <c r="DP2741" s="123"/>
      <c r="DQ2741" s="123"/>
      <c r="DR2741" s="123"/>
      <c r="DS2741" s="123"/>
      <c r="DT2741" s="123"/>
      <c r="DU2741" s="123"/>
      <c r="DV2741" s="123"/>
      <c r="DW2741" s="123"/>
      <c r="DX2741" s="123"/>
      <c r="DY2741" s="123"/>
      <c r="DZ2741" s="123"/>
      <c r="EA2741" s="123"/>
      <c r="EB2741" s="123"/>
      <c r="EC2741" s="123"/>
      <c r="ED2741" s="123"/>
      <c r="EE2741" s="123"/>
      <c r="EF2741" s="123"/>
      <c r="EG2741" s="123"/>
      <c r="EH2741" s="123"/>
      <c r="EI2741" s="123"/>
      <c r="EJ2741" s="123"/>
      <c r="EK2741" s="123"/>
      <c r="EL2741" s="123"/>
      <c r="EM2741" s="123"/>
      <c r="EN2741" s="123"/>
      <c r="EO2741" s="123"/>
      <c r="EP2741" s="123"/>
      <c r="EQ2741" s="123"/>
      <c r="ER2741" s="123"/>
      <c r="ES2741" s="123"/>
      <c r="ET2741" s="123"/>
      <c r="EU2741" s="123"/>
      <c r="EV2741" s="123"/>
      <c r="EW2741" s="123"/>
      <c r="EX2741" s="123"/>
      <c r="EY2741" s="123"/>
      <c r="EZ2741" s="123"/>
      <c r="FA2741" s="123"/>
      <c r="FB2741" s="123"/>
      <c r="FC2741" s="123"/>
      <c r="FD2741" s="123"/>
      <c r="FE2741" s="123"/>
      <c r="FF2741" s="123"/>
      <c r="FG2741" s="123"/>
      <c r="FH2741" s="123"/>
      <c r="FI2741" s="123"/>
      <c r="FJ2741" s="123"/>
      <c r="FK2741" s="123"/>
      <c r="FL2741" s="123"/>
      <c r="FM2741" s="123"/>
      <c r="FN2741" s="123"/>
      <c r="FO2741" s="123"/>
      <c r="FP2741" s="123"/>
      <c r="FQ2741" s="123"/>
      <c r="FR2741" s="123"/>
      <c r="FS2741" s="123"/>
      <c r="FT2741" s="123"/>
      <c r="FU2741" s="123"/>
      <c r="FV2741" s="123"/>
      <c r="FW2741" s="123"/>
      <c r="FX2741" s="123"/>
      <c r="FY2741" s="123"/>
      <c r="FZ2741" s="123"/>
      <c r="GA2741" s="123"/>
      <c r="GB2741" s="123"/>
      <c r="GC2741" s="123"/>
      <c r="GD2741" s="123"/>
      <c r="GE2741" s="123"/>
      <c r="GF2741" s="123"/>
      <c r="GG2741" s="123"/>
      <c r="GH2741" s="123"/>
      <c r="GI2741" s="123"/>
      <c r="GJ2741" s="123"/>
      <c r="GK2741" s="123"/>
      <c r="GL2741" s="123"/>
      <c r="GM2741" s="123"/>
      <c r="GN2741" s="123"/>
      <c r="GO2741" s="123"/>
      <c r="GP2741" s="123"/>
      <c r="GQ2741" s="123"/>
      <c r="GR2741" s="123"/>
      <c r="GS2741" s="123"/>
      <c r="GT2741" s="123"/>
      <c r="GU2741" s="123"/>
      <c r="GV2741" s="123"/>
      <c r="GW2741" s="123"/>
      <c r="GX2741" s="123"/>
      <c r="GY2741" s="123"/>
      <c r="GZ2741" s="123"/>
      <c r="HA2741" s="123"/>
      <c r="HB2741" s="123"/>
      <c r="HC2741" s="123"/>
      <c r="HD2741" s="123"/>
      <c r="HE2741" s="123"/>
    </row>
    <row r="2742" spans="1:213" s="145" customFormat="1" ht="46.5" x14ac:dyDescent="0.35">
      <c r="A2742" s="281"/>
      <c r="B2742" s="281"/>
      <c r="C2742" s="298"/>
      <c r="D2742" s="257"/>
      <c r="E2742" s="281"/>
      <c r="F2742" s="281"/>
      <c r="G2742" s="259" t="s">
        <v>648</v>
      </c>
      <c r="H2742" s="151" t="s">
        <v>634</v>
      </c>
      <c r="I2742" s="149">
        <f>22681+9600</f>
        <v>32281</v>
      </c>
      <c r="J2742" s="149">
        <f>I2742/D2735</f>
        <v>3.16</v>
      </c>
      <c r="K2742" s="149">
        <f>32281/D2735</f>
        <v>3.16</v>
      </c>
      <c r="L2742" s="123"/>
      <c r="M2742" s="123"/>
      <c r="N2742" s="123"/>
      <c r="O2742" s="123"/>
      <c r="P2742" s="123"/>
      <c r="Q2742" s="123"/>
      <c r="R2742" s="123"/>
      <c r="S2742" s="123"/>
      <c r="T2742" s="123"/>
      <c r="U2742" s="123"/>
      <c r="V2742" s="123"/>
      <c r="W2742" s="123"/>
      <c r="X2742" s="123"/>
      <c r="Y2742" s="123"/>
      <c r="Z2742" s="123"/>
      <c r="AA2742" s="123"/>
      <c r="AB2742" s="123"/>
      <c r="AC2742" s="123"/>
      <c r="AD2742" s="123"/>
      <c r="AE2742" s="123"/>
      <c r="AF2742" s="123"/>
      <c r="AG2742" s="123"/>
      <c r="AH2742" s="123"/>
      <c r="AI2742" s="123"/>
      <c r="AJ2742" s="123"/>
      <c r="AK2742" s="123"/>
      <c r="AL2742" s="123"/>
      <c r="AM2742" s="123"/>
      <c r="AN2742" s="123"/>
      <c r="AO2742" s="123"/>
      <c r="AP2742" s="123"/>
      <c r="AQ2742" s="123"/>
      <c r="AR2742" s="123"/>
      <c r="AS2742" s="123"/>
      <c r="AT2742" s="123"/>
      <c r="AU2742" s="123"/>
      <c r="AV2742" s="123"/>
      <c r="AW2742" s="123"/>
      <c r="AX2742" s="123"/>
      <c r="AY2742" s="123"/>
      <c r="AZ2742" s="123"/>
      <c r="BA2742" s="123"/>
      <c r="BB2742" s="123"/>
      <c r="BC2742" s="123"/>
      <c r="BD2742" s="123"/>
      <c r="BE2742" s="123"/>
      <c r="BF2742" s="123"/>
      <c r="BG2742" s="123"/>
      <c r="BH2742" s="123"/>
      <c r="BI2742" s="123"/>
      <c r="BJ2742" s="123"/>
      <c r="BK2742" s="123"/>
      <c r="BL2742" s="123"/>
      <c r="BM2742" s="123"/>
      <c r="BN2742" s="123"/>
      <c r="BO2742" s="123"/>
      <c r="BP2742" s="123"/>
      <c r="BQ2742" s="123"/>
      <c r="BR2742" s="123"/>
      <c r="BS2742" s="123"/>
      <c r="BT2742" s="123"/>
      <c r="BU2742" s="123"/>
      <c r="BV2742" s="123"/>
      <c r="BW2742" s="123"/>
      <c r="BX2742" s="123"/>
      <c r="BY2742" s="123"/>
      <c r="BZ2742" s="123"/>
      <c r="CA2742" s="123"/>
      <c r="CB2742" s="123"/>
      <c r="CC2742" s="123"/>
      <c r="CD2742" s="123"/>
      <c r="CE2742" s="123"/>
      <c r="CF2742" s="123"/>
      <c r="CG2742" s="123"/>
      <c r="CH2742" s="123"/>
      <c r="CI2742" s="123"/>
      <c r="CJ2742" s="123"/>
      <c r="CK2742" s="123"/>
      <c r="CL2742" s="123"/>
      <c r="CM2742" s="123"/>
      <c r="CN2742" s="123"/>
      <c r="CO2742" s="123"/>
      <c r="CP2742" s="123"/>
      <c r="CQ2742" s="123"/>
      <c r="CR2742" s="123"/>
      <c r="CS2742" s="123"/>
      <c r="CT2742" s="123"/>
      <c r="CU2742" s="123"/>
      <c r="CV2742" s="123"/>
      <c r="CW2742" s="123"/>
      <c r="CX2742" s="123"/>
      <c r="CY2742" s="123"/>
      <c r="CZ2742" s="123"/>
      <c r="DA2742" s="123"/>
      <c r="DB2742" s="123"/>
      <c r="DC2742" s="123"/>
      <c r="DD2742" s="123"/>
      <c r="DE2742" s="123"/>
      <c r="DF2742" s="123"/>
      <c r="DG2742" s="123"/>
      <c r="DH2742" s="123"/>
      <c r="DI2742" s="123"/>
      <c r="DJ2742" s="123"/>
      <c r="DK2742" s="123"/>
      <c r="DL2742" s="123"/>
      <c r="DM2742" s="123"/>
      <c r="DN2742" s="123"/>
      <c r="DO2742" s="123"/>
      <c r="DP2742" s="123"/>
      <c r="DQ2742" s="123"/>
      <c r="DR2742" s="123"/>
      <c r="DS2742" s="123"/>
      <c r="DT2742" s="123"/>
      <c r="DU2742" s="123"/>
      <c r="DV2742" s="123"/>
      <c r="DW2742" s="123"/>
      <c r="DX2742" s="123"/>
      <c r="DY2742" s="123"/>
      <c r="DZ2742" s="123"/>
      <c r="EA2742" s="123"/>
      <c r="EB2742" s="123"/>
      <c r="EC2742" s="123"/>
      <c r="ED2742" s="123"/>
      <c r="EE2742" s="123"/>
      <c r="EF2742" s="123"/>
      <c r="EG2742" s="123"/>
      <c r="EH2742" s="123"/>
      <c r="EI2742" s="123"/>
      <c r="EJ2742" s="123"/>
      <c r="EK2742" s="123"/>
      <c r="EL2742" s="123"/>
      <c r="EM2742" s="123"/>
      <c r="EN2742" s="123"/>
      <c r="EO2742" s="123"/>
      <c r="EP2742" s="123"/>
      <c r="EQ2742" s="123"/>
      <c r="ER2742" s="123"/>
      <c r="ES2742" s="123"/>
      <c r="ET2742" s="123"/>
      <c r="EU2742" s="123"/>
      <c r="EV2742" s="123"/>
      <c r="EW2742" s="123"/>
      <c r="EX2742" s="123"/>
      <c r="EY2742" s="123"/>
      <c r="EZ2742" s="123"/>
      <c r="FA2742" s="123"/>
      <c r="FB2742" s="123"/>
      <c r="FC2742" s="123"/>
      <c r="FD2742" s="123"/>
      <c r="FE2742" s="123"/>
      <c r="FF2742" s="123"/>
      <c r="FG2742" s="123"/>
      <c r="FH2742" s="123"/>
      <c r="FI2742" s="123"/>
      <c r="FJ2742" s="123"/>
      <c r="FK2742" s="123"/>
      <c r="FL2742" s="123"/>
      <c r="FM2742" s="123"/>
      <c r="FN2742" s="123"/>
      <c r="FO2742" s="123"/>
      <c r="FP2742" s="123"/>
      <c r="FQ2742" s="123"/>
      <c r="FR2742" s="123"/>
      <c r="FS2742" s="123"/>
      <c r="FT2742" s="123"/>
      <c r="FU2742" s="123"/>
      <c r="FV2742" s="123"/>
      <c r="FW2742" s="123"/>
      <c r="FX2742" s="123"/>
      <c r="FY2742" s="123"/>
      <c r="FZ2742" s="123"/>
      <c r="GA2742" s="123"/>
      <c r="GB2742" s="123"/>
      <c r="GC2742" s="123"/>
      <c r="GD2742" s="123"/>
      <c r="GE2742" s="123"/>
      <c r="GF2742" s="123"/>
      <c r="GG2742" s="123"/>
      <c r="GH2742" s="123"/>
      <c r="GI2742" s="123"/>
      <c r="GJ2742" s="123"/>
      <c r="GK2742" s="123"/>
      <c r="GL2742" s="123"/>
      <c r="GM2742" s="123"/>
      <c r="GN2742" s="123"/>
      <c r="GO2742" s="123"/>
      <c r="GP2742" s="123"/>
      <c r="GQ2742" s="123"/>
      <c r="GR2742" s="123"/>
      <c r="GS2742" s="123"/>
      <c r="GT2742" s="123"/>
      <c r="GU2742" s="123"/>
      <c r="GV2742" s="123"/>
      <c r="GW2742" s="123"/>
      <c r="GX2742" s="123"/>
      <c r="GY2742" s="123"/>
      <c r="GZ2742" s="123"/>
      <c r="HA2742" s="123"/>
      <c r="HB2742" s="123"/>
      <c r="HC2742" s="123"/>
      <c r="HD2742" s="123"/>
      <c r="HE2742" s="123"/>
    </row>
    <row r="2743" spans="1:213" s="145" customFormat="1" x14ac:dyDescent="0.35">
      <c r="A2743" s="281"/>
      <c r="B2743" s="281"/>
      <c r="C2743" s="298"/>
      <c r="D2743" s="257"/>
      <c r="E2743" s="281"/>
      <c r="F2743" s="281"/>
      <c r="G2743" s="260"/>
      <c r="H2743" s="151" t="s">
        <v>642</v>
      </c>
      <c r="I2743" s="149">
        <v>1708823</v>
      </c>
      <c r="J2743" s="149">
        <f>I2743/D2735-0.01</f>
        <v>167.24</v>
      </c>
      <c r="K2743" s="149">
        <f>1708823/D2735</f>
        <v>167.25</v>
      </c>
      <c r="L2743" s="123"/>
      <c r="M2743" s="123"/>
      <c r="N2743" s="123"/>
      <c r="O2743" s="123"/>
      <c r="P2743" s="123"/>
      <c r="Q2743" s="123"/>
      <c r="R2743" s="123"/>
      <c r="S2743" s="123"/>
      <c r="T2743" s="123"/>
      <c r="U2743" s="123"/>
      <c r="V2743" s="123"/>
      <c r="W2743" s="123"/>
      <c r="X2743" s="123"/>
      <c r="Y2743" s="123"/>
      <c r="Z2743" s="123"/>
      <c r="AA2743" s="123"/>
      <c r="AB2743" s="123"/>
      <c r="AC2743" s="123"/>
      <c r="AD2743" s="123"/>
      <c r="AE2743" s="123"/>
      <c r="AF2743" s="123"/>
      <c r="AG2743" s="123"/>
      <c r="AH2743" s="123"/>
      <c r="AI2743" s="123"/>
      <c r="AJ2743" s="123"/>
      <c r="AK2743" s="123"/>
      <c r="AL2743" s="123"/>
      <c r="AM2743" s="123"/>
      <c r="AN2743" s="123"/>
      <c r="AO2743" s="123"/>
      <c r="AP2743" s="123"/>
      <c r="AQ2743" s="123"/>
      <c r="AR2743" s="123"/>
      <c r="AS2743" s="123"/>
      <c r="AT2743" s="123"/>
      <c r="AU2743" s="123"/>
      <c r="AV2743" s="123"/>
      <c r="AW2743" s="123"/>
      <c r="AX2743" s="123"/>
      <c r="AY2743" s="123"/>
      <c r="AZ2743" s="123"/>
      <c r="BA2743" s="123"/>
      <c r="BB2743" s="123"/>
      <c r="BC2743" s="123"/>
      <c r="BD2743" s="123"/>
      <c r="BE2743" s="123"/>
      <c r="BF2743" s="123"/>
      <c r="BG2743" s="123"/>
      <c r="BH2743" s="123"/>
      <c r="BI2743" s="123"/>
      <c r="BJ2743" s="123"/>
      <c r="BK2743" s="123"/>
      <c r="BL2743" s="123"/>
      <c r="BM2743" s="123"/>
      <c r="BN2743" s="123"/>
      <c r="BO2743" s="123"/>
      <c r="BP2743" s="123"/>
      <c r="BQ2743" s="123"/>
      <c r="BR2743" s="123"/>
      <c r="BS2743" s="123"/>
      <c r="BT2743" s="123"/>
      <c r="BU2743" s="123"/>
      <c r="BV2743" s="123"/>
      <c r="BW2743" s="123"/>
      <c r="BX2743" s="123"/>
      <c r="BY2743" s="123"/>
      <c r="BZ2743" s="123"/>
      <c r="CA2743" s="123"/>
      <c r="CB2743" s="123"/>
      <c r="CC2743" s="123"/>
      <c r="CD2743" s="123"/>
      <c r="CE2743" s="123"/>
      <c r="CF2743" s="123"/>
      <c r="CG2743" s="123"/>
      <c r="CH2743" s="123"/>
      <c r="CI2743" s="123"/>
      <c r="CJ2743" s="123"/>
      <c r="CK2743" s="123"/>
      <c r="CL2743" s="123"/>
      <c r="CM2743" s="123"/>
      <c r="CN2743" s="123"/>
      <c r="CO2743" s="123"/>
      <c r="CP2743" s="123"/>
      <c r="CQ2743" s="123"/>
      <c r="CR2743" s="123"/>
      <c r="CS2743" s="123"/>
      <c r="CT2743" s="123"/>
      <c r="CU2743" s="123"/>
      <c r="CV2743" s="123"/>
      <c r="CW2743" s="123"/>
      <c r="CX2743" s="123"/>
      <c r="CY2743" s="123"/>
      <c r="CZ2743" s="123"/>
      <c r="DA2743" s="123"/>
      <c r="DB2743" s="123"/>
      <c r="DC2743" s="123"/>
      <c r="DD2743" s="123"/>
      <c r="DE2743" s="123"/>
      <c r="DF2743" s="123"/>
      <c r="DG2743" s="123"/>
      <c r="DH2743" s="123"/>
      <c r="DI2743" s="123"/>
      <c r="DJ2743" s="123"/>
      <c r="DK2743" s="123"/>
      <c r="DL2743" s="123"/>
      <c r="DM2743" s="123"/>
      <c r="DN2743" s="123"/>
      <c r="DO2743" s="123"/>
      <c r="DP2743" s="123"/>
      <c r="DQ2743" s="123"/>
      <c r="DR2743" s="123"/>
      <c r="DS2743" s="123"/>
      <c r="DT2743" s="123"/>
      <c r="DU2743" s="123"/>
      <c r="DV2743" s="123"/>
      <c r="DW2743" s="123"/>
      <c r="DX2743" s="123"/>
      <c r="DY2743" s="123"/>
      <c r="DZ2743" s="123"/>
      <c r="EA2743" s="123"/>
      <c r="EB2743" s="123"/>
      <c r="EC2743" s="123"/>
      <c r="ED2743" s="123"/>
      <c r="EE2743" s="123"/>
      <c r="EF2743" s="123"/>
      <c r="EG2743" s="123"/>
      <c r="EH2743" s="123"/>
      <c r="EI2743" s="123"/>
      <c r="EJ2743" s="123"/>
      <c r="EK2743" s="123"/>
      <c r="EL2743" s="123"/>
      <c r="EM2743" s="123"/>
      <c r="EN2743" s="123"/>
      <c r="EO2743" s="123"/>
      <c r="EP2743" s="123"/>
      <c r="EQ2743" s="123"/>
      <c r="ER2743" s="123"/>
      <c r="ES2743" s="123"/>
      <c r="ET2743" s="123"/>
      <c r="EU2743" s="123"/>
      <c r="EV2743" s="123"/>
      <c r="EW2743" s="123"/>
      <c r="EX2743" s="123"/>
      <c r="EY2743" s="123"/>
      <c r="EZ2743" s="123"/>
      <c r="FA2743" s="123"/>
      <c r="FB2743" s="123"/>
      <c r="FC2743" s="123"/>
      <c r="FD2743" s="123"/>
      <c r="FE2743" s="123"/>
      <c r="FF2743" s="123"/>
      <c r="FG2743" s="123"/>
      <c r="FH2743" s="123"/>
      <c r="FI2743" s="123"/>
      <c r="FJ2743" s="123"/>
      <c r="FK2743" s="123"/>
      <c r="FL2743" s="123"/>
      <c r="FM2743" s="123"/>
      <c r="FN2743" s="123"/>
      <c r="FO2743" s="123"/>
      <c r="FP2743" s="123"/>
      <c r="FQ2743" s="123"/>
      <c r="FR2743" s="123"/>
      <c r="FS2743" s="123"/>
      <c r="FT2743" s="123"/>
      <c r="FU2743" s="123"/>
      <c r="FV2743" s="123"/>
      <c r="FW2743" s="123"/>
      <c r="FX2743" s="123"/>
      <c r="FY2743" s="123"/>
      <c r="FZ2743" s="123"/>
      <c r="GA2743" s="123"/>
      <c r="GB2743" s="123"/>
      <c r="GC2743" s="123"/>
      <c r="GD2743" s="123"/>
      <c r="GE2743" s="123"/>
      <c r="GF2743" s="123"/>
      <c r="GG2743" s="123"/>
      <c r="GH2743" s="123"/>
      <c r="GI2743" s="123"/>
      <c r="GJ2743" s="123"/>
      <c r="GK2743" s="123"/>
      <c r="GL2743" s="123"/>
      <c r="GM2743" s="123"/>
      <c r="GN2743" s="123"/>
      <c r="GO2743" s="123"/>
      <c r="GP2743" s="123"/>
      <c r="GQ2743" s="123"/>
      <c r="GR2743" s="123"/>
      <c r="GS2743" s="123"/>
      <c r="GT2743" s="123"/>
      <c r="GU2743" s="123"/>
      <c r="GV2743" s="123"/>
      <c r="GW2743" s="123"/>
      <c r="GX2743" s="123"/>
      <c r="GY2743" s="123"/>
      <c r="GZ2743" s="123"/>
      <c r="HA2743" s="123"/>
      <c r="HB2743" s="123"/>
      <c r="HC2743" s="123"/>
      <c r="HD2743" s="123"/>
      <c r="HE2743" s="123"/>
    </row>
    <row r="2744" spans="1:213" s="145" customFormat="1" x14ac:dyDescent="0.35">
      <c r="A2744" s="294"/>
      <c r="B2744" s="294"/>
      <c r="C2744" s="299"/>
      <c r="D2744" s="258"/>
      <c r="E2744" s="294"/>
      <c r="F2744" s="294"/>
      <c r="G2744" s="261"/>
      <c r="H2744" s="151" t="s">
        <v>75</v>
      </c>
      <c r="I2744" s="149">
        <v>0</v>
      </c>
      <c r="J2744" s="149">
        <v>0</v>
      </c>
      <c r="K2744" s="149">
        <f>36569/D2735-0.01</f>
        <v>3.57</v>
      </c>
      <c r="L2744" s="123"/>
      <c r="M2744" s="123"/>
      <c r="N2744" s="123"/>
      <c r="O2744" s="123"/>
      <c r="P2744" s="123"/>
      <c r="Q2744" s="123"/>
      <c r="R2744" s="123"/>
      <c r="S2744" s="123"/>
      <c r="T2744" s="123"/>
      <c r="U2744" s="123"/>
      <c r="V2744" s="123"/>
      <c r="W2744" s="123"/>
      <c r="X2744" s="123"/>
      <c r="Y2744" s="123"/>
      <c r="Z2744" s="123"/>
      <c r="AA2744" s="123"/>
      <c r="AB2744" s="123"/>
      <c r="AC2744" s="123"/>
      <c r="AD2744" s="123"/>
      <c r="AE2744" s="123"/>
      <c r="AF2744" s="123"/>
      <c r="AG2744" s="123"/>
      <c r="AH2744" s="123"/>
      <c r="AI2744" s="123"/>
      <c r="AJ2744" s="123"/>
      <c r="AK2744" s="123"/>
      <c r="AL2744" s="123"/>
      <c r="AM2744" s="123"/>
      <c r="AN2744" s="123"/>
      <c r="AO2744" s="123"/>
      <c r="AP2744" s="123"/>
      <c r="AQ2744" s="123"/>
      <c r="AR2744" s="123"/>
      <c r="AS2744" s="123"/>
      <c r="AT2744" s="123"/>
      <c r="AU2744" s="123"/>
      <c r="AV2744" s="123"/>
      <c r="AW2744" s="123"/>
      <c r="AX2744" s="123"/>
      <c r="AY2744" s="123"/>
      <c r="AZ2744" s="123"/>
      <c r="BA2744" s="123"/>
      <c r="BB2744" s="123"/>
      <c r="BC2744" s="123"/>
      <c r="BD2744" s="123"/>
      <c r="BE2744" s="123"/>
      <c r="BF2744" s="123"/>
      <c r="BG2744" s="123"/>
      <c r="BH2744" s="123"/>
      <c r="BI2744" s="123"/>
      <c r="BJ2744" s="123"/>
      <c r="BK2744" s="123"/>
      <c r="BL2744" s="123"/>
      <c r="BM2744" s="123"/>
      <c r="BN2744" s="123"/>
      <c r="BO2744" s="123"/>
      <c r="BP2744" s="123"/>
      <c r="BQ2744" s="123"/>
      <c r="BR2744" s="123"/>
      <c r="BS2744" s="123"/>
      <c r="BT2744" s="123"/>
      <c r="BU2744" s="123"/>
      <c r="BV2744" s="123"/>
      <c r="BW2744" s="123"/>
      <c r="BX2744" s="123"/>
      <c r="BY2744" s="123"/>
      <c r="BZ2744" s="123"/>
      <c r="CA2744" s="123"/>
      <c r="CB2744" s="123"/>
      <c r="CC2744" s="123"/>
      <c r="CD2744" s="123"/>
      <c r="CE2744" s="123"/>
      <c r="CF2744" s="123"/>
      <c r="CG2744" s="123"/>
      <c r="CH2744" s="123"/>
      <c r="CI2744" s="123"/>
      <c r="CJ2744" s="123"/>
      <c r="CK2744" s="123"/>
      <c r="CL2744" s="123"/>
      <c r="CM2744" s="123"/>
      <c r="CN2744" s="123"/>
      <c r="CO2744" s="123"/>
      <c r="CP2744" s="123"/>
      <c r="CQ2744" s="123"/>
      <c r="CR2744" s="123"/>
      <c r="CS2744" s="123"/>
      <c r="CT2744" s="123"/>
      <c r="CU2744" s="123"/>
      <c r="CV2744" s="123"/>
      <c r="CW2744" s="123"/>
      <c r="CX2744" s="123"/>
      <c r="CY2744" s="123"/>
      <c r="CZ2744" s="123"/>
      <c r="DA2744" s="123"/>
      <c r="DB2744" s="123"/>
      <c r="DC2744" s="123"/>
      <c r="DD2744" s="123"/>
      <c r="DE2744" s="123"/>
      <c r="DF2744" s="123"/>
      <c r="DG2744" s="123"/>
      <c r="DH2744" s="123"/>
      <c r="DI2744" s="123"/>
      <c r="DJ2744" s="123"/>
      <c r="DK2744" s="123"/>
      <c r="DL2744" s="123"/>
      <c r="DM2744" s="123"/>
      <c r="DN2744" s="123"/>
      <c r="DO2744" s="123"/>
      <c r="DP2744" s="123"/>
      <c r="DQ2744" s="123"/>
      <c r="DR2744" s="123"/>
      <c r="DS2744" s="123"/>
      <c r="DT2744" s="123"/>
      <c r="DU2744" s="123"/>
      <c r="DV2744" s="123"/>
      <c r="DW2744" s="123"/>
      <c r="DX2744" s="123"/>
      <c r="DY2744" s="123"/>
      <c r="DZ2744" s="123"/>
      <c r="EA2744" s="123"/>
      <c r="EB2744" s="123"/>
      <c r="EC2744" s="123"/>
      <c r="ED2744" s="123"/>
      <c r="EE2744" s="123"/>
      <c r="EF2744" s="123"/>
      <c r="EG2744" s="123"/>
      <c r="EH2744" s="123"/>
      <c r="EI2744" s="123"/>
      <c r="EJ2744" s="123"/>
      <c r="EK2744" s="123"/>
      <c r="EL2744" s="123"/>
      <c r="EM2744" s="123"/>
      <c r="EN2744" s="123"/>
      <c r="EO2744" s="123"/>
      <c r="EP2744" s="123"/>
      <c r="EQ2744" s="123"/>
      <c r="ER2744" s="123"/>
      <c r="ES2744" s="123"/>
      <c r="ET2744" s="123"/>
      <c r="EU2744" s="123"/>
      <c r="EV2744" s="123"/>
      <c r="EW2744" s="123"/>
      <c r="EX2744" s="123"/>
      <c r="EY2744" s="123"/>
      <c r="EZ2744" s="123"/>
      <c r="FA2744" s="123"/>
      <c r="FB2744" s="123"/>
      <c r="FC2744" s="123"/>
      <c r="FD2744" s="123"/>
      <c r="FE2744" s="123"/>
      <c r="FF2744" s="123"/>
      <c r="FG2744" s="123"/>
      <c r="FH2744" s="123"/>
      <c r="FI2744" s="123"/>
      <c r="FJ2744" s="123"/>
      <c r="FK2744" s="123"/>
      <c r="FL2744" s="123"/>
      <c r="FM2744" s="123"/>
      <c r="FN2744" s="123"/>
      <c r="FO2744" s="123"/>
      <c r="FP2744" s="123"/>
      <c r="FQ2744" s="123"/>
      <c r="FR2744" s="123"/>
      <c r="FS2744" s="123"/>
      <c r="FT2744" s="123"/>
      <c r="FU2744" s="123"/>
      <c r="FV2744" s="123"/>
      <c r="FW2744" s="123"/>
      <c r="FX2744" s="123"/>
      <c r="FY2744" s="123"/>
      <c r="FZ2744" s="123"/>
      <c r="GA2744" s="123"/>
      <c r="GB2744" s="123"/>
      <c r="GC2744" s="123"/>
      <c r="GD2744" s="123"/>
      <c r="GE2744" s="123"/>
      <c r="GF2744" s="123"/>
      <c r="GG2744" s="123"/>
      <c r="GH2744" s="123"/>
      <c r="GI2744" s="123"/>
      <c r="GJ2744" s="123"/>
      <c r="GK2744" s="123"/>
      <c r="GL2744" s="123"/>
      <c r="GM2744" s="123"/>
      <c r="GN2744" s="123"/>
      <c r="GO2744" s="123"/>
      <c r="GP2744" s="123"/>
      <c r="GQ2744" s="123"/>
      <c r="GR2744" s="123"/>
      <c r="GS2744" s="123"/>
      <c r="GT2744" s="123"/>
      <c r="GU2744" s="123"/>
      <c r="GV2744" s="123"/>
      <c r="GW2744" s="123"/>
      <c r="GX2744" s="123"/>
      <c r="GY2744" s="123"/>
      <c r="GZ2744" s="123"/>
      <c r="HA2744" s="123"/>
      <c r="HB2744" s="123"/>
      <c r="HC2744" s="123"/>
      <c r="HD2744" s="123"/>
      <c r="HE2744" s="123"/>
    </row>
    <row r="2745" spans="1:213" s="145" customFormat="1" x14ac:dyDescent="0.35">
      <c r="A2745" s="265">
        <f>A2735+1</f>
        <v>9</v>
      </c>
      <c r="B2745" s="265">
        <v>6143</v>
      </c>
      <c r="C2745" s="266" t="s">
        <v>626</v>
      </c>
      <c r="D2745" s="256">
        <v>1897.7</v>
      </c>
      <c r="E2745" s="256" t="s">
        <v>74</v>
      </c>
      <c r="F2745" s="280">
        <v>3</v>
      </c>
      <c r="G2745" s="265" t="s">
        <v>71</v>
      </c>
      <c r="H2745" s="151" t="s">
        <v>72</v>
      </c>
      <c r="I2745" s="149">
        <f>I2746+I2747</f>
        <v>742000.7</v>
      </c>
      <c r="J2745" s="149">
        <f>J2746+J2747</f>
        <v>391</v>
      </c>
      <c r="K2745" s="149">
        <f>K2746+K2747</f>
        <v>391</v>
      </c>
      <c r="L2745" s="123"/>
      <c r="M2745" s="123"/>
      <c r="N2745" s="123"/>
      <c r="O2745" s="123"/>
      <c r="P2745" s="123"/>
      <c r="Q2745" s="123"/>
      <c r="R2745" s="123"/>
      <c r="S2745" s="123"/>
      <c r="T2745" s="123"/>
      <c r="U2745" s="123"/>
      <c r="V2745" s="123"/>
      <c r="W2745" s="123"/>
      <c r="X2745" s="123"/>
      <c r="Y2745" s="123"/>
      <c r="Z2745" s="123"/>
      <c r="AA2745" s="123"/>
      <c r="AB2745" s="123"/>
      <c r="AC2745" s="123"/>
      <c r="AD2745" s="123"/>
      <c r="AE2745" s="123"/>
      <c r="AF2745" s="123"/>
      <c r="AG2745" s="123"/>
      <c r="AH2745" s="123"/>
      <c r="AI2745" s="123"/>
      <c r="AJ2745" s="123"/>
      <c r="AK2745" s="123"/>
      <c r="AL2745" s="123"/>
      <c r="AM2745" s="123"/>
      <c r="AN2745" s="123"/>
      <c r="AO2745" s="123"/>
      <c r="AP2745" s="123"/>
      <c r="AQ2745" s="123"/>
      <c r="AR2745" s="123"/>
      <c r="AS2745" s="123"/>
      <c r="AT2745" s="123"/>
      <c r="AU2745" s="123"/>
      <c r="AV2745" s="123"/>
      <c r="AW2745" s="123"/>
      <c r="AX2745" s="123"/>
      <c r="AY2745" s="123"/>
      <c r="AZ2745" s="123"/>
      <c r="BA2745" s="123"/>
      <c r="BB2745" s="123"/>
      <c r="BC2745" s="123"/>
      <c r="BD2745" s="123"/>
      <c r="BE2745" s="123"/>
      <c r="BF2745" s="123"/>
      <c r="BG2745" s="123"/>
      <c r="BH2745" s="123"/>
      <c r="BI2745" s="123"/>
      <c r="BJ2745" s="123"/>
      <c r="BK2745" s="123"/>
      <c r="BL2745" s="123"/>
      <c r="BM2745" s="123"/>
      <c r="BN2745" s="123"/>
      <c r="BO2745" s="123"/>
      <c r="BP2745" s="123"/>
      <c r="BQ2745" s="123"/>
      <c r="BR2745" s="123"/>
      <c r="BS2745" s="123"/>
      <c r="BT2745" s="123"/>
      <c r="BU2745" s="123"/>
      <c r="BV2745" s="123"/>
      <c r="BW2745" s="123"/>
      <c r="BX2745" s="123"/>
      <c r="BY2745" s="123"/>
      <c r="BZ2745" s="123"/>
      <c r="CA2745" s="123"/>
      <c r="CB2745" s="123"/>
      <c r="CC2745" s="123"/>
      <c r="CD2745" s="123"/>
      <c r="CE2745" s="123"/>
      <c r="CF2745" s="123"/>
      <c r="CG2745" s="123"/>
      <c r="CH2745" s="123"/>
      <c r="CI2745" s="123"/>
      <c r="CJ2745" s="123"/>
      <c r="CK2745" s="123"/>
      <c r="CL2745" s="123"/>
      <c r="CM2745" s="123"/>
      <c r="CN2745" s="123"/>
      <c r="CO2745" s="123"/>
      <c r="CP2745" s="123"/>
      <c r="CQ2745" s="123"/>
      <c r="CR2745" s="123"/>
      <c r="CS2745" s="123"/>
      <c r="CT2745" s="123"/>
      <c r="CU2745" s="123"/>
      <c r="CV2745" s="123"/>
      <c r="CW2745" s="123"/>
      <c r="CX2745" s="123"/>
      <c r="CY2745" s="123"/>
      <c r="CZ2745" s="123"/>
      <c r="DA2745" s="123"/>
      <c r="DB2745" s="123"/>
      <c r="DC2745" s="123"/>
      <c r="DD2745" s="123"/>
      <c r="DE2745" s="123"/>
      <c r="DF2745" s="123"/>
      <c r="DG2745" s="123"/>
      <c r="DH2745" s="123"/>
      <c r="DI2745" s="123"/>
      <c r="DJ2745" s="123"/>
      <c r="DK2745" s="123"/>
      <c r="DL2745" s="123"/>
      <c r="DM2745" s="123"/>
      <c r="DN2745" s="123"/>
      <c r="DO2745" s="123"/>
      <c r="DP2745" s="123"/>
      <c r="DQ2745" s="123"/>
      <c r="DR2745" s="123"/>
      <c r="DS2745" s="123"/>
      <c r="DT2745" s="123"/>
      <c r="DU2745" s="123"/>
      <c r="DV2745" s="123"/>
      <c r="DW2745" s="123"/>
      <c r="DX2745" s="123"/>
      <c r="DY2745" s="123"/>
      <c r="DZ2745" s="123"/>
      <c r="EA2745" s="123"/>
      <c r="EB2745" s="123"/>
      <c r="EC2745" s="123"/>
      <c r="ED2745" s="123"/>
      <c r="EE2745" s="123"/>
      <c r="EF2745" s="123"/>
      <c r="EG2745" s="123"/>
      <c r="EH2745" s="123"/>
      <c r="EI2745" s="123"/>
      <c r="EJ2745" s="123"/>
      <c r="EK2745" s="123"/>
      <c r="EL2745" s="123"/>
      <c r="EM2745" s="123"/>
      <c r="EN2745" s="123"/>
      <c r="EO2745" s="123"/>
      <c r="EP2745" s="123"/>
      <c r="EQ2745" s="123"/>
      <c r="ER2745" s="123"/>
      <c r="ES2745" s="123"/>
      <c r="ET2745" s="123"/>
      <c r="EU2745" s="123"/>
      <c r="EV2745" s="123"/>
      <c r="EW2745" s="123"/>
      <c r="EX2745" s="123"/>
      <c r="EY2745" s="123"/>
      <c r="EZ2745" s="123"/>
      <c r="FA2745" s="123"/>
      <c r="FB2745" s="123"/>
      <c r="FC2745" s="123"/>
      <c r="FD2745" s="123"/>
      <c r="FE2745" s="123"/>
      <c r="FF2745" s="123"/>
      <c r="FG2745" s="123"/>
      <c r="FH2745" s="123"/>
      <c r="FI2745" s="123"/>
      <c r="FJ2745" s="123"/>
      <c r="FK2745" s="123"/>
      <c r="FL2745" s="123"/>
      <c r="FM2745" s="123"/>
      <c r="FN2745" s="123"/>
      <c r="FO2745" s="123"/>
      <c r="FP2745" s="123"/>
      <c r="FQ2745" s="123"/>
      <c r="FR2745" s="123"/>
      <c r="FS2745" s="123"/>
      <c r="FT2745" s="123"/>
      <c r="FU2745" s="123"/>
      <c r="FV2745" s="123"/>
      <c r="FW2745" s="123"/>
      <c r="FX2745" s="123"/>
      <c r="FY2745" s="123"/>
      <c r="FZ2745" s="123"/>
      <c r="GA2745" s="123"/>
      <c r="GB2745" s="123"/>
      <c r="GC2745" s="123"/>
      <c r="GD2745" s="123"/>
      <c r="GE2745" s="123"/>
      <c r="GF2745" s="123"/>
      <c r="GG2745" s="123"/>
      <c r="GH2745" s="123"/>
      <c r="GI2745" s="123"/>
      <c r="GJ2745" s="123"/>
      <c r="GK2745" s="123"/>
      <c r="GL2745" s="123"/>
      <c r="GM2745" s="123"/>
      <c r="GN2745" s="123"/>
      <c r="GO2745" s="123"/>
      <c r="GP2745" s="123"/>
      <c r="GQ2745" s="123"/>
      <c r="GR2745" s="123"/>
      <c r="GS2745" s="123"/>
      <c r="GT2745" s="123"/>
      <c r="GU2745" s="123"/>
      <c r="GV2745" s="123"/>
      <c r="GW2745" s="123"/>
      <c r="GX2745" s="123"/>
      <c r="GY2745" s="123"/>
      <c r="GZ2745" s="123"/>
      <c r="HA2745" s="123"/>
      <c r="HB2745" s="123"/>
      <c r="HC2745" s="123"/>
      <c r="HD2745" s="123"/>
      <c r="HE2745" s="123"/>
    </row>
    <row r="2746" spans="1:213" s="145" customFormat="1" ht="46.5" x14ac:dyDescent="0.35">
      <c r="A2746" s="265"/>
      <c r="B2746" s="265"/>
      <c r="C2746" s="266"/>
      <c r="D2746" s="257"/>
      <c r="E2746" s="257"/>
      <c r="F2746" s="281"/>
      <c r="G2746" s="265"/>
      <c r="H2746" s="136" t="s">
        <v>673</v>
      </c>
      <c r="I2746" s="149">
        <f>D2745*K2746</f>
        <v>453550.3</v>
      </c>
      <c r="J2746" s="149">
        <f>I2746/D2745</f>
        <v>239</v>
      </c>
      <c r="K2746" s="149">
        <f>151+88</f>
        <v>239</v>
      </c>
      <c r="L2746" s="123"/>
      <c r="M2746" s="123"/>
      <c r="N2746" s="123"/>
      <c r="O2746" s="123"/>
      <c r="P2746" s="123"/>
      <c r="Q2746" s="123"/>
      <c r="R2746" s="123"/>
      <c r="S2746" s="123"/>
      <c r="T2746" s="123"/>
      <c r="U2746" s="123"/>
      <c r="V2746" s="123"/>
      <c r="W2746" s="123"/>
      <c r="X2746" s="123"/>
      <c r="Y2746" s="123"/>
      <c r="Z2746" s="123"/>
      <c r="AA2746" s="123"/>
      <c r="AB2746" s="123"/>
      <c r="AC2746" s="123"/>
      <c r="AD2746" s="123"/>
      <c r="AE2746" s="123"/>
      <c r="AF2746" s="123"/>
      <c r="AG2746" s="123"/>
      <c r="AH2746" s="123"/>
      <c r="AI2746" s="123"/>
      <c r="AJ2746" s="123"/>
      <c r="AK2746" s="123"/>
      <c r="AL2746" s="123"/>
      <c r="AM2746" s="123"/>
      <c r="AN2746" s="123"/>
      <c r="AO2746" s="123"/>
      <c r="AP2746" s="123"/>
      <c r="AQ2746" s="123"/>
      <c r="AR2746" s="123"/>
      <c r="AS2746" s="123"/>
      <c r="AT2746" s="123"/>
      <c r="AU2746" s="123"/>
      <c r="AV2746" s="123"/>
      <c r="AW2746" s="123"/>
      <c r="AX2746" s="123"/>
      <c r="AY2746" s="123"/>
      <c r="AZ2746" s="123"/>
      <c r="BA2746" s="123"/>
      <c r="BB2746" s="123"/>
      <c r="BC2746" s="123"/>
      <c r="BD2746" s="123"/>
      <c r="BE2746" s="123"/>
      <c r="BF2746" s="123"/>
      <c r="BG2746" s="123"/>
      <c r="BH2746" s="123"/>
      <c r="BI2746" s="123"/>
      <c r="BJ2746" s="123"/>
      <c r="BK2746" s="123"/>
      <c r="BL2746" s="123"/>
      <c r="BM2746" s="123"/>
      <c r="BN2746" s="123"/>
      <c r="BO2746" s="123"/>
      <c r="BP2746" s="123"/>
      <c r="BQ2746" s="123"/>
      <c r="BR2746" s="123"/>
      <c r="BS2746" s="123"/>
      <c r="BT2746" s="123"/>
      <c r="BU2746" s="123"/>
      <c r="BV2746" s="123"/>
      <c r="BW2746" s="123"/>
      <c r="BX2746" s="123"/>
      <c r="BY2746" s="123"/>
      <c r="BZ2746" s="123"/>
      <c r="CA2746" s="123"/>
      <c r="CB2746" s="123"/>
      <c r="CC2746" s="123"/>
      <c r="CD2746" s="123"/>
      <c r="CE2746" s="123"/>
      <c r="CF2746" s="123"/>
      <c r="CG2746" s="123"/>
      <c r="CH2746" s="123"/>
      <c r="CI2746" s="123"/>
      <c r="CJ2746" s="123"/>
      <c r="CK2746" s="123"/>
      <c r="CL2746" s="123"/>
      <c r="CM2746" s="123"/>
      <c r="CN2746" s="123"/>
      <c r="CO2746" s="123"/>
      <c r="CP2746" s="123"/>
      <c r="CQ2746" s="123"/>
      <c r="CR2746" s="123"/>
      <c r="CS2746" s="123"/>
      <c r="CT2746" s="123"/>
      <c r="CU2746" s="123"/>
      <c r="CV2746" s="123"/>
      <c r="CW2746" s="123"/>
      <c r="CX2746" s="123"/>
      <c r="CY2746" s="123"/>
      <c r="CZ2746" s="123"/>
      <c r="DA2746" s="123"/>
      <c r="DB2746" s="123"/>
      <c r="DC2746" s="123"/>
      <c r="DD2746" s="123"/>
      <c r="DE2746" s="123"/>
      <c r="DF2746" s="123"/>
      <c r="DG2746" s="123"/>
      <c r="DH2746" s="123"/>
      <c r="DI2746" s="123"/>
      <c r="DJ2746" s="123"/>
      <c r="DK2746" s="123"/>
      <c r="DL2746" s="123"/>
      <c r="DM2746" s="123"/>
      <c r="DN2746" s="123"/>
      <c r="DO2746" s="123"/>
      <c r="DP2746" s="123"/>
      <c r="DQ2746" s="123"/>
      <c r="DR2746" s="123"/>
      <c r="DS2746" s="123"/>
      <c r="DT2746" s="123"/>
      <c r="DU2746" s="123"/>
      <c r="DV2746" s="123"/>
      <c r="DW2746" s="123"/>
      <c r="DX2746" s="123"/>
      <c r="DY2746" s="123"/>
      <c r="DZ2746" s="123"/>
      <c r="EA2746" s="123"/>
      <c r="EB2746" s="123"/>
      <c r="EC2746" s="123"/>
      <c r="ED2746" s="123"/>
      <c r="EE2746" s="123"/>
      <c r="EF2746" s="123"/>
      <c r="EG2746" s="123"/>
      <c r="EH2746" s="123"/>
      <c r="EI2746" s="123"/>
      <c r="EJ2746" s="123"/>
      <c r="EK2746" s="123"/>
      <c r="EL2746" s="123"/>
      <c r="EM2746" s="123"/>
      <c r="EN2746" s="123"/>
      <c r="EO2746" s="123"/>
      <c r="EP2746" s="123"/>
      <c r="EQ2746" s="123"/>
      <c r="ER2746" s="123"/>
      <c r="ES2746" s="123"/>
      <c r="ET2746" s="123"/>
      <c r="EU2746" s="123"/>
      <c r="EV2746" s="123"/>
      <c r="EW2746" s="123"/>
      <c r="EX2746" s="123"/>
      <c r="EY2746" s="123"/>
      <c r="EZ2746" s="123"/>
      <c r="FA2746" s="123"/>
      <c r="FB2746" s="123"/>
      <c r="FC2746" s="123"/>
      <c r="FD2746" s="123"/>
      <c r="FE2746" s="123"/>
      <c r="FF2746" s="123"/>
      <c r="FG2746" s="123"/>
      <c r="FH2746" s="123"/>
      <c r="FI2746" s="123"/>
      <c r="FJ2746" s="123"/>
      <c r="FK2746" s="123"/>
      <c r="FL2746" s="123"/>
      <c r="FM2746" s="123"/>
      <c r="FN2746" s="123"/>
      <c r="FO2746" s="123"/>
      <c r="FP2746" s="123"/>
      <c r="FQ2746" s="123"/>
      <c r="FR2746" s="123"/>
      <c r="FS2746" s="123"/>
      <c r="FT2746" s="123"/>
      <c r="FU2746" s="123"/>
      <c r="FV2746" s="123"/>
      <c r="FW2746" s="123"/>
      <c r="FX2746" s="123"/>
      <c r="FY2746" s="123"/>
      <c r="FZ2746" s="123"/>
      <c r="GA2746" s="123"/>
      <c r="GB2746" s="123"/>
      <c r="GC2746" s="123"/>
      <c r="GD2746" s="123"/>
      <c r="GE2746" s="123"/>
      <c r="GF2746" s="123"/>
      <c r="GG2746" s="123"/>
      <c r="GH2746" s="123"/>
      <c r="GI2746" s="123"/>
      <c r="GJ2746" s="123"/>
      <c r="GK2746" s="123"/>
      <c r="GL2746" s="123"/>
      <c r="GM2746" s="123"/>
      <c r="GN2746" s="123"/>
      <c r="GO2746" s="123"/>
      <c r="GP2746" s="123"/>
      <c r="GQ2746" s="123"/>
      <c r="GR2746" s="123"/>
      <c r="GS2746" s="123"/>
      <c r="GT2746" s="123"/>
      <c r="GU2746" s="123"/>
      <c r="GV2746" s="123"/>
      <c r="GW2746" s="123"/>
      <c r="GX2746" s="123"/>
      <c r="GY2746" s="123"/>
      <c r="GZ2746" s="123"/>
      <c r="HA2746" s="123"/>
      <c r="HB2746" s="123"/>
      <c r="HC2746" s="123"/>
      <c r="HD2746" s="123"/>
      <c r="HE2746" s="123"/>
    </row>
    <row r="2747" spans="1:213" s="145" customFormat="1" ht="108.5" x14ac:dyDescent="0.35">
      <c r="A2747" s="265"/>
      <c r="B2747" s="265"/>
      <c r="C2747" s="266"/>
      <c r="D2747" s="258"/>
      <c r="E2747" s="258"/>
      <c r="F2747" s="294"/>
      <c r="G2747" s="153" t="s">
        <v>108</v>
      </c>
      <c r="H2747" s="151" t="s">
        <v>634</v>
      </c>
      <c r="I2747" s="149">
        <f>D2745*K2747</f>
        <v>288450.40000000002</v>
      </c>
      <c r="J2747" s="149">
        <f>I2747/D2745</f>
        <v>152</v>
      </c>
      <c r="K2747" s="149">
        <f>112+40</f>
        <v>152</v>
      </c>
      <c r="L2747" s="123"/>
      <c r="M2747" s="123"/>
      <c r="N2747" s="123"/>
      <c r="O2747" s="123"/>
      <c r="P2747" s="123"/>
      <c r="Q2747" s="123"/>
      <c r="R2747" s="123"/>
      <c r="S2747" s="123"/>
      <c r="T2747" s="123"/>
      <c r="U2747" s="123"/>
      <c r="V2747" s="123"/>
      <c r="W2747" s="123"/>
      <c r="X2747" s="123"/>
      <c r="Y2747" s="123"/>
      <c r="Z2747" s="123"/>
      <c r="AA2747" s="123"/>
      <c r="AB2747" s="123"/>
      <c r="AC2747" s="123"/>
      <c r="AD2747" s="123"/>
      <c r="AE2747" s="123"/>
      <c r="AF2747" s="123"/>
      <c r="AG2747" s="123"/>
      <c r="AH2747" s="123"/>
      <c r="AI2747" s="123"/>
      <c r="AJ2747" s="123"/>
      <c r="AK2747" s="123"/>
      <c r="AL2747" s="123"/>
      <c r="AM2747" s="123"/>
      <c r="AN2747" s="123"/>
      <c r="AO2747" s="123"/>
      <c r="AP2747" s="123"/>
      <c r="AQ2747" s="123"/>
      <c r="AR2747" s="123"/>
      <c r="AS2747" s="123"/>
      <c r="AT2747" s="123"/>
      <c r="AU2747" s="123"/>
      <c r="AV2747" s="123"/>
      <c r="AW2747" s="123"/>
      <c r="AX2747" s="123"/>
      <c r="AY2747" s="123"/>
      <c r="AZ2747" s="123"/>
      <c r="BA2747" s="123"/>
      <c r="BB2747" s="123"/>
      <c r="BC2747" s="123"/>
      <c r="BD2747" s="123"/>
      <c r="BE2747" s="123"/>
      <c r="BF2747" s="123"/>
      <c r="BG2747" s="123"/>
      <c r="BH2747" s="123"/>
      <c r="BI2747" s="123"/>
      <c r="BJ2747" s="123"/>
      <c r="BK2747" s="123"/>
      <c r="BL2747" s="123"/>
      <c r="BM2747" s="123"/>
      <c r="BN2747" s="123"/>
      <c r="BO2747" s="123"/>
      <c r="BP2747" s="123"/>
      <c r="BQ2747" s="123"/>
      <c r="BR2747" s="123"/>
      <c r="BS2747" s="123"/>
      <c r="BT2747" s="123"/>
      <c r="BU2747" s="123"/>
      <c r="BV2747" s="123"/>
      <c r="BW2747" s="123"/>
      <c r="BX2747" s="123"/>
      <c r="BY2747" s="123"/>
      <c r="BZ2747" s="123"/>
      <c r="CA2747" s="123"/>
      <c r="CB2747" s="123"/>
      <c r="CC2747" s="123"/>
      <c r="CD2747" s="123"/>
      <c r="CE2747" s="123"/>
      <c r="CF2747" s="123"/>
      <c r="CG2747" s="123"/>
      <c r="CH2747" s="123"/>
      <c r="CI2747" s="123"/>
      <c r="CJ2747" s="123"/>
      <c r="CK2747" s="123"/>
      <c r="CL2747" s="123"/>
      <c r="CM2747" s="123"/>
      <c r="CN2747" s="123"/>
      <c r="CO2747" s="123"/>
      <c r="CP2747" s="123"/>
      <c r="CQ2747" s="123"/>
      <c r="CR2747" s="123"/>
      <c r="CS2747" s="123"/>
      <c r="CT2747" s="123"/>
      <c r="CU2747" s="123"/>
      <c r="CV2747" s="123"/>
      <c r="CW2747" s="123"/>
      <c r="CX2747" s="123"/>
      <c r="CY2747" s="123"/>
      <c r="CZ2747" s="123"/>
      <c r="DA2747" s="123"/>
      <c r="DB2747" s="123"/>
      <c r="DC2747" s="123"/>
      <c r="DD2747" s="123"/>
      <c r="DE2747" s="123"/>
      <c r="DF2747" s="123"/>
      <c r="DG2747" s="123"/>
      <c r="DH2747" s="123"/>
      <c r="DI2747" s="123"/>
      <c r="DJ2747" s="123"/>
      <c r="DK2747" s="123"/>
      <c r="DL2747" s="123"/>
      <c r="DM2747" s="123"/>
      <c r="DN2747" s="123"/>
      <c r="DO2747" s="123"/>
      <c r="DP2747" s="123"/>
      <c r="DQ2747" s="123"/>
      <c r="DR2747" s="123"/>
      <c r="DS2747" s="123"/>
      <c r="DT2747" s="123"/>
      <c r="DU2747" s="123"/>
      <c r="DV2747" s="123"/>
      <c r="DW2747" s="123"/>
      <c r="DX2747" s="123"/>
      <c r="DY2747" s="123"/>
      <c r="DZ2747" s="123"/>
      <c r="EA2747" s="123"/>
      <c r="EB2747" s="123"/>
      <c r="EC2747" s="123"/>
      <c r="ED2747" s="123"/>
      <c r="EE2747" s="123"/>
      <c r="EF2747" s="123"/>
      <c r="EG2747" s="123"/>
      <c r="EH2747" s="123"/>
      <c r="EI2747" s="123"/>
      <c r="EJ2747" s="123"/>
      <c r="EK2747" s="123"/>
      <c r="EL2747" s="123"/>
      <c r="EM2747" s="123"/>
      <c r="EN2747" s="123"/>
      <c r="EO2747" s="123"/>
      <c r="EP2747" s="123"/>
      <c r="EQ2747" s="123"/>
      <c r="ER2747" s="123"/>
      <c r="ES2747" s="123"/>
      <c r="ET2747" s="123"/>
      <c r="EU2747" s="123"/>
      <c r="EV2747" s="123"/>
      <c r="EW2747" s="123"/>
      <c r="EX2747" s="123"/>
      <c r="EY2747" s="123"/>
      <c r="EZ2747" s="123"/>
      <c r="FA2747" s="123"/>
      <c r="FB2747" s="123"/>
      <c r="FC2747" s="123"/>
      <c r="FD2747" s="123"/>
      <c r="FE2747" s="123"/>
      <c r="FF2747" s="123"/>
      <c r="FG2747" s="123"/>
      <c r="FH2747" s="123"/>
      <c r="FI2747" s="123"/>
      <c r="FJ2747" s="123"/>
      <c r="FK2747" s="123"/>
      <c r="FL2747" s="123"/>
      <c r="FM2747" s="123"/>
      <c r="FN2747" s="123"/>
      <c r="FO2747" s="123"/>
      <c r="FP2747" s="123"/>
      <c r="FQ2747" s="123"/>
      <c r="FR2747" s="123"/>
      <c r="FS2747" s="123"/>
      <c r="FT2747" s="123"/>
      <c r="FU2747" s="123"/>
      <c r="FV2747" s="123"/>
      <c r="FW2747" s="123"/>
      <c r="FX2747" s="123"/>
      <c r="FY2747" s="123"/>
      <c r="FZ2747" s="123"/>
      <c r="GA2747" s="123"/>
      <c r="GB2747" s="123"/>
      <c r="GC2747" s="123"/>
      <c r="GD2747" s="123"/>
      <c r="GE2747" s="123"/>
      <c r="GF2747" s="123"/>
      <c r="GG2747" s="123"/>
      <c r="GH2747" s="123"/>
      <c r="GI2747" s="123"/>
      <c r="GJ2747" s="123"/>
      <c r="GK2747" s="123"/>
      <c r="GL2747" s="123"/>
      <c r="GM2747" s="123"/>
      <c r="GN2747" s="123"/>
      <c r="GO2747" s="123"/>
      <c r="GP2747" s="123"/>
      <c r="GQ2747" s="123"/>
      <c r="GR2747" s="123"/>
      <c r="GS2747" s="123"/>
      <c r="GT2747" s="123"/>
      <c r="GU2747" s="123"/>
      <c r="GV2747" s="123"/>
      <c r="GW2747" s="123"/>
      <c r="GX2747" s="123"/>
      <c r="GY2747" s="123"/>
      <c r="GZ2747" s="123"/>
      <c r="HA2747" s="123"/>
      <c r="HB2747" s="123"/>
      <c r="HC2747" s="123"/>
      <c r="HD2747" s="123"/>
      <c r="HE2747" s="123"/>
    </row>
    <row r="2748" spans="1:213" s="145" customFormat="1" ht="15.5" customHeight="1" x14ac:dyDescent="0.35">
      <c r="A2748" s="259">
        <f>A2745+1</f>
        <v>10</v>
      </c>
      <c r="B2748" s="259">
        <v>6191</v>
      </c>
      <c r="C2748" s="262" t="s">
        <v>829</v>
      </c>
      <c r="D2748" s="256">
        <v>2428.1999999999998</v>
      </c>
      <c r="E2748" s="259" t="s">
        <v>74</v>
      </c>
      <c r="F2748" s="259">
        <v>9</v>
      </c>
      <c r="G2748" s="259" t="s">
        <v>641</v>
      </c>
      <c r="H2748" s="186" t="s">
        <v>72</v>
      </c>
      <c r="I2748" s="149">
        <f>SUM(I2749:I2751)</f>
        <v>1741104</v>
      </c>
      <c r="J2748" s="149">
        <f>SUM(J2749:J2751)</f>
        <v>717.03</v>
      </c>
      <c r="K2748" s="149">
        <f>SUM(K2749:K2751)</f>
        <v>732.09</v>
      </c>
      <c r="L2748" s="123"/>
      <c r="M2748" s="123"/>
      <c r="N2748" s="123"/>
      <c r="O2748" s="123"/>
      <c r="P2748" s="123"/>
      <c r="Q2748" s="123"/>
      <c r="R2748" s="123"/>
      <c r="S2748" s="123"/>
      <c r="T2748" s="123"/>
      <c r="U2748" s="123"/>
      <c r="V2748" s="123"/>
      <c r="W2748" s="123"/>
      <c r="X2748" s="123"/>
      <c r="Y2748" s="123"/>
      <c r="Z2748" s="123"/>
      <c r="AA2748" s="123"/>
      <c r="AB2748" s="123"/>
      <c r="AC2748" s="123"/>
      <c r="AD2748" s="123"/>
      <c r="AE2748" s="123"/>
      <c r="AF2748" s="123"/>
      <c r="AG2748" s="123"/>
      <c r="AH2748" s="123"/>
      <c r="AI2748" s="123"/>
      <c r="AJ2748" s="123"/>
      <c r="AK2748" s="123"/>
      <c r="AL2748" s="123"/>
      <c r="AM2748" s="123"/>
      <c r="AN2748" s="123"/>
      <c r="AO2748" s="123"/>
      <c r="AP2748" s="123"/>
      <c r="AQ2748" s="123"/>
      <c r="AR2748" s="123"/>
      <c r="AS2748" s="123"/>
      <c r="AT2748" s="123"/>
      <c r="AU2748" s="123"/>
      <c r="AV2748" s="123"/>
      <c r="AW2748" s="123"/>
      <c r="AX2748" s="123"/>
      <c r="AY2748" s="123"/>
      <c r="AZ2748" s="123"/>
      <c r="BA2748" s="123"/>
      <c r="BB2748" s="123"/>
      <c r="BC2748" s="123"/>
      <c r="BD2748" s="123"/>
      <c r="BE2748" s="123"/>
      <c r="BF2748" s="123"/>
      <c r="BG2748" s="123"/>
      <c r="BH2748" s="123"/>
      <c r="BI2748" s="123"/>
      <c r="BJ2748" s="123"/>
      <c r="BK2748" s="123"/>
      <c r="BL2748" s="123"/>
      <c r="BM2748" s="123"/>
      <c r="BN2748" s="123"/>
      <c r="BO2748" s="123"/>
      <c r="BP2748" s="123"/>
      <c r="BQ2748" s="123"/>
      <c r="BR2748" s="123"/>
      <c r="BS2748" s="123"/>
      <c r="BT2748" s="123"/>
      <c r="BU2748" s="123"/>
      <c r="BV2748" s="123"/>
      <c r="BW2748" s="123"/>
      <c r="BX2748" s="123"/>
      <c r="BY2748" s="123"/>
      <c r="BZ2748" s="123"/>
      <c r="CA2748" s="123"/>
      <c r="CB2748" s="123"/>
      <c r="CC2748" s="123"/>
      <c r="CD2748" s="123"/>
      <c r="CE2748" s="123"/>
      <c r="CF2748" s="123"/>
      <c r="CG2748" s="123"/>
      <c r="CH2748" s="123"/>
      <c r="CI2748" s="123"/>
      <c r="CJ2748" s="123"/>
      <c r="CK2748" s="123"/>
      <c r="CL2748" s="123"/>
      <c r="CM2748" s="123"/>
      <c r="CN2748" s="123"/>
      <c r="CO2748" s="123"/>
      <c r="CP2748" s="123"/>
      <c r="CQ2748" s="123"/>
      <c r="CR2748" s="123"/>
      <c r="CS2748" s="123"/>
      <c r="CT2748" s="123"/>
      <c r="CU2748" s="123"/>
      <c r="CV2748" s="123"/>
      <c r="CW2748" s="123"/>
      <c r="CX2748" s="123"/>
      <c r="CY2748" s="123"/>
      <c r="CZ2748" s="123"/>
      <c r="DA2748" s="123"/>
      <c r="DB2748" s="123"/>
      <c r="DC2748" s="123"/>
      <c r="DD2748" s="123"/>
      <c r="DE2748" s="123"/>
      <c r="DF2748" s="123"/>
      <c r="DG2748" s="123"/>
      <c r="DH2748" s="123"/>
      <c r="DI2748" s="123"/>
      <c r="DJ2748" s="123"/>
      <c r="DK2748" s="123"/>
      <c r="DL2748" s="123"/>
      <c r="DM2748" s="123"/>
      <c r="DN2748" s="123"/>
      <c r="DO2748" s="123"/>
      <c r="DP2748" s="123"/>
      <c r="DQ2748" s="123"/>
      <c r="DR2748" s="123"/>
      <c r="DS2748" s="123"/>
      <c r="DT2748" s="123"/>
      <c r="DU2748" s="123"/>
      <c r="DV2748" s="123"/>
      <c r="DW2748" s="123"/>
      <c r="DX2748" s="123"/>
      <c r="DY2748" s="123"/>
      <c r="DZ2748" s="123"/>
      <c r="EA2748" s="123"/>
      <c r="EB2748" s="123"/>
      <c r="EC2748" s="123"/>
      <c r="ED2748" s="123"/>
      <c r="EE2748" s="123"/>
      <c r="EF2748" s="123"/>
      <c r="EG2748" s="123"/>
      <c r="EH2748" s="123"/>
      <c r="EI2748" s="123"/>
      <c r="EJ2748" s="123"/>
      <c r="EK2748" s="123"/>
      <c r="EL2748" s="123"/>
      <c r="EM2748" s="123"/>
      <c r="EN2748" s="123"/>
      <c r="EO2748" s="123"/>
      <c r="EP2748" s="123"/>
      <c r="EQ2748" s="123"/>
      <c r="ER2748" s="123"/>
      <c r="ES2748" s="123"/>
      <c r="ET2748" s="123"/>
      <c r="EU2748" s="123"/>
      <c r="EV2748" s="123"/>
      <c r="EW2748" s="123"/>
      <c r="EX2748" s="123"/>
      <c r="EY2748" s="123"/>
      <c r="EZ2748" s="123"/>
      <c r="FA2748" s="123"/>
      <c r="FB2748" s="123"/>
      <c r="FC2748" s="123"/>
      <c r="FD2748" s="123"/>
      <c r="FE2748" s="123"/>
      <c r="FF2748" s="123"/>
      <c r="FG2748" s="123"/>
      <c r="FH2748" s="123"/>
      <c r="FI2748" s="123"/>
      <c r="FJ2748" s="123"/>
      <c r="FK2748" s="123"/>
      <c r="FL2748" s="123"/>
      <c r="FM2748" s="123"/>
      <c r="FN2748" s="123"/>
      <c r="FO2748" s="123"/>
      <c r="FP2748" s="123"/>
      <c r="FQ2748" s="123"/>
      <c r="FR2748" s="123"/>
      <c r="FS2748" s="123"/>
      <c r="FT2748" s="123"/>
      <c r="FU2748" s="123"/>
      <c r="FV2748" s="123"/>
      <c r="FW2748" s="123"/>
      <c r="FX2748" s="123"/>
      <c r="FY2748" s="123"/>
      <c r="FZ2748" s="123"/>
      <c r="GA2748" s="123"/>
      <c r="GB2748" s="123"/>
      <c r="GC2748" s="123"/>
      <c r="GD2748" s="123"/>
      <c r="GE2748" s="123"/>
      <c r="GF2748" s="123"/>
      <c r="GG2748" s="123"/>
      <c r="GH2748" s="123"/>
      <c r="GI2748" s="123"/>
      <c r="GJ2748" s="123"/>
      <c r="GK2748" s="123"/>
      <c r="GL2748" s="123"/>
      <c r="GM2748" s="123"/>
      <c r="GN2748" s="123"/>
      <c r="GO2748" s="123"/>
      <c r="GP2748" s="123"/>
      <c r="GQ2748" s="123"/>
      <c r="GR2748" s="123"/>
      <c r="GS2748" s="123"/>
      <c r="GT2748" s="123"/>
      <c r="GU2748" s="123"/>
      <c r="GV2748" s="123"/>
      <c r="GW2748" s="123"/>
      <c r="GX2748" s="123"/>
      <c r="GY2748" s="123"/>
      <c r="GZ2748" s="123"/>
      <c r="HA2748" s="123"/>
      <c r="HB2748" s="123"/>
      <c r="HC2748" s="123"/>
      <c r="HD2748" s="123"/>
      <c r="HE2748" s="123"/>
    </row>
    <row r="2749" spans="1:213" s="145" customFormat="1" ht="46.5" x14ac:dyDescent="0.35">
      <c r="A2749" s="260"/>
      <c r="B2749" s="260"/>
      <c r="C2749" s="263"/>
      <c r="D2749" s="257"/>
      <c r="E2749" s="260"/>
      <c r="F2749" s="260"/>
      <c r="G2749" s="260"/>
      <c r="H2749" s="186" t="s">
        <v>634</v>
      </c>
      <c r="I2749" s="149">
        <v>32281</v>
      </c>
      <c r="J2749" s="149">
        <f>I2749/D2748</f>
        <v>13.29</v>
      </c>
      <c r="K2749" s="149">
        <f>(22681+9600)/D2748</f>
        <v>13.29</v>
      </c>
      <c r="L2749" s="123"/>
      <c r="M2749" s="123"/>
      <c r="N2749" s="123"/>
      <c r="O2749" s="123"/>
      <c r="P2749" s="123"/>
      <c r="Q2749" s="123"/>
      <c r="R2749" s="123"/>
      <c r="S2749" s="123"/>
      <c r="T2749" s="123"/>
      <c r="U2749" s="123"/>
      <c r="V2749" s="123"/>
      <c r="W2749" s="123"/>
      <c r="X2749" s="123"/>
      <c r="Y2749" s="123"/>
      <c r="Z2749" s="123"/>
      <c r="AA2749" s="123"/>
      <c r="AB2749" s="123"/>
      <c r="AC2749" s="123"/>
      <c r="AD2749" s="123"/>
      <c r="AE2749" s="123"/>
      <c r="AF2749" s="123"/>
      <c r="AG2749" s="123"/>
      <c r="AH2749" s="123"/>
      <c r="AI2749" s="123"/>
      <c r="AJ2749" s="123"/>
      <c r="AK2749" s="123"/>
      <c r="AL2749" s="123"/>
      <c r="AM2749" s="123"/>
      <c r="AN2749" s="123"/>
      <c r="AO2749" s="123"/>
      <c r="AP2749" s="123"/>
      <c r="AQ2749" s="123"/>
      <c r="AR2749" s="123"/>
      <c r="AS2749" s="123"/>
      <c r="AT2749" s="123"/>
      <c r="AU2749" s="123"/>
      <c r="AV2749" s="123"/>
      <c r="AW2749" s="123"/>
      <c r="AX2749" s="123"/>
      <c r="AY2749" s="123"/>
      <c r="AZ2749" s="123"/>
      <c r="BA2749" s="123"/>
      <c r="BB2749" s="123"/>
      <c r="BC2749" s="123"/>
      <c r="BD2749" s="123"/>
      <c r="BE2749" s="123"/>
      <c r="BF2749" s="123"/>
      <c r="BG2749" s="123"/>
      <c r="BH2749" s="123"/>
      <c r="BI2749" s="123"/>
      <c r="BJ2749" s="123"/>
      <c r="BK2749" s="123"/>
      <c r="BL2749" s="123"/>
      <c r="BM2749" s="123"/>
      <c r="BN2749" s="123"/>
      <c r="BO2749" s="123"/>
      <c r="BP2749" s="123"/>
      <c r="BQ2749" s="123"/>
      <c r="BR2749" s="123"/>
      <c r="BS2749" s="123"/>
      <c r="BT2749" s="123"/>
      <c r="BU2749" s="123"/>
      <c r="BV2749" s="123"/>
      <c r="BW2749" s="123"/>
      <c r="BX2749" s="123"/>
      <c r="BY2749" s="123"/>
      <c r="BZ2749" s="123"/>
      <c r="CA2749" s="123"/>
      <c r="CB2749" s="123"/>
      <c r="CC2749" s="123"/>
      <c r="CD2749" s="123"/>
      <c r="CE2749" s="123"/>
      <c r="CF2749" s="123"/>
      <c r="CG2749" s="123"/>
      <c r="CH2749" s="123"/>
      <c r="CI2749" s="123"/>
      <c r="CJ2749" s="123"/>
      <c r="CK2749" s="123"/>
      <c r="CL2749" s="123"/>
      <c r="CM2749" s="123"/>
      <c r="CN2749" s="123"/>
      <c r="CO2749" s="123"/>
      <c r="CP2749" s="123"/>
      <c r="CQ2749" s="123"/>
      <c r="CR2749" s="123"/>
      <c r="CS2749" s="123"/>
      <c r="CT2749" s="123"/>
      <c r="CU2749" s="123"/>
      <c r="CV2749" s="123"/>
      <c r="CW2749" s="123"/>
      <c r="CX2749" s="123"/>
      <c r="CY2749" s="123"/>
      <c r="CZ2749" s="123"/>
      <c r="DA2749" s="123"/>
      <c r="DB2749" s="123"/>
      <c r="DC2749" s="123"/>
      <c r="DD2749" s="123"/>
      <c r="DE2749" s="123"/>
      <c r="DF2749" s="123"/>
      <c r="DG2749" s="123"/>
      <c r="DH2749" s="123"/>
      <c r="DI2749" s="123"/>
      <c r="DJ2749" s="123"/>
      <c r="DK2749" s="123"/>
      <c r="DL2749" s="123"/>
      <c r="DM2749" s="123"/>
      <c r="DN2749" s="123"/>
      <c r="DO2749" s="123"/>
      <c r="DP2749" s="123"/>
      <c r="DQ2749" s="123"/>
      <c r="DR2749" s="123"/>
      <c r="DS2749" s="123"/>
      <c r="DT2749" s="123"/>
      <c r="DU2749" s="123"/>
      <c r="DV2749" s="123"/>
      <c r="DW2749" s="123"/>
      <c r="DX2749" s="123"/>
      <c r="DY2749" s="123"/>
      <c r="DZ2749" s="123"/>
      <c r="EA2749" s="123"/>
      <c r="EB2749" s="123"/>
      <c r="EC2749" s="123"/>
      <c r="ED2749" s="123"/>
      <c r="EE2749" s="123"/>
      <c r="EF2749" s="123"/>
      <c r="EG2749" s="123"/>
      <c r="EH2749" s="123"/>
      <c r="EI2749" s="123"/>
      <c r="EJ2749" s="123"/>
      <c r="EK2749" s="123"/>
      <c r="EL2749" s="123"/>
      <c r="EM2749" s="123"/>
      <c r="EN2749" s="123"/>
      <c r="EO2749" s="123"/>
      <c r="EP2749" s="123"/>
      <c r="EQ2749" s="123"/>
      <c r="ER2749" s="123"/>
      <c r="ES2749" s="123"/>
      <c r="ET2749" s="123"/>
      <c r="EU2749" s="123"/>
      <c r="EV2749" s="123"/>
      <c r="EW2749" s="123"/>
      <c r="EX2749" s="123"/>
      <c r="EY2749" s="123"/>
      <c r="EZ2749" s="123"/>
      <c r="FA2749" s="123"/>
      <c r="FB2749" s="123"/>
      <c r="FC2749" s="123"/>
      <c r="FD2749" s="123"/>
      <c r="FE2749" s="123"/>
      <c r="FF2749" s="123"/>
      <c r="FG2749" s="123"/>
      <c r="FH2749" s="123"/>
      <c r="FI2749" s="123"/>
      <c r="FJ2749" s="123"/>
      <c r="FK2749" s="123"/>
      <c r="FL2749" s="123"/>
      <c r="FM2749" s="123"/>
      <c r="FN2749" s="123"/>
      <c r="FO2749" s="123"/>
      <c r="FP2749" s="123"/>
      <c r="FQ2749" s="123"/>
      <c r="FR2749" s="123"/>
      <c r="FS2749" s="123"/>
      <c r="FT2749" s="123"/>
      <c r="FU2749" s="123"/>
      <c r="FV2749" s="123"/>
      <c r="FW2749" s="123"/>
      <c r="FX2749" s="123"/>
      <c r="FY2749" s="123"/>
      <c r="FZ2749" s="123"/>
      <c r="GA2749" s="123"/>
      <c r="GB2749" s="123"/>
      <c r="GC2749" s="123"/>
      <c r="GD2749" s="123"/>
      <c r="GE2749" s="123"/>
      <c r="GF2749" s="123"/>
      <c r="GG2749" s="123"/>
      <c r="GH2749" s="123"/>
      <c r="GI2749" s="123"/>
      <c r="GJ2749" s="123"/>
      <c r="GK2749" s="123"/>
      <c r="GL2749" s="123"/>
      <c r="GM2749" s="123"/>
      <c r="GN2749" s="123"/>
      <c r="GO2749" s="123"/>
      <c r="GP2749" s="123"/>
      <c r="GQ2749" s="123"/>
      <c r="GR2749" s="123"/>
      <c r="GS2749" s="123"/>
      <c r="GT2749" s="123"/>
      <c r="GU2749" s="123"/>
      <c r="GV2749" s="123"/>
      <c r="GW2749" s="123"/>
      <c r="GX2749" s="123"/>
      <c r="GY2749" s="123"/>
      <c r="GZ2749" s="123"/>
      <c r="HA2749" s="123"/>
      <c r="HB2749" s="123"/>
      <c r="HC2749" s="123"/>
      <c r="HD2749" s="123"/>
      <c r="HE2749" s="123"/>
    </row>
    <row r="2750" spans="1:213" x14ac:dyDescent="0.35">
      <c r="A2750" s="260"/>
      <c r="B2750" s="260"/>
      <c r="C2750" s="263"/>
      <c r="D2750" s="257"/>
      <c r="E2750" s="260"/>
      <c r="F2750" s="260"/>
      <c r="G2750" s="260"/>
      <c r="H2750" s="186" t="s">
        <v>642</v>
      </c>
      <c r="I2750" s="149">
        <v>1708823</v>
      </c>
      <c r="J2750" s="149">
        <f>I2750/D2748</f>
        <v>703.74</v>
      </c>
      <c r="K2750" s="149">
        <f>1708823/D2748</f>
        <v>703.74</v>
      </c>
    </row>
    <row r="2751" spans="1:213" s="145" customFormat="1" x14ac:dyDescent="0.35">
      <c r="A2751" s="260"/>
      <c r="B2751" s="260"/>
      <c r="C2751" s="263"/>
      <c r="D2751" s="257"/>
      <c r="E2751" s="260"/>
      <c r="F2751" s="260"/>
      <c r="G2751" s="261"/>
      <c r="H2751" s="186" t="s">
        <v>75</v>
      </c>
      <c r="I2751" s="149">
        <v>0</v>
      </c>
      <c r="J2751" s="149">
        <f>I2751/D2748</f>
        <v>0</v>
      </c>
      <c r="K2751" s="149">
        <f>36569/D2748</f>
        <v>15.06</v>
      </c>
      <c r="L2751" s="123"/>
      <c r="M2751" s="123"/>
      <c r="N2751" s="123"/>
      <c r="O2751" s="123"/>
      <c r="P2751" s="123"/>
      <c r="Q2751" s="123"/>
      <c r="R2751" s="123"/>
      <c r="S2751" s="123"/>
      <c r="T2751" s="123"/>
      <c r="U2751" s="123"/>
      <c r="V2751" s="123"/>
      <c r="W2751" s="123"/>
      <c r="X2751" s="123"/>
      <c r="Y2751" s="123"/>
      <c r="Z2751" s="123"/>
      <c r="AA2751" s="123"/>
      <c r="AB2751" s="123"/>
      <c r="AC2751" s="123"/>
      <c r="AD2751" s="123"/>
      <c r="AE2751" s="123"/>
      <c r="AF2751" s="123"/>
      <c r="AG2751" s="123"/>
      <c r="AH2751" s="123"/>
      <c r="AI2751" s="123"/>
      <c r="AJ2751" s="123"/>
      <c r="AK2751" s="123"/>
      <c r="AL2751" s="123"/>
      <c r="AM2751" s="123"/>
      <c r="AN2751" s="123"/>
      <c r="AO2751" s="123"/>
      <c r="AP2751" s="123"/>
      <c r="AQ2751" s="123"/>
      <c r="AR2751" s="123"/>
      <c r="AS2751" s="123"/>
      <c r="AT2751" s="123"/>
      <c r="AU2751" s="123"/>
      <c r="AV2751" s="123"/>
      <c r="AW2751" s="123"/>
      <c r="AX2751" s="123"/>
      <c r="AY2751" s="123"/>
      <c r="AZ2751" s="123"/>
      <c r="BA2751" s="123"/>
      <c r="BB2751" s="123"/>
      <c r="BC2751" s="123"/>
      <c r="BD2751" s="123"/>
      <c r="BE2751" s="123"/>
      <c r="BF2751" s="123"/>
      <c r="BG2751" s="123"/>
      <c r="BH2751" s="123"/>
      <c r="BI2751" s="123"/>
      <c r="BJ2751" s="123"/>
      <c r="BK2751" s="123"/>
      <c r="BL2751" s="123"/>
      <c r="BM2751" s="123"/>
      <c r="BN2751" s="123"/>
      <c r="BO2751" s="123"/>
      <c r="BP2751" s="123"/>
      <c r="BQ2751" s="123"/>
      <c r="BR2751" s="123"/>
      <c r="BS2751" s="123"/>
      <c r="BT2751" s="123"/>
      <c r="BU2751" s="123"/>
      <c r="BV2751" s="123"/>
      <c r="BW2751" s="123"/>
      <c r="BX2751" s="123"/>
      <c r="BY2751" s="123"/>
      <c r="BZ2751" s="123"/>
      <c r="CA2751" s="123"/>
      <c r="CB2751" s="123"/>
      <c r="CC2751" s="123"/>
      <c r="CD2751" s="123"/>
      <c r="CE2751" s="123"/>
      <c r="CF2751" s="123"/>
      <c r="CG2751" s="123"/>
      <c r="CH2751" s="123"/>
      <c r="CI2751" s="123"/>
      <c r="CJ2751" s="123"/>
      <c r="CK2751" s="123"/>
      <c r="CL2751" s="123"/>
      <c r="CM2751" s="123"/>
      <c r="CN2751" s="123"/>
      <c r="CO2751" s="123"/>
      <c r="CP2751" s="123"/>
      <c r="CQ2751" s="123"/>
      <c r="CR2751" s="123"/>
      <c r="CS2751" s="123"/>
      <c r="CT2751" s="123"/>
      <c r="CU2751" s="123"/>
      <c r="CV2751" s="123"/>
      <c r="CW2751" s="123"/>
      <c r="CX2751" s="123"/>
      <c r="CY2751" s="123"/>
      <c r="CZ2751" s="123"/>
      <c r="DA2751" s="123"/>
      <c r="DB2751" s="123"/>
      <c r="DC2751" s="123"/>
      <c r="DD2751" s="123"/>
      <c r="DE2751" s="123"/>
      <c r="DF2751" s="123"/>
      <c r="DG2751" s="123"/>
      <c r="DH2751" s="123"/>
      <c r="DI2751" s="123"/>
      <c r="DJ2751" s="123"/>
      <c r="DK2751" s="123"/>
      <c r="DL2751" s="123"/>
      <c r="DM2751" s="123"/>
      <c r="DN2751" s="123"/>
      <c r="DO2751" s="123"/>
      <c r="DP2751" s="123"/>
      <c r="DQ2751" s="123"/>
      <c r="DR2751" s="123"/>
      <c r="DS2751" s="123"/>
      <c r="DT2751" s="123"/>
      <c r="DU2751" s="123"/>
      <c r="DV2751" s="123"/>
      <c r="DW2751" s="123"/>
      <c r="DX2751" s="123"/>
      <c r="DY2751" s="123"/>
      <c r="DZ2751" s="123"/>
      <c r="EA2751" s="123"/>
      <c r="EB2751" s="123"/>
      <c r="EC2751" s="123"/>
      <c r="ED2751" s="123"/>
      <c r="EE2751" s="123"/>
      <c r="EF2751" s="123"/>
      <c r="EG2751" s="123"/>
      <c r="EH2751" s="123"/>
      <c r="EI2751" s="123"/>
      <c r="EJ2751" s="123"/>
      <c r="EK2751" s="123"/>
      <c r="EL2751" s="123"/>
      <c r="EM2751" s="123"/>
      <c r="EN2751" s="123"/>
      <c r="EO2751" s="123"/>
      <c r="EP2751" s="123"/>
      <c r="EQ2751" s="123"/>
      <c r="ER2751" s="123"/>
      <c r="ES2751" s="123"/>
      <c r="ET2751" s="123"/>
      <c r="EU2751" s="123"/>
      <c r="EV2751" s="123"/>
      <c r="EW2751" s="123"/>
      <c r="EX2751" s="123"/>
      <c r="EY2751" s="123"/>
      <c r="EZ2751" s="123"/>
      <c r="FA2751" s="123"/>
      <c r="FB2751" s="123"/>
      <c r="FC2751" s="123"/>
      <c r="FD2751" s="123"/>
      <c r="FE2751" s="123"/>
      <c r="FF2751" s="123"/>
      <c r="FG2751" s="123"/>
      <c r="FH2751" s="123"/>
      <c r="FI2751" s="123"/>
      <c r="FJ2751" s="123"/>
      <c r="FK2751" s="123"/>
      <c r="FL2751" s="123"/>
      <c r="FM2751" s="123"/>
      <c r="FN2751" s="123"/>
      <c r="FO2751" s="123"/>
      <c r="FP2751" s="123"/>
      <c r="FQ2751" s="123"/>
      <c r="FR2751" s="123"/>
      <c r="FS2751" s="123"/>
      <c r="FT2751" s="123"/>
      <c r="FU2751" s="123"/>
      <c r="FV2751" s="123"/>
      <c r="FW2751" s="123"/>
      <c r="FX2751" s="123"/>
      <c r="FY2751" s="123"/>
      <c r="FZ2751" s="123"/>
      <c r="GA2751" s="123"/>
      <c r="GB2751" s="123"/>
      <c r="GC2751" s="123"/>
      <c r="GD2751" s="123"/>
      <c r="GE2751" s="123"/>
      <c r="GF2751" s="123"/>
      <c r="GG2751" s="123"/>
      <c r="GH2751" s="123"/>
      <c r="GI2751" s="123"/>
      <c r="GJ2751" s="123"/>
      <c r="GK2751" s="123"/>
      <c r="GL2751" s="123"/>
      <c r="GM2751" s="123"/>
      <c r="GN2751" s="123"/>
      <c r="GO2751" s="123"/>
      <c r="GP2751" s="123"/>
      <c r="GQ2751" s="123"/>
      <c r="GR2751" s="123"/>
      <c r="GS2751" s="123"/>
      <c r="GT2751" s="123"/>
      <c r="GU2751" s="123"/>
      <c r="GV2751" s="123"/>
      <c r="GW2751" s="123"/>
      <c r="GX2751" s="123"/>
      <c r="GY2751" s="123"/>
      <c r="GZ2751" s="123"/>
      <c r="HA2751" s="123"/>
      <c r="HB2751" s="123"/>
      <c r="HC2751" s="123"/>
      <c r="HD2751" s="123"/>
      <c r="HE2751" s="123"/>
    </row>
    <row r="2752" spans="1:213" s="145" customFormat="1" ht="15.5" customHeight="1" x14ac:dyDescent="0.35">
      <c r="A2752" s="259">
        <f>A2748+1</f>
        <v>11</v>
      </c>
      <c r="B2752" s="259">
        <v>6193</v>
      </c>
      <c r="C2752" s="262" t="s">
        <v>824</v>
      </c>
      <c r="D2752" s="256">
        <v>11067.6</v>
      </c>
      <c r="E2752" s="259" t="s">
        <v>70</v>
      </c>
      <c r="F2752" s="259">
        <v>9</v>
      </c>
      <c r="G2752" s="155"/>
      <c r="H2752" s="186" t="s">
        <v>72</v>
      </c>
      <c r="I2752" s="149">
        <f>SUM(I2753:I2758)</f>
        <v>3482208</v>
      </c>
      <c r="J2752" s="149">
        <f>SUM(J2753:J2758)</f>
        <v>314.63</v>
      </c>
      <c r="K2752" s="149">
        <f>SUM(K2753:K2758)</f>
        <v>321.24</v>
      </c>
      <c r="L2752" s="123"/>
      <c r="M2752" s="123"/>
      <c r="N2752" s="123"/>
      <c r="O2752" s="123"/>
      <c r="P2752" s="123"/>
      <c r="Q2752" s="123"/>
      <c r="R2752" s="123"/>
      <c r="S2752" s="123"/>
      <c r="T2752" s="123"/>
      <c r="U2752" s="123"/>
      <c r="V2752" s="123"/>
      <c r="W2752" s="123"/>
      <c r="X2752" s="123"/>
      <c r="Y2752" s="123"/>
      <c r="Z2752" s="123"/>
      <c r="AA2752" s="123"/>
      <c r="AB2752" s="123"/>
      <c r="AC2752" s="123"/>
      <c r="AD2752" s="123"/>
      <c r="AE2752" s="123"/>
      <c r="AF2752" s="123"/>
      <c r="AG2752" s="123"/>
      <c r="AH2752" s="123"/>
      <c r="AI2752" s="123"/>
      <c r="AJ2752" s="123"/>
      <c r="AK2752" s="123"/>
      <c r="AL2752" s="123"/>
      <c r="AM2752" s="123"/>
      <c r="AN2752" s="123"/>
      <c r="AO2752" s="123"/>
      <c r="AP2752" s="123"/>
      <c r="AQ2752" s="123"/>
      <c r="AR2752" s="123"/>
      <c r="AS2752" s="123"/>
      <c r="AT2752" s="123"/>
      <c r="AU2752" s="123"/>
      <c r="AV2752" s="123"/>
      <c r="AW2752" s="123"/>
      <c r="AX2752" s="123"/>
      <c r="AY2752" s="123"/>
      <c r="AZ2752" s="123"/>
      <c r="BA2752" s="123"/>
      <c r="BB2752" s="123"/>
      <c r="BC2752" s="123"/>
      <c r="BD2752" s="123"/>
      <c r="BE2752" s="123"/>
      <c r="BF2752" s="123"/>
      <c r="BG2752" s="123"/>
      <c r="BH2752" s="123"/>
      <c r="BI2752" s="123"/>
      <c r="BJ2752" s="123"/>
      <c r="BK2752" s="123"/>
      <c r="BL2752" s="123"/>
      <c r="BM2752" s="123"/>
      <c r="BN2752" s="123"/>
      <c r="BO2752" s="123"/>
      <c r="BP2752" s="123"/>
      <c r="BQ2752" s="123"/>
      <c r="BR2752" s="123"/>
      <c r="BS2752" s="123"/>
      <c r="BT2752" s="123"/>
      <c r="BU2752" s="123"/>
      <c r="BV2752" s="123"/>
      <c r="BW2752" s="123"/>
      <c r="BX2752" s="123"/>
      <c r="BY2752" s="123"/>
      <c r="BZ2752" s="123"/>
      <c r="CA2752" s="123"/>
      <c r="CB2752" s="123"/>
      <c r="CC2752" s="123"/>
      <c r="CD2752" s="123"/>
      <c r="CE2752" s="123"/>
      <c r="CF2752" s="123"/>
      <c r="CG2752" s="123"/>
      <c r="CH2752" s="123"/>
      <c r="CI2752" s="123"/>
      <c r="CJ2752" s="123"/>
      <c r="CK2752" s="123"/>
      <c r="CL2752" s="123"/>
      <c r="CM2752" s="123"/>
      <c r="CN2752" s="123"/>
      <c r="CO2752" s="123"/>
      <c r="CP2752" s="123"/>
      <c r="CQ2752" s="123"/>
      <c r="CR2752" s="123"/>
      <c r="CS2752" s="123"/>
      <c r="CT2752" s="123"/>
      <c r="CU2752" s="123"/>
      <c r="CV2752" s="123"/>
      <c r="CW2752" s="123"/>
      <c r="CX2752" s="123"/>
      <c r="CY2752" s="123"/>
      <c r="CZ2752" s="123"/>
      <c r="DA2752" s="123"/>
      <c r="DB2752" s="123"/>
      <c r="DC2752" s="123"/>
      <c r="DD2752" s="123"/>
      <c r="DE2752" s="123"/>
      <c r="DF2752" s="123"/>
      <c r="DG2752" s="123"/>
      <c r="DH2752" s="123"/>
      <c r="DI2752" s="123"/>
      <c r="DJ2752" s="123"/>
      <c r="DK2752" s="123"/>
      <c r="DL2752" s="123"/>
      <c r="DM2752" s="123"/>
      <c r="DN2752" s="123"/>
      <c r="DO2752" s="123"/>
      <c r="DP2752" s="123"/>
      <c r="DQ2752" s="123"/>
      <c r="DR2752" s="123"/>
      <c r="DS2752" s="123"/>
      <c r="DT2752" s="123"/>
      <c r="DU2752" s="123"/>
      <c r="DV2752" s="123"/>
      <c r="DW2752" s="123"/>
      <c r="DX2752" s="123"/>
      <c r="DY2752" s="123"/>
      <c r="DZ2752" s="123"/>
      <c r="EA2752" s="123"/>
      <c r="EB2752" s="123"/>
      <c r="EC2752" s="123"/>
      <c r="ED2752" s="123"/>
      <c r="EE2752" s="123"/>
      <c r="EF2752" s="123"/>
      <c r="EG2752" s="123"/>
      <c r="EH2752" s="123"/>
      <c r="EI2752" s="123"/>
      <c r="EJ2752" s="123"/>
      <c r="EK2752" s="123"/>
      <c r="EL2752" s="123"/>
      <c r="EM2752" s="123"/>
      <c r="EN2752" s="123"/>
      <c r="EO2752" s="123"/>
      <c r="EP2752" s="123"/>
      <c r="EQ2752" s="123"/>
      <c r="ER2752" s="123"/>
      <c r="ES2752" s="123"/>
      <c r="ET2752" s="123"/>
      <c r="EU2752" s="123"/>
      <c r="EV2752" s="123"/>
      <c r="EW2752" s="123"/>
      <c r="EX2752" s="123"/>
      <c r="EY2752" s="123"/>
      <c r="EZ2752" s="123"/>
      <c r="FA2752" s="123"/>
      <c r="FB2752" s="123"/>
      <c r="FC2752" s="123"/>
      <c r="FD2752" s="123"/>
      <c r="FE2752" s="123"/>
      <c r="FF2752" s="123"/>
      <c r="FG2752" s="123"/>
      <c r="FH2752" s="123"/>
      <c r="FI2752" s="123"/>
      <c r="FJ2752" s="123"/>
      <c r="FK2752" s="123"/>
      <c r="FL2752" s="123"/>
      <c r="FM2752" s="123"/>
      <c r="FN2752" s="123"/>
      <c r="FO2752" s="123"/>
      <c r="FP2752" s="123"/>
      <c r="FQ2752" s="123"/>
      <c r="FR2752" s="123"/>
      <c r="FS2752" s="123"/>
      <c r="FT2752" s="123"/>
      <c r="FU2752" s="123"/>
      <c r="FV2752" s="123"/>
      <c r="FW2752" s="123"/>
      <c r="FX2752" s="123"/>
      <c r="FY2752" s="123"/>
      <c r="FZ2752" s="123"/>
      <c r="GA2752" s="123"/>
      <c r="GB2752" s="123"/>
      <c r="GC2752" s="123"/>
      <c r="GD2752" s="123"/>
      <c r="GE2752" s="123"/>
      <c r="GF2752" s="123"/>
      <c r="GG2752" s="123"/>
      <c r="GH2752" s="123"/>
      <c r="GI2752" s="123"/>
      <c r="GJ2752" s="123"/>
      <c r="GK2752" s="123"/>
      <c r="GL2752" s="123"/>
      <c r="GM2752" s="123"/>
      <c r="GN2752" s="123"/>
      <c r="GO2752" s="123"/>
      <c r="GP2752" s="123"/>
      <c r="GQ2752" s="123"/>
      <c r="GR2752" s="123"/>
      <c r="GS2752" s="123"/>
      <c r="GT2752" s="123"/>
      <c r="GU2752" s="123"/>
      <c r="GV2752" s="123"/>
      <c r="GW2752" s="123"/>
      <c r="GX2752" s="123"/>
      <c r="GY2752" s="123"/>
      <c r="GZ2752" s="123"/>
      <c r="HA2752" s="123"/>
      <c r="HB2752" s="123"/>
      <c r="HC2752" s="123"/>
      <c r="HD2752" s="123"/>
      <c r="HE2752" s="123"/>
    </row>
    <row r="2753" spans="1:213" s="145" customFormat="1" ht="46.5" x14ac:dyDescent="0.35">
      <c r="A2753" s="260"/>
      <c r="B2753" s="260"/>
      <c r="C2753" s="263"/>
      <c r="D2753" s="257"/>
      <c r="E2753" s="260"/>
      <c r="F2753" s="260"/>
      <c r="G2753" s="259" t="s">
        <v>647</v>
      </c>
      <c r="H2753" s="186" t="s">
        <v>634</v>
      </c>
      <c r="I2753" s="149">
        <v>32281</v>
      </c>
      <c r="J2753" s="149">
        <f>I2753/D2752</f>
        <v>2.92</v>
      </c>
      <c r="K2753" s="149">
        <f>(22681+9600)/D2752</f>
        <v>2.92</v>
      </c>
      <c r="L2753" s="123"/>
      <c r="M2753" s="123"/>
      <c r="N2753" s="123"/>
      <c r="O2753" s="123"/>
      <c r="P2753" s="123"/>
      <c r="Q2753" s="123"/>
      <c r="R2753" s="123"/>
      <c r="S2753" s="123"/>
      <c r="T2753" s="123"/>
      <c r="U2753" s="123"/>
      <c r="V2753" s="123"/>
      <c r="W2753" s="123"/>
      <c r="X2753" s="123"/>
      <c r="Y2753" s="123"/>
      <c r="Z2753" s="123"/>
      <c r="AA2753" s="123"/>
      <c r="AB2753" s="123"/>
      <c r="AC2753" s="123"/>
      <c r="AD2753" s="123"/>
      <c r="AE2753" s="123"/>
      <c r="AF2753" s="123"/>
      <c r="AG2753" s="123"/>
      <c r="AH2753" s="123"/>
      <c r="AI2753" s="123"/>
      <c r="AJ2753" s="123"/>
      <c r="AK2753" s="123"/>
      <c r="AL2753" s="123"/>
      <c r="AM2753" s="123"/>
      <c r="AN2753" s="123"/>
      <c r="AO2753" s="123"/>
      <c r="AP2753" s="123"/>
      <c r="AQ2753" s="123"/>
      <c r="AR2753" s="123"/>
      <c r="AS2753" s="123"/>
      <c r="AT2753" s="123"/>
      <c r="AU2753" s="123"/>
      <c r="AV2753" s="123"/>
      <c r="AW2753" s="123"/>
      <c r="AX2753" s="123"/>
      <c r="AY2753" s="123"/>
      <c r="AZ2753" s="123"/>
      <c r="BA2753" s="123"/>
      <c r="BB2753" s="123"/>
      <c r="BC2753" s="123"/>
      <c r="BD2753" s="123"/>
      <c r="BE2753" s="123"/>
      <c r="BF2753" s="123"/>
      <c r="BG2753" s="123"/>
      <c r="BH2753" s="123"/>
      <c r="BI2753" s="123"/>
      <c r="BJ2753" s="123"/>
      <c r="BK2753" s="123"/>
      <c r="BL2753" s="123"/>
      <c r="BM2753" s="123"/>
      <c r="BN2753" s="123"/>
      <c r="BO2753" s="123"/>
      <c r="BP2753" s="123"/>
      <c r="BQ2753" s="123"/>
      <c r="BR2753" s="123"/>
      <c r="BS2753" s="123"/>
      <c r="BT2753" s="123"/>
      <c r="BU2753" s="123"/>
      <c r="BV2753" s="123"/>
      <c r="BW2753" s="123"/>
      <c r="BX2753" s="123"/>
      <c r="BY2753" s="123"/>
      <c r="BZ2753" s="123"/>
      <c r="CA2753" s="123"/>
      <c r="CB2753" s="123"/>
      <c r="CC2753" s="123"/>
      <c r="CD2753" s="123"/>
      <c r="CE2753" s="123"/>
      <c r="CF2753" s="123"/>
      <c r="CG2753" s="123"/>
      <c r="CH2753" s="123"/>
      <c r="CI2753" s="123"/>
      <c r="CJ2753" s="123"/>
      <c r="CK2753" s="123"/>
      <c r="CL2753" s="123"/>
      <c r="CM2753" s="123"/>
      <c r="CN2753" s="123"/>
      <c r="CO2753" s="123"/>
      <c r="CP2753" s="123"/>
      <c r="CQ2753" s="123"/>
      <c r="CR2753" s="123"/>
      <c r="CS2753" s="123"/>
      <c r="CT2753" s="123"/>
      <c r="CU2753" s="123"/>
      <c r="CV2753" s="123"/>
      <c r="CW2753" s="123"/>
      <c r="CX2753" s="123"/>
      <c r="CY2753" s="123"/>
      <c r="CZ2753" s="123"/>
      <c r="DA2753" s="123"/>
      <c r="DB2753" s="123"/>
      <c r="DC2753" s="123"/>
      <c r="DD2753" s="123"/>
      <c r="DE2753" s="123"/>
      <c r="DF2753" s="123"/>
      <c r="DG2753" s="123"/>
      <c r="DH2753" s="123"/>
      <c r="DI2753" s="123"/>
      <c r="DJ2753" s="123"/>
      <c r="DK2753" s="123"/>
      <c r="DL2753" s="123"/>
      <c r="DM2753" s="123"/>
      <c r="DN2753" s="123"/>
      <c r="DO2753" s="123"/>
      <c r="DP2753" s="123"/>
      <c r="DQ2753" s="123"/>
      <c r="DR2753" s="123"/>
      <c r="DS2753" s="123"/>
      <c r="DT2753" s="123"/>
      <c r="DU2753" s="123"/>
      <c r="DV2753" s="123"/>
      <c r="DW2753" s="123"/>
      <c r="DX2753" s="123"/>
      <c r="DY2753" s="123"/>
      <c r="DZ2753" s="123"/>
      <c r="EA2753" s="123"/>
      <c r="EB2753" s="123"/>
      <c r="EC2753" s="123"/>
      <c r="ED2753" s="123"/>
      <c r="EE2753" s="123"/>
      <c r="EF2753" s="123"/>
      <c r="EG2753" s="123"/>
      <c r="EH2753" s="123"/>
      <c r="EI2753" s="123"/>
      <c r="EJ2753" s="123"/>
      <c r="EK2753" s="123"/>
      <c r="EL2753" s="123"/>
      <c r="EM2753" s="123"/>
      <c r="EN2753" s="123"/>
      <c r="EO2753" s="123"/>
      <c r="EP2753" s="123"/>
      <c r="EQ2753" s="123"/>
      <c r="ER2753" s="123"/>
      <c r="ES2753" s="123"/>
      <c r="ET2753" s="123"/>
      <c r="EU2753" s="123"/>
      <c r="EV2753" s="123"/>
      <c r="EW2753" s="123"/>
      <c r="EX2753" s="123"/>
      <c r="EY2753" s="123"/>
      <c r="EZ2753" s="123"/>
      <c r="FA2753" s="123"/>
      <c r="FB2753" s="123"/>
      <c r="FC2753" s="123"/>
      <c r="FD2753" s="123"/>
      <c r="FE2753" s="123"/>
      <c r="FF2753" s="123"/>
      <c r="FG2753" s="123"/>
      <c r="FH2753" s="123"/>
      <c r="FI2753" s="123"/>
      <c r="FJ2753" s="123"/>
      <c r="FK2753" s="123"/>
      <c r="FL2753" s="123"/>
      <c r="FM2753" s="123"/>
      <c r="FN2753" s="123"/>
      <c r="FO2753" s="123"/>
      <c r="FP2753" s="123"/>
      <c r="FQ2753" s="123"/>
      <c r="FR2753" s="123"/>
      <c r="FS2753" s="123"/>
      <c r="FT2753" s="123"/>
      <c r="FU2753" s="123"/>
      <c r="FV2753" s="123"/>
      <c r="FW2753" s="123"/>
      <c r="FX2753" s="123"/>
      <c r="FY2753" s="123"/>
      <c r="FZ2753" s="123"/>
      <c r="GA2753" s="123"/>
      <c r="GB2753" s="123"/>
      <c r="GC2753" s="123"/>
      <c r="GD2753" s="123"/>
      <c r="GE2753" s="123"/>
      <c r="GF2753" s="123"/>
      <c r="GG2753" s="123"/>
      <c r="GH2753" s="123"/>
      <c r="GI2753" s="123"/>
      <c r="GJ2753" s="123"/>
      <c r="GK2753" s="123"/>
      <c r="GL2753" s="123"/>
      <c r="GM2753" s="123"/>
      <c r="GN2753" s="123"/>
      <c r="GO2753" s="123"/>
      <c r="GP2753" s="123"/>
      <c r="GQ2753" s="123"/>
      <c r="GR2753" s="123"/>
      <c r="GS2753" s="123"/>
      <c r="GT2753" s="123"/>
      <c r="GU2753" s="123"/>
      <c r="GV2753" s="123"/>
      <c r="GW2753" s="123"/>
      <c r="GX2753" s="123"/>
      <c r="GY2753" s="123"/>
      <c r="GZ2753" s="123"/>
      <c r="HA2753" s="123"/>
      <c r="HB2753" s="123"/>
      <c r="HC2753" s="123"/>
      <c r="HD2753" s="123"/>
      <c r="HE2753" s="123"/>
    </row>
    <row r="2754" spans="1:213" s="145" customFormat="1" x14ac:dyDescent="0.35">
      <c r="A2754" s="260"/>
      <c r="B2754" s="260"/>
      <c r="C2754" s="263"/>
      <c r="D2754" s="257"/>
      <c r="E2754" s="260"/>
      <c r="F2754" s="260"/>
      <c r="G2754" s="260"/>
      <c r="H2754" s="186" t="s">
        <v>642</v>
      </c>
      <c r="I2754" s="149">
        <v>1708823</v>
      </c>
      <c r="J2754" s="149">
        <f>I2754/D2752-0.01</f>
        <v>154.38999999999999</v>
      </c>
      <c r="K2754" s="149">
        <f>1708823/D2752</f>
        <v>154.4</v>
      </c>
      <c r="L2754" s="123"/>
      <c r="M2754" s="123"/>
      <c r="N2754" s="123"/>
      <c r="O2754" s="123"/>
      <c r="P2754" s="123"/>
      <c r="Q2754" s="123"/>
      <c r="R2754" s="123"/>
      <c r="S2754" s="123"/>
      <c r="T2754" s="123"/>
      <c r="U2754" s="123"/>
      <c r="V2754" s="123"/>
      <c r="W2754" s="123"/>
      <c r="X2754" s="123"/>
      <c r="Y2754" s="123"/>
      <c r="Z2754" s="123"/>
      <c r="AA2754" s="123"/>
      <c r="AB2754" s="123"/>
      <c r="AC2754" s="123"/>
      <c r="AD2754" s="123"/>
      <c r="AE2754" s="123"/>
      <c r="AF2754" s="123"/>
      <c r="AG2754" s="123"/>
      <c r="AH2754" s="123"/>
      <c r="AI2754" s="123"/>
      <c r="AJ2754" s="123"/>
      <c r="AK2754" s="123"/>
      <c r="AL2754" s="123"/>
      <c r="AM2754" s="123"/>
      <c r="AN2754" s="123"/>
      <c r="AO2754" s="123"/>
      <c r="AP2754" s="123"/>
      <c r="AQ2754" s="123"/>
      <c r="AR2754" s="123"/>
      <c r="AS2754" s="123"/>
      <c r="AT2754" s="123"/>
      <c r="AU2754" s="123"/>
      <c r="AV2754" s="123"/>
      <c r="AW2754" s="123"/>
      <c r="AX2754" s="123"/>
      <c r="AY2754" s="123"/>
      <c r="AZ2754" s="123"/>
      <c r="BA2754" s="123"/>
      <c r="BB2754" s="123"/>
      <c r="BC2754" s="123"/>
      <c r="BD2754" s="123"/>
      <c r="BE2754" s="123"/>
      <c r="BF2754" s="123"/>
      <c r="BG2754" s="123"/>
      <c r="BH2754" s="123"/>
      <c r="BI2754" s="123"/>
      <c r="BJ2754" s="123"/>
      <c r="BK2754" s="123"/>
      <c r="BL2754" s="123"/>
      <c r="BM2754" s="123"/>
      <c r="BN2754" s="123"/>
      <c r="BO2754" s="123"/>
      <c r="BP2754" s="123"/>
      <c r="BQ2754" s="123"/>
      <c r="BR2754" s="123"/>
      <c r="BS2754" s="123"/>
      <c r="BT2754" s="123"/>
      <c r="BU2754" s="123"/>
      <c r="BV2754" s="123"/>
      <c r="BW2754" s="123"/>
      <c r="BX2754" s="123"/>
      <c r="BY2754" s="123"/>
      <c r="BZ2754" s="123"/>
      <c r="CA2754" s="123"/>
      <c r="CB2754" s="123"/>
      <c r="CC2754" s="123"/>
      <c r="CD2754" s="123"/>
      <c r="CE2754" s="123"/>
      <c r="CF2754" s="123"/>
      <c r="CG2754" s="123"/>
      <c r="CH2754" s="123"/>
      <c r="CI2754" s="123"/>
      <c r="CJ2754" s="123"/>
      <c r="CK2754" s="123"/>
      <c r="CL2754" s="123"/>
      <c r="CM2754" s="123"/>
      <c r="CN2754" s="123"/>
      <c r="CO2754" s="123"/>
      <c r="CP2754" s="123"/>
      <c r="CQ2754" s="123"/>
      <c r="CR2754" s="123"/>
      <c r="CS2754" s="123"/>
      <c r="CT2754" s="123"/>
      <c r="CU2754" s="123"/>
      <c r="CV2754" s="123"/>
      <c r="CW2754" s="123"/>
      <c r="CX2754" s="123"/>
      <c r="CY2754" s="123"/>
      <c r="CZ2754" s="123"/>
      <c r="DA2754" s="123"/>
      <c r="DB2754" s="123"/>
      <c r="DC2754" s="123"/>
      <c r="DD2754" s="123"/>
      <c r="DE2754" s="123"/>
      <c r="DF2754" s="123"/>
      <c r="DG2754" s="123"/>
      <c r="DH2754" s="123"/>
      <c r="DI2754" s="123"/>
      <c r="DJ2754" s="123"/>
      <c r="DK2754" s="123"/>
      <c r="DL2754" s="123"/>
      <c r="DM2754" s="123"/>
      <c r="DN2754" s="123"/>
      <c r="DO2754" s="123"/>
      <c r="DP2754" s="123"/>
      <c r="DQ2754" s="123"/>
      <c r="DR2754" s="123"/>
      <c r="DS2754" s="123"/>
      <c r="DT2754" s="123"/>
      <c r="DU2754" s="123"/>
      <c r="DV2754" s="123"/>
      <c r="DW2754" s="123"/>
      <c r="DX2754" s="123"/>
      <c r="DY2754" s="123"/>
      <c r="DZ2754" s="123"/>
      <c r="EA2754" s="123"/>
      <c r="EB2754" s="123"/>
      <c r="EC2754" s="123"/>
      <c r="ED2754" s="123"/>
      <c r="EE2754" s="123"/>
      <c r="EF2754" s="123"/>
      <c r="EG2754" s="123"/>
      <c r="EH2754" s="123"/>
      <c r="EI2754" s="123"/>
      <c r="EJ2754" s="123"/>
      <c r="EK2754" s="123"/>
      <c r="EL2754" s="123"/>
      <c r="EM2754" s="123"/>
      <c r="EN2754" s="123"/>
      <c r="EO2754" s="123"/>
      <c r="EP2754" s="123"/>
      <c r="EQ2754" s="123"/>
      <c r="ER2754" s="123"/>
      <c r="ES2754" s="123"/>
      <c r="ET2754" s="123"/>
      <c r="EU2754" s="123"/>
      <c r="EV2754" s="123"/>
      <c r="EW2754" s="123"/>
      <c r="EX2754" s="123"/>
      <c r="EY2754" s="123"/>
      <c r="EZ2754" s="123"/>
      <c r="FA2754" s="123"/>
      <c r="FB2754" s="123"/>
      <c r="FC2754" s="123"/>
      <c r="FD2754" s="123"/>
      <c r="FE2754" s="123"/>
      <c r="FF2754" s="123"/>
      <c r="FG2754" s="123"/>
      <c r="FH2754" s="123"/>
      <c r="FI2754" s="123"/>
      <c r="FJ2754" s="123"/>
      <c r="FK2754" s="123"/>
      <c r="FL2754" s="123"/>
      <c r="FM2754" s="123"/>
      <c r="FN2754" s="123"/>
      <c r="FO2754" s="123"/>
      <c r="FP2754" s="123"/>
      <c r="FQ2754" s="123"/>
      <c r="FR2754" s="123"/>
      <c r="FS2754" s="123"/>
      <c r="FT2754" s="123"/>
      <c r="FU2754" s="123"/>
      <c r="FV2754" s="123"/>
      <c r="FW2754" s="123"/>
      <c r="FX2754" s="123"/>
      <c r="FY2754" s="123"/>
      <c r="FZ2754" s="123"/>
      <c r="GA2754" s="123"/>
      <c r="GB2754" s="123"/>
      <c r="GC2754" s="123"/>
      <c r="GD2754" s="123"/>
      <c r="GE2754" s="123"/>
      <c r="GF2754" s="123"/>
      <c r="GG2754" s="123"/>
      <c r="GH2754" s="123"/>
      <c r="GI2754" s="123"/>
      <c r="GJ2754" s="123"/>
      <c r="GK2754" s="123"/>
      <c r="GL2754" s="123"/>
      <c r="GM2754" s="123"/>
      <c r="GN2754" s="123"/>
      <c r="GO2754" s="123"/>
      <c r="GP2754" s="123"/>
      <c r="GQ2754" s="123"/>
      <c r="GR2754" s="123"/>
      <c r="GS2754" s="123"/>
      <c r="GT2754" s="123"/>
      <c r="GU2754" s="123"/>
      <c r="GV2754" s="123"/>
      <c r="GW2754" s="123"/>
      <c r="GX2754" s="123"/>
      <c r="GY2754" s="123"/>
      <c r="GZ2754" s="123"/>
      <c r="HA2754" s="123"/>
      <c r="HB2754" s="123"/>
      <c r="HC2754" s="123"/>
      <c r="HD2754" s="123"/>
      <c r="HE2754" s="123"/>
    </row>
    <row r="2755" spans="1:213" s="145" customFormat="1" x14ac:dyDescent="0.35">
      <c r="A2755" s="260"/>
      <c r="B2755" s="260"/>
      <c r="C2755" s="263"/>
      <c r="D2755" s="257"/>
      <c r="E2755" s="260"/>
      <c r="F2755" s="260"/>
      <c r="G2755" s="261"/>
      <c r="H2755" s="186" t="s">
        <v>75</v>
      </c>
      <c r="I2755" s="149">
        <v>0</v>
      </c>
      <c r="J2755" s="149">
        <f>I2755/D2752</f>
        <v>0</v>
      </c>
      <c r="K2755" s="149">
        <f>36569/D2752</f>
        <v>3.3</v>
      </c>
      <c r="L2755" s="123"/>
      <c r="M2755" s="123"/>
      <c r="N2755" s="123"/>
      <c r="O2755" s="123"/>
      <c r="P2755" s="123"/>
      <c r="Q2755" s="123"/>
      <c r="R2755" s="123"/>
      <c r="S2755" s="123"/>
      <c r="T2755" s="123"/>
      <c r="U2755" s="123"/>
      <c r="V2755" s="123"/>
      <c r="W2755" s="123"/>
      <c r="X2755" s="123"/>
      <c r="Y2755" s="123"/>
      <c r="Z2755" s="123"/>
      <c r="AA2755" s="123"/>
      <c r="AB2755" s="123"/>
      <c r="AC2755" s="123"/>
      <c r="AD2755" s="123"/>
      <c r="AE2755" s="123"/>
      <c r="AF2755" s="123"/>
      <c r="AG2755" s="123"/>
      <c r="AH2755" s="123"/>
      <c r="AI2755" s="123"/>
      <c r="AJ2755" s="123"/>
      <c r="AK2755" s="123"/>
      <c r="AL2755" s="123"/>
      <c r="AM2755" s="123"/>
      <c r="AN2755" s="123"/>
      <c r="AO2755" s="123"/>
      <c r="AP2755" s="123"/>
      <c r="AQ2755" s="123"/>
      <c r="AR2755" s="123"/>
      <c r="AS2755" s="123"/>
      <c r="AT2755" s="123"/>
      <c r="AU2755" s="123"/>
      <c r="AV2755" s="123"/>
      <c r="AW2755" s="123"/>
      <c r="AX2755" s="123"/>
      <c r="AY2755" s="123"/>
      <c r="AZ2755" s="123"/>
      <c r="BA2755" s="123"/>
      <c r="BB2755" s="123"/>
      <c r="BC2755" s="123"/>
      <c r="BD2755" s="123"/>
      <c r="BE2755" s="123"/>
      <c r="BF2755" s="123"/>
      <c r="BG2755" s="123"/>
      <c r="BH2755" s="123"/>
      <c r="BI2755" s="123"/>
      <c r="BJ2755" s="123"/>
      <c r="BK2755" s="123"/>
      <c r="BL2755" s="123"/>
      <c r="BM2755" s="123"/>
      <c r="BN2755" s="123"/>
      <c r="BO2755" s="123"/>
      <c r="BP2755" s="123"/>
      <c r="BQ2755" s="123"/>
      <c r="BR2755" s="123"/>
      <c r="BS2755" s="123"/>
      <c r="BT2755" s="123"/>
      <c r="BU2755" s="123"/>
      <c r="BV2755" s="123"/>
      <c r="BW2755" s="123"/>
      <c r="BX2755" s="123"/>
      <c r="BY2755" s="123"/>
      <c r="BZ2755" s="123"/>
      <c r="CA2755" s="123"/>
      <c r="CB2755" s="123"/>
      <c r="CC2755" s="123"/>
      <c r="CD2755" s="123"/>
      <c r="CE2755" s="123"/>
      <c r="CF2755" s="123"/>
      <c r="CG2755" s="123"/>
      <c r="CH2755" s="123"/>
      <c r="CI2755" s="123"/>
      <c r="CJ2755" s="123"/>
      <c r="CK2755" s="123"/>
      <c r="CL2755" s="123"/>
      <c r="CM2755" s="123"/>
      <c r="CN2755" s="123"/>
      <c r="CO2755" s="123"/>
      <c r="CP2755" s="123"/>
      <c r="CQ2755" s="123"/>
      <c r="CR2755" s="123"/>
      <c r="CS2755" s="123"/>
      <c r="CT2755" s="123"/>
      <c r="CU2755" s="123"/>
      <c r="CV2755" s="123"/>
      <c r="CW2755" s="123"/>
      <c r="CX2755" s="123"/>
      <c r="CY2755" s="123"/>
      <c r="CZ2755" s="123"/>
      <c r="DA2755" s="123"/>
      <c r="DB2755" s="123"/>
      <c r="DC2755" s="123"/>
      <c r="DD2755" s="123"/>
      <c r="DE2755" s="123"/>
      <c r="DF2755" s="123"/>
      <c r="DG2755" s="123"/>
      <c r="DH2755" s="123"/>
      <c r="DI2755" s="123"/>
      <c r="DJ2755" s="123"/>
      <c r="DK2755" s="123"/>
      <c r="DL2755" s="123"/>
      <c r="DM2755" s="123"/>
      <c r="DN2755" s="123"/>
      <c r="DO2755" s="123"/>
      <c r="DP2755" s="123"/>
      <c r="DQ2755" s="123"/>
      <c r="DR2755" s="123"/>
      <c r="DS2755" s="123"/>
      <c r="DT2755" s="123"/>
      <c r="DU2755" s="123"/>
      <c r="DV2755" s="123"/>
      <c r="DW2755" s="123"/>
      <c r="DX2755" s="123"/>
      <c r="DY2755" s="123"/>
      <c r="DZ2755" s="123"/>
      <c r="EA2755" s="123"/>
      <c r="EB2755" s="123"/>
      <c r="EC2755" s="123"/>
      <c r="ED2755" s="123"/>
      <c r="EE2755" s="123"/>
      <c r="EF2755" s="123"/>
      <c r="EG2755" s="123"/>
      <c r="EH2755" s="123"/>
      <c r="EI2755" s="123"/>
      <c r="EJ2755" s="123"/>
      <c r="EK2755" s="123"/>
      <c r="EL2755" s="123"/>
      <c r="EM2755" s="123"/>
      <c r="EN2755" s="123"/>
      <c r="EO2755" s="123"/>
      <c r="EP2755" s="123"/>
      <c r="EQ2755" s="123"/>
      <c r="ER2755" s="123"/>
      <c r="ES2755" s="123"/>
      <c r="ET2755" s="123"/>
      <c r="EU2755" s="123"/>
      <c r="EV2755" s="123"/>
      <c r="EW2755" s="123"/>
      <c r="EX2755" s="123"/>
      <c r="EY2755" s="123"/>
      <c r="EZ2755" s="123"/>
      <c r="FA2755" s="123"/>
      <c r="FB2755" s="123"/>
      <c r="FC2755" s="123"/>
      <c r="FD2755" s="123"/>
      <c r="FE2755" s="123"/>
      <c r="FF2755" s="123"/>
      <c r="FG2755" s="123"/>
      <c r="FH2755" s="123"/>
      <c r="FI2755" s="123"/>
      <c r="FJ2755" s="123"/>
      <c r="FK2755" s="123"/>
      <c r="FL2755" s="123"/>
      <c r="FM2755" s="123"/>
      <c r="FN2755" s="123"/>
      <c r="FO2755" s="123"/>
      <c r="FP2755" s="123"/>
      <c r="FQ2755" s="123"/>
      <c r="FR2755" s="123"/>
      <c r="FS2755" s="123"/>
      <c r="FT2755" s="123"/>
      <c r="FU2755" s="123"/>
      <c r="FV2755" s="123"/>
      <c r="FW2755" s="123"/>
      <c r="FX2755" s="123"/>
      <c r="FY2755" s="123"/>
      <c r="FZ2755" s="123"/>
      <c r="GA2755" s="123"/>
      <c r="GB2755" s="123"/>
      <c r="GC2755" s="123"/>
      <c r="GD2755" s="123"/>
      <c r="GE2755" s="123"/>
      <c r="GF2755" s="123"/>
      <c r="GG2755" s="123"/>
      <c r="GH2755" s="123"/>
      <c r="GI2755" s="123"/>
      <c r="GJ2755" s="123"/>
      <c r="GK2755" s="123"/>
      <c r="GL2755" s="123"/>
      <c r="GM2755" s="123"/>
      <c r="GN2755" s="123"/>
      <c r="GO2755" s="123"/>
      <c r="GP2755" s="123"/>
      <c r="GQ2755" s="123"/>
      <c r="GR2755" s="123"/>
      <c r="GS2755" s="123"/>
      <c r="GT2755" s="123"/>
      <c r="GU2755" s="123"/>
      <c r="GV2755" s="123"/>
      <c r="GW2755" s="123"/>
      <c r="GX2755" s="123"/>
      <c r="GY2755" s="123"/>
      <c r="GZ2755" s="123"/>
      <c r="HA2755" s="123"/>
      <c r="HB2755" s="123"/>
      <c r="HC2755" s="123"/>
      <c r="HD2755" s="123"/>
      <c r="HE2755" s="123"/>
    </row>
    <row r="2756" spans="1:213" s="145" customFormat="1" ht="46.5" x14ac:dyDescent="0.35">
      <c r="A2756" s="260"/>
      <c r="B2756" s="260"/>
      <c r="C2756" s="263"/>
      <c r="D2756" s="257"/>
      <c r="E2756" s="260"/>
      <c r="F2756" s="260"/>
      <c r="G2756" s="259" t="s">
        <v>648</v>
      </c>
      <c r="H2756" s="186" t="s">
        <v>634</v>
      </c>
      <c r="I2756" s="149">
        <v>32281</v>
      </c>
      <c r="J2756" s="149">
        <f>I2756/D2752</f>
        <v>2.92</v>
      </c>
      <c r="K2756" s="149">
        <f>(22681+9600)/D2752</f>
        <v>2.92</v>
      </c>
      <c r="L2756" s="123"/>
      <c r="M2756" s="123"/>
      <c r="N2756" s="123"/>
      <c r="O2756" s="123"/>
      <c r="P2756" s="123"/>
      <c r="Q2756" s="123"/>
      <c r="R2756" s="123"/>
      <c r="S2756" s="123"/>
      <c r="T2756" s="123"/>
      <c r="U2756" s="123"/>
      <c r="V2756" s="123"/>
      <c r="W2756" s="123"/>
      <c r="X2756" s="123"/>
      <c r="Y2756" s="123"/>
      <c r="Z2756" s="123"/>
      <c r="AA2756" s="123"/>
      <c r="AB2756" s="123"/>
      <c r="AC2756" s="123"/>
      <c r="AD2756" s="123"/>
      <c r="AE2756" s="123"/>
      <c r="AF2756" s="123"/>
      <c r="AG2756" s="123"/>
      <c r="AH2756" s="123"/>
      <c r="AI2756" s="123"/>
      <c r="AJ2756" s="123"/>
      <c r="AK2756" s="123"/>
      <c r="AL2756" s="123"/>
      <c r="AM2756" s="123"/>
      <c r="AN2756" s="123"/>
      <c r="AO2756" s="123"/>
      <c r="AP2756" s="123"/>
      <c r="AQ2756" s="123"/>
      <c r="AR2756" s="123"/>
      <c r="AS2756" s="123"/>
      <c r="AT2756" s="123"/>
      <c r="AU2756" s="123"/>
      <c r="AV2756" s="123"/>
      <c r="AW2756" s="123"/>
      <c r="AX2756" s="123"/>
      <c r="AY2756" s="123"/>
      <c r="AZ2756" s="123"/>
      <c r="BA2756" s="123"/>
      <c r="BB2756" s="123"/>
      <c r="BC2756" s="123"/>
      <c r="BD2756" s="123"/>
      <c r="BE2756" s="123"/>
      <c r="BF2756" s="123"/>
      <c r="BG2756" s="123"/>
      <c r="BH2756" s="123"/>
      <c r="BI2756" s="123"/>
      <c r="BJ2756" s="123"/>
      <c r="BK2756" s="123"/>
      <c r="BL2756" s="123"/>
      <c r="BM2756" s="123"/>
      <c r="BN2756" s="123"/>
      <c r="BO2756" s="123"/>
      <c r="BP2756" s="123"/>
      <c r="BQ2756" s="123"/>
      <c r="BR2756" s="123"/>
      <c r="BS2756" s="123"/>
      <c r="BT2756" s="123"/>
      <c r="BU2756" s="123"/>
      <c r="BV2756" s="123"/>
      <c r="BW2756" s="123"/>
      <c r="BX2756" s="123"/>
      <c r="BY2756" s="123"/>
      <c r="BZ2756" s="123"/>
      <c r="CA2756" s="123"/>
      <c r="CB2756" s="123"/>
      <c r="CC2756" s="123"/>
      <c r="CD2756" s="123"/>
      <c r="CE2756" s="123"/>
      <c r="CF2756" s="123"/>
      <c r="CG2756" s="123"/>
      <c r="CH2756" s="123"/>
      <c r="CI2756" s="123"/>
      <c r="CJ2756" s="123"/>
      <c r="CK2756" s="123"/>
      <c r="CL2756" s="123"/>
      <c r="CM2756" s="123"/>
      <c r="CN2756" s="123"/>
      <c r="CO2756" s="123"/>
      <c r="CP2756" s="123"/>
      <c r="CQ2756" s="123"/>
      <c r="CR2756" s="123"/>
      <c r="CS2756" s="123"/>
      <c r="CT2756" s="123"/>
      <c r="CU2756" s="123"/>
      <c r="CV2756" s="123"/>
      <c r="CW2756" s="123"/>
      <c r="CX2756" s="123"/>
      <c r="CY2756" s="123"/>
      <c r="CZ2756" s="123"/>
      <c r="DA2756" s="123"/>
      <c r="DB2756" s="123"/>
      <c r="DC2756" s="123"/>
      <c r="DD2756" s="123"/>
      <c r="DE2756" s="123"/>
      <c r="DF2756" s="123"/>
      <c r="DG2756" s="123"/>
      <c r="DH2756" s="123"/>
      <c r="DI2756" s="123"/>
      <c r="DJ2756" s="123"/>
      <c r="DK2756" s="123"/>
      <c r="DL2756" s="123"/>
      <c r="DM2756" s="123"/>
      <c r="DN2756" s="123"/>
      <c r="DO2756" s="123"/>
      <c r="DP2756" s="123"/>
      <c r="DQ2756" s="123"/>
      <c r="DR2756" s="123"/>
      <c r="DS2756" s="123"/>
      <c r="DT2756" s="123"/>
      <c r="DU2756" s="123"/>
      <c r="DV2756" s="123"/>
      <c r="DW2756" s="123"/>
      <c r="DX2756" s="123"/>
      <c r="DY2756" s="123"/>
      <c r="DZ2756" s="123"/>
      <c r="EA2756" s="123"/>
      <c r="EB2756" s="123"/>
      <c r="EC2756" s="123"/>
      <c r="ED2756" s="123"/>
      <c r="EE2756" s="123"/>
      <c r="EF2756" s="123"/>
      <c r="EG2756" s="123"/>
      <c r="EH2756" s="123"/>
      <c r="EI2756" s="123"/>
      <c r="EJ2756" s="123"/>
      <c r="EK2756" s="123"/>
      <c r="EL2756" s="123"/>
      <c r="EM2756" s="123"/>
      <c r="EN2756" s="123"/>
      <c r="EO2756" s="123"/>
      <c r="EP2756" s="123"/>
      <c r="EQ2756" s="123"/>
      <c r="ER2756" s="123"/>
      <c r="ES2756" s="123"/>
      <c r="ET2756" s="123"/>
      <c r="EU2756" s="123"/>
      <c r="EV2756" s="123"/>
      <c r="EW2756" s="123"/>
      <c r="EX2756" s="123"/>
      <c r="EY2756" s="123"/>
      <c r="EZ2756" s="123"/>
      <c r="FA2756" s="123"/>
      <c r="FB2756" s="123"/>
      <c r="FC2756" s="123"/>
      <c r="FD2756" s="123"/>
      <c r="FE2756" s="123"/>
      <c r="FF2756" s="123"/>
      <c r="FG2756" s="123"/>
      <c r="FH2756" s="123"/>
      <c r="FI2756" s="123"/>
      <c r="FJ2756" s="123"/>
      <c r="FK2756" s="123"/>
      <c r="FL2756" s="123"/>
      <c r="FM2756" s="123"/>
      <c r="FN2756" s="123"/>
      <c r="FO2756" s="123"/>
      <c r="FP2756" s="123"/>
      <c r="FQ2756" s="123"/>
      <c r="FR2756" s="123"/>
      <c r="FS2756" s="123"/>
      <c r="FT2756" s="123"/>
      <c r="FU2756" s="123"/>
      <c r="FV2756" s="123"/>
      <c r="FW2756" s="123"/>
      <c r="FX2756" s="123"/>
      <c r="FY2756" s="123"/>
      <c r="FZ2756" s="123"/>
      <c r="GA2756" s="123"/>
      <c r="GB2756" s="123"/>
      <c r="GC2756" s="123"/>
      <c r="GD2756" s="123"/>
      <c r="GE2756" s="123"/>
      <c r="GF2756" s="123"/>
      <c r="GG2756" s="123"/>
      <c r="GH2756" s="123"/>
      <c r="GI2756" s="123"/>
      <c r="GJ2756" s="123"/>
      <c r="GK2756" s="123"/>
      <c r="GL2756" s="123"/>
      <c r="GM2756" s="123"/>
      <c r="GN2756" s="123"/>
      <c r="GO2756" s="123"/>
      <c r="GP2756" s="123"/>
      <c r="GQ2756" s="123"/>
      <c r="GR2756" s="123"/>
      <c r="GS2756" s="123"/>
      <c r="GT2756" s="123"/>
      <c r="GU2756" s="123"/>
      <c r="GV2756" s="123"/>
      <c r="GW2756" s="123"/>
      <c r="GX2756" s="123"/>
      <c r="GY2756" s="123"/>
      <c r="GZ2756" s="123"/>
      <c r="HA2756" s="123"/>
      <c r="HB2756" s="123"/>
      <c r="HC2756" s="123"/>
      <c r="HD2756" s="123"/>
      <c r="HE2756" s="123"/>
    </row>
    <row r="2757" spans="1:213" s="145" customFormat="1" x14ac:dyDescent="0.35">
      <c r="A2757" s="260"/>
      <c r="B2757" s="260"/>
      <c r="C2757" s="263"/>
      <c r="D2757" s="257"/>
      <c r="E2757" s="260"/>
      <c r="F2757" s="260"/>
      <c r="G2757" s="260"/>
      <c r="H2757" s="186" t="s">
        <v>642</v>
      </c>
      <c r="I2757" s="149">
        <v>1708823</v>
      </c>
      <c r="J2757" s="149">
        <f>I2757/D2752</f>
        <v>154.4</v>
      </c>
      <c r="K2757" s="149">
        <f>1708823/D2752</f>
        <v>154.4</v>
      </c>
      <c r="L2757" s="123"/>
      <c r="M2757" s="123"/>
      <c r="N2757" s="123"/>
      <c r="O2757" s="123"/>
      <c r="P2757" s="123"/>
      <c r="Q2757" s="123"/>
      <c r="R2757" s="123"/>
      <c r="S2757" s="123"/>
      <c r="T2757" s="123"/>
      <c r="U2757" s="123"/>
      <c r="V2757" s="123"/>
      <c r="W2757" s="123"/>
      <c r="X2757" s="123"/>
      <c r="Y2757" s="123"/>
      <c r="Z2757" s="123"/>
      <c r="AA2757" s="123"/>
      <c r="AB2757" s="123"/>
      <c r="AC2757" s="123"/>
      <c r="AD2757" s="123"/>
      <c r="AE2757" s="123"/>
      <c r="AF2757" s="123"/>
      <c r="AG2757" s="123"/>
      <c r="AH2757" s="123"/>
      <c r="AI2757" s="123"/>
      <c r="AJ2757" s="123"/>
      <c r="AK2757" s="123"/>
      <c r="AL2757" s="123"/>
      <c r="AM2757" s="123"/>
      <c r="AN2757" s="123"/>
      <c r="AO2757" s="123"/>
      <c r="AP2757" s="123"/>
      <c r="AQ2757" s="123"/>
      <c r="AR2757" s="123"/>
      <c r="AS2757" s="123"/>
      <c r="AT2757" s="123"/>
      <c r="AU2757" s="123"/>
      <c r="AV2757" s="123"/>
      <c r="AW2757" s="123"/>
      <c r="AX2757" s="123"/>
      <c r="AY2757" s="123"/>
      <c r="AZ2757" s="123"/>
      <c r="BA2757" s="123"/>
      <c r="BB2757" s="123"/>
      <c r="BC2757" s="123"/>
      <c r="BD2757" s="123"/>
      <c r="BE2757" s="123"/>
      <c r="BF2757" s="123"/>
      <c r="BG2757" s="123"/>
      <c r="BH2757" s="123"/>
      <c r="BI2757" s="123"/>
      <c r="BJ2757" s="123"/>
      <c r="BK2757" s="123"/>
      <c r="BL2757" s="123"/>
      <c r="BM2757" s="123"/>
      <c r="BN2757" s="123"/>
      <c r="BO2757" s="123"/>
      <c r="BP2757" s="123"/>
      <c r="BQ2757" s="123"/>
      <c r="BR2757" s="123"/>
      <c r="BS2757" s="123"/>
      <c r="BT2757" s="123"/>
      <c r="BU2757" s="123"/>
      <c r="BV2757" s="123"/>
      <c r="BW2757" s="123"/>
      <c r="BX2757" s="123"/>
      <c r="BY2757" s="123"/>
      <c r="BZ2757" s="123"/>
      <c r="CA2757" s="123"/>
      <c r="CB2757" s="123"/>
      <c r="CC2757" s="123"/>
      <c r="CD2757" s="123"/>
      <c r="CE2757" s="123"/>
      <c r="CF2757" s="123"/>
      <c r="CG2757" s="123"/>
      <c r="CH2757" s="123"/>
      <c r="CI2757" s="123"/>
      <c r="CJ2757" s="123"/>
      <c r="CK2757" s="123"/>
      <c r="CL2757" s="123"/>
      <c r="CM2757" s="123"/>
      <c r="CN2757" s="123"/>
      <c r="CO2757" s="123"/>
      <c r="CP2757" s="123"/>
      <c r="CQ2757" s="123"/>
      <c r="CR2757" s="123"/>
      <c r="CS2757" s="123"/>
      <c r="CT2757" s="123"/>
      <c r="CU2757" s="123"/>
      <c r="CV2757" s="123"/>
      <c r="CW2757" s="123"/>
      <c r="CX2757" s="123"/>
      <c r="CY2757" s="123"/>
      <c r="CZ2757" s="123"/>
      <c r="DA2757" s="123"/>
      <c r="DB2757" s="123"/>
      <c r="DC2757" s="123"/>
      <c r="DD2757" s="123"/>
      <c r="DE2757" s="123"/>
      <c r="DF2757" s="123"/>
      <c r="DG2757" s="123"/>
      <c r="DH2757" s="123"/>
      <c r="DI2757" s="123"/>
      <c r="DJ2757" s="123"/>
      <c r="DK2757" s="123"/>
      <c r="DL2757" s="123"/>
      <c r="DM2757" s="123"/>
      <c r="DN2757" s="123"/>
      <c r="DO2757" s="123"/>
      <c r="DP2757" s="123"/>
      <c r="DQ2757" s="123"/>
      <c r="DR2757" s="123"/>
      <c r="DS2757" s="123"/>
      <c r="DT2757" s="123"/>
      <c r="DU2757" s="123"/>
      <c r="DV2757" s="123"/>
      <c r="DW2757" s="123"/>
      <c r="DX2757" s="123"/>
      <c r="DY2757" s="123"/>
      <c r="DZ2757" s="123"/>
      <c r="EA2757" s="123"/>
      <c r="EB2757" s="123"/>
      <c r="EC2757" s="123"/>
      <c r="ED2757" s="123"/>
      <c r="EE2757" s="123"/>
      <c r="EF2757" s="123"/>
      <c r="EG2757" s="123"/>
      <c r="EH2757" s="123"/>
      <c r="EI2757" s="123"/>
      <c r="EJ2757" s="123"/>
      <c r="EK2757" s="123"/>
      <c r="EL2757" s="123"/>
      <c r="EM2757" s="123"/>
      <c r="EN2757" s="123"/>
      <c r="EO2757" s="123"/>
      <c r="EP2757" s="123"/>
      <c r="EQ2757" s="123"/>
      <c r="ER2757" s="123"/>
      <c r="ES2757" s="123"/>
      <c r="ET2757" s="123"/>
      <c r="EU2757" s="123"/>
      <c r="EV2757" s="123"/>
      <c r="EW2757" s="123"/>
      <c r="EX2757" s="123"/>
      <c r="EY2757" s="123"/>
      <c r="EZ2757" s="123"/>
      <c r="FA2757" s="123"/>
      <c r="FB2757" s="123"/>
      <c r="FC2757" s="123"/>
      <c r="FD2757" s="123"/>
      <c r="FE2757" s="123"/>
      <c r="FF2757" s="123"/>
      <c r="FG2757" s="123"/>
      <c r="FH2757" s="123"/>
      <c r="FI2757" s="123"/>
      <c r="FJ2757" s="123"/>
      <c r="FK2757" s="123"/>
      <c r="FL2757" s="123"/>
      <c r="FM2757" s="123"/>
      <c r="FN2757" s="123"/>
      <c r="FO2757" s="123"/>
      <c r="FP2757" s="123"/>
      <c r="FQ2757" s="123"/>
      <c r="FR2757" s="123"/>
      <c r="FS2757" s="123"/>
      <c r="FT2757" s="123"/>
      <c r="FU2757" s="123"/>
      <c r="FV2757" s="123"/>
      <c r="FW2757" s="123"/>
      <c r="FX2757" s="123"/>
      <c r="FY2757" s="123"/>
      <c r="FZ2757" s="123"/>
      <c r="GA2757" s="123"/>
      <c r="GB2757" s="123"/>
      <c r="GC2757" s="123"/>
      <c r="GD2757" s="123"/>
      <c r="GE2757" s="123"/>
      <c r="GF2757" s="123"/>
      <c r="GG2757" s="123"/>
      <c r="GH2757" s="123"/>
      <c r="GI2757" s="123"/>
      <c r="GJ2757" s="123"/>
      <c r="GK2757" s="123"/>
      <c r="GL2757" s="123"/>
      <c r="GM2757" s="123"/>
      <c r="GN2757" s="123"/>
      <c r="GO2757" s="123"/>
      <c r="GP2757" s="123"/>
      <c r="GQ2757" s="123"/>
      <c r="GR2757" s="123"/>
      <c r="GS2757" s="123"/>
      <c r="GT2757" s="123"/>
      <c r="GU2757" s="123"/>
      <c r="GV2757" s="123"/>
      <c r="GW2757" s="123"/>
      <c r="GX2757" s="123"/>
      <c r="GY2757" s="123"/>
      <c r="GZ2757" s="123"/>
      <c r="HA2757" s="123"/>
      <c r="HB2757" s="123"/>
      <c r="HC2757" s="123"/>
      <c r="HD2757" s="123"/>
      <c r="HE2757" s="123"/>
    </row>
    <row r="2758" spans="1:213" s="145" customFormat="1" x14ac:dyDescent="0.35">
      <c r="A2758" s="260"/>
      <c r="B2758" s="260"/>
      <c r="C2758" s="263"/>
      <c r="D2758" s="257"/>
      <c r="E2758" s="260"/>
      <c r="F2758" s="260"/>
      <c r="G2758" s="261"/>
      <c r="H2758" s="186" t="s">
        <v>75</v>
      </c>
      <c r="I2758" s="149">
        <v>0</v>
      </c>
      <c r="J2758" s="149">
        <f>I2758/D2752</f>
        <v>0</v>
      </c>
      <c r="K2758" s="149">
        <f>36569/D2752</f>
        <v>3.3</v>
      </c>
      <c r="L2758" s="123"/>
      <c r="M2758" s="123"/>
      <c r="N2758" s="123"/>
      <c r="O2758" s="123"/>
      <c r="P2758" s="123"/>
      <c r="Q2758" s="123"/>
      <c r="R2758" s="123"/>
      <c r="S2758" s="123"/>
      <c r="T2758" s="123"/>
      <c r="U2758" s="123"/>
      <c r="V2758" s="123"/>
      <c r="W2758" s="123"/>
      <c r="X2758" s="123"/>
      <c r="Y2758" s="123"/>
      <c r="Z2758" s="123"/>
      <c r="AA2758" s="123"/>
      <c r="AB2758" s="123"/>
      <c r="AC2758" s="123"/>
      <c r="AD2758" s="123"/>
      <c r="AE2758" s="123"/>
      <c r="AF2758" s="123"/>
      <c r="AG2758" s="123"/>
      <c r="AH2758" s="123"/>
      <c r="AI2758" s="123"/>
      <c r="AJ2758" s="123"/>
      <c r="AK2758" s="123"/>
      <c r="AL2758" s="123"/>
      <c r="AM2758" s="123"/>
      <c r="AN2758" s="123"/>
      <c r="AO2758" s="123"/>
      <c r="AP2758" s="123"/>
      <c r="AQ2758" s="123"/>
      <c r="AR2758" s="123"/>
      <c r="AS2758" s="123"/>
      <c r="AT2758" s="123"/>
      <c r="AU2758" s="123"/>
      <c r="AV2758" s="123"/>
      <c r="AW2758" s="123"/>
      <c r="AX2758" s="123"/>
      <c r="AY2758" s="123"/>
      <c r="AZ2758" s="123"/>
      <c r="BA2758" s="123"/>
      <c r="BB2758" s="123"/>
      <c r="BC2758" s="123"/>
      <c r="BD2758" s="123"/>
      <c r="BE2758" s="123"/>
      <c r="BF2758" s="123"/>
      <c r="BG2758" s="123"/>
      <c r="BH2758" s="123"/>
      <c r="BI2758" s="123"/>
      <c r="BJ2758" s="123"/>
      <c r="BK2758" s="123"/>
      <c r="BL2758" s="123"/>
      <c r="BM2758" s="123"/>
      <c r="BN2758" s="123"/>
      <c r="BO2758" s="123"/>
      <c r="BP2758" s="123"/>
      <c r="BQ2758" s="123"/>
      <c r="BR2758" s="123"/>
      <c r="BS2758" s="123"/>
      <c r="BT2758" s="123"/>
      <c r="BU2758" s="123"/>
      <c r="BV2758" s="123"/>
      <c r="BW2758" s="123"/>
      <c r="BX2758" s="123"/>
      <c r="BY2758" s="123"/>
      <c r="BZ2758" s="123"/>
      <c r="CA2758" s="123"/>
      <c r="CB2758" s="123"/>
      <c r="CC2758" s="123"/>
      <c r="CD2758" s="123"/>
      <c r="CE2758" s="123"/>
      <c r="CF2758" s="123"/>
      <c r="CG2758" s="123"/>
      <c r="CH2758" s="123"/>
      <c r="CI2758" s="123"/>
      <c r="CJ2758" s="123"/>
      <c r="CK2758" s="123"/>
      <c r="CL2758" s="123"/>
      <c r="CM2758" s="123"/>
      <c r="CN2758" s="123"/>
      <c r="CO2758" s="123"/>
      <c r="CP2758" s="123"/>
      <c r="CQ2758" s="123"/>
      <c r="CR2758" s="123"/>
      <c r="CS2758" s="123"/>
      <c r="CT2758" s="123"/>
      <c r="CU2758" s="123"/>
      <c r="CV2758" s="123"/>
      <c r="CW2758" s="123"/>
      <c r="CX2758" s="123"/>
      <c r="CY2758" s="123"/>
      <c r="CZ2758" s="123"/>
      <c r="DA2758" s="123"/>
      <c r="DB2758" s="123"/>
      <c r="DC2758" s="123"/>
      <c r="DD2758" s="123"/>
      <c r="DE2758" s="123"/>
      <c r="DF2758" s="123"/>
      <c r="DG2758" s="123"/>
      <c r="DH2758" s="123"/>
      <c r="DI2758" s="123"/>
      <c r="DJ2758" s="123"/>
      <c r="DK2758" s="123"/>
      <c r="DL2758" s="123"/>
      <c r="DM2758" s="123"/>
      <c r="DN2758" s="123"/>
      <c r="DO2758" s="123"/>
      <c r="DP2758" s="123"/>
      <c r="DQ2758" s="123"/>
      <c r="DR2758" s="123"/>
      <c r="DS2758" s="123"/>
      <c r="DT2758" s="123"/>
      <c r="DU2758" s="123"/>
      <c r="DV2758" s="123"/>
      <c r="DW2758" s="123"/>
      <c r="DX2758" s="123"/>
      <c r="DY2758" s="123"/>
      <c r="DZ2758" s="123"/>
      <c r="EA2758" s="123"/>
      <c r="EB2758" s="123"/>
      <c r="EC2758" s="123"/>
      <c r="ED2758" s="123"/>
      <c r="EE2758" s="123"/>
      <c r="EF2758" s="123"/>
      <c r="EG2758" s="123"/>
      <c r="EH2758" s="123"/>
      <c r="EI2758" s="123"/>
      <c r="EJ2758" s="123"/>
      <c r="EK2758" s="123"/>
      <c r="EL2758" s="123"/>
      <c r="EM2758" s="123"/>
      <c r="EN2758" s="123"/>
      <c r="EO2758" s="123"/>
      <c r="EP2758" s="123"/>
      <c r="EQ2758" s="123"/>
      <c r="ER2758" s="123"/>
      <c r="ES2758" s="123"/>
      <c r="ET2758" s="123"/>
      <c r="EU2758" s="123"/>
      <c r="EV2758" s="123"/>
      <c r="EW2758" s="123"/>
      <c r="EX2758" s="123"/>
      <c r="EY2758" s="123"/>
      <c r="EZ2758" s="123"/>
      <c r="FA2758" s="123"/>
      <c r="FB2758" s="123"/>
      <c r="FC2758" s="123"/>
      <c r="FD2758" s="123"/>
      <c r="FE2758" s="123"/>
      <c r="FF2758" s="123"/>
      <c r="FG2758" s="123"/>
      <c r="FH2758" s="123"/>
      <c r="FI2758" s="123"/>
      <c r="FJ2758" s="123"/>
      <c r="FK2758" s="123"/>
      <c r="FL2758" s="123"/>
      <c r="FM2758" s="123"/>
      <c r="FN2758" s="123"/>
      <c r="FO2758" s="123"/>
      <c r="FP2758" s="123"/>
      <c r="FQ2758" s="123"/>
      <c r="FR2758" s="123"/>
      <c r="FS2758" s="123"/>
      <c r="FT2758" s="123"/>
      <c r="FU2758" s="123"/>
      <c r="FV2758" s="123"/>
      <c r="FW2758" s="123"/>
      <c r="FX2758" s="123"/>
      <c r="FY2758" s="123"/>
      <c r="FZ2758" s="123"/>
      <c r="GA2758" s="123"/>
      <c r="GB2758" s="123"/>
      <c r="GC2758" s="123"/>
      <c r="GD2758" s="123"/>
      <c r="GE2758" s="123"/>
      <c r="GF2758" s="123"/>
      <c r="GG2758" s="123"/>
      <c r="GH2758" s="123"/>
      <c r="GI2758" s="123"/>
      <c r="GJ2758" s="123"/>
      <c r="GK2758" s="123"/>
      <c r="GL2758" s="123"/>
      <c r="GM2758" s="123"/>
      <c r="GN2758" s="123"/>
      <c r="GO2758" s="123"/>
      <c r="GP2758" s="123"/>
      <c r="GQ2758" s="123"/>
      <c r="GR2758" s="123"/>
      <c r="GS2758" s="123"/>
      <c r="GT2758" s="123"/>
      <c r="GU2758" s="123"/>
      <c r="GV2758" s="123"/>
      <c r="GW2758" s="123"/>
      <c r="GX2758" s="123"/>
      <c r="GY2758" s="123"/>
      <c r="GZ2758" s="123"/>
      <c r="HA2758" s="123"/>
      <c r="HB2758" s="123"/>
      <c r="HC2758" s="123"/>
      <c r="HD2758" s="123"/>
      <c r="HE2758" s="123"/>
    </row>
    <row r="2759" spans="1:213" s="145" customFormat="1" x14ac:dyDescent="0.35">
      <c r="A2759" s="259">
        <f>A2752+1</f>
        <v>12</v>
      </c>
      <c r="B2759" s="259">
        <v>6248</v>
      </c>
      <c r="C2759" s="262" t="s">
        <v>505</v>
      </c>
      <c r="D2759" s="256">
        <v>526.4</v>
      </c>
      <c r="E2759" s="259" t="s">
        <v>79</v>
      </c>
      <c r="F2759" s="259">
        <v>2</v>
      </c>
      <c r="G2759" s="259" t="s">
        <v>71</v>
      </c>
      <c r="H2759" s="151" t="s">
        <v>72</v>
      </c>
      <c r="I2759" s="149">
        <f>I2760+I2761</f>
        <v>3641635.2</v>
      </c>
      <c r="J2759" s="149">
        <f>J2760+J2761</f>
        <v>6918</v>
      </c>
      <c r="K2759" s="149">
        <f>K2760+K2761</f>
        <v>7066</v>
      </c>
      <c r="L2759" s="123"/>
      <c r="M2759" s="123"/>
      <c r="N2759" s="123"/>
      <c r="O2759" s="123"/>
      <c r="P2759" s="123"/>
      <c r="Q2759" s="123"/>
      <c r="R2759" s="123"/>
      <c r="S2759" s="123"/>
      <c r="T2759" s="123"/>
      <c r="U2759" s="123"/>
      <c r="V2759" s="123"/>
      <c r="W2759" s="123"/>
      <c r="X2759" s="123"/>
      <c r="Y2759" s="123"/>
      <c r="Z2759" s="123"/>
      <c r="AA2759" s="123"/>
      <c r="AB2759" s="123"/>
      <c r="AC2759" s="123"/>
      <c r="AD2759" s="123"/>
      <c r="AE2759" s="123"/>
      <c r="AF2759" s="123"/>
      <c r="AG2759" s="123"/>
      <c r="AH2759" s="123"/>
      <c r="AI2759" s="123"/>
      <c r="AJ2759" s="123"/>
      <c r="AK2759" s="123"/>
      <c r="AL2759" s="123"/>
      <c r="AM2759" s="123"/>
      <c r="AN2759" s="123"/>
      <c r="AO2759" s="123"/>
      <c r="AP2759" s="123"/>
      <c r="AQ2759" s="123"/>
      <c r="AR2759" s="123"/>
      <c r="AS2759" s="123"/>
      <c r="AT2759" s="123"/>
      <c r="AU2759" s="123"/>
      <c r="AV2759" s="123"/>
      <c r="AW2759" s="123"/>
      <c r="AX2759" s="123"/>
      <c r="AY2759" s="123"/>
      <c r="AZ2759" s="123"/>
      <c r="BA2759" s="123"/>
      <c r="BB2759" s="123"/>
      <c r="BC2759" s="123"/>
      <c r="BD2759" s="123"/>
      <c r="BE2759" s="123"/>
      <c r="BF2759" s="123"/>
      <c r="BG2759" s="123"/>
      <c r="BH2759" s="123"/>
      <c r="BI2759" s="123"/>
      <c r="BJ2759" s="123"/>
      <c r="BK2759" s="123"/>
      <c r="BL2759" s="123"/>
      <c r="BM2759" s="123"/>
      <c r="BN2759" s="123"/>
      <c r="BO2759" s="123"/>
      <c r="BP2759" s="123"/>
      <c r="BQ2759" s="123"/>
      <c r="BR2759" s="123"/>
      <c r="BS2759" s="123"/>
      <c r="BT2759" s="123"/>
      <c r="BU2759" s="123"/>
      <c r="BV2759" s="123"/>
      <c r="BW2759" s="123"/>
      <c r="BX2759" s="123"/>
      <c r="BY2759" s="123"/>
      <c r="BZ2759" s="123"/>
      <c r="CA2759" s="123"/>
      <c r="CB2759" s="123"/>
      <c r="CC2759" s="123"/>
      <c r="CD2759" s="123"/>
      <c r="CE2759" s="123"/>
      <c r="CF2759" s="123"/>
      <c r="CG2759" s="123"/>
      <c r="CH2759" s="123"/>
      <c r="CI2759" s="123"/>
      <c r="CJ2759" s="123"/>
      <c r="CK2759" s="123"/>
      <c r="CL2759" s="123"/>
      <c r="CM2759" s="123"/>
      <c r="CN2759" s="123"/>
      <c r="CO2759" s="123"/>
      <c r="CP2759" s="123"/>
      <c r="CQ2759" s="123"/>
      <c r="CR2759" s="123"/>
      <c r="CS2759" s="123"/>
      <c r="CT2759" s="123"/>
      <c r="CU2759" s="123"/>
      <c r="CV2759" s="123"/>
      <c r="CW2759" s="123"/>
      <c r="CX2759" s="123"/>
      <c r="CY2759" s="123"/>
      <c r="CZ2759" s="123"/>
      <c r="DA2759" s="123"/>
      <c r="DB2759" s="123"/>
      <c r="DC2759" s="123"/>
      <c r="DD2759" s="123"/>
      <c r="DE2759" s="123"/>
      <c r="DF2759" s="123"/>
      <c r="DG2759" s="123"/>
      <c r="DH2759" s="123"/>
      <c r="DI2759" s="123"/>
      <c r="DJ2759" s="123"/>
      <c r="DK2759" s="123"/>
      <c r="DL2759" s="123"/>
      <c r="DM2759" s="123"/>
      <c r="DN2759" s="123"/>
      <c r="DO2759" s="123"/>
      <c r="DP2759" s="123"/>
      <c r="DQ2759" s="123"/>
      <c r="DR2759" s="123"/>
      <c r="DS2759" s="123"/>
      <c r="DT2759" s="123"/>
      <c r="DU2759" s="123"/>
      <c r="DV2759" s="123"/>
      <c r="DW2759" s="123"/>
      <c r="DX2759" s="123"/>
      <c r="DY2759" s="123"/>
      <c r="DZ2759" s="123"/>
      <c r="EA2759" s="123"/>
      <c r="EB2759" s="123"/>
      <c r="EC2759" s="123"/>
      <c r="ED2759" s="123"/>
      <c r="EE2759" s="123"/>
      <c r="EF2759" s="123"/>
      <c r="EG2759" s="123"/>
      <c r="EH2759" s="123"/>
      <c r="EI2759" s="123"/>
      <c r="EJ2759" s="123"/>
      <c r="EK2759" s="123"/>
      <c r="EL2759" s="123"/>
      <c r="EM2759" s="123"/>
      <c r="EN2759" s="123"/>
      <c r="EO2759" s="123"/>
      <c r="EP2759" s="123"/>
      <c r="EQ2759" s="123"/>
      <c r="ER2759" s="123"/>
      <c r="ES2759" s="123"/>
      <c r="ET2759" s="123"/>
      <c r="EU2759" s="123"/>
      <c r="EV2759" s="123"/>
      <c r="EW2759" s="123"/>
      <c r="EX2759" s="123"/>
      <c r="EY2759" s="123"/>
      <c r="EZ2759" s="123"/>
      <c r="FA2759" s="123"/>
      <c r="FB2759" s="123"/>
      <c r="FC2759" s="123"/>
      <c r="FD2759" s="123"/>
      <c r="FE2759" s="123"/>
      <c r="FF2759" s="123"/>
      <c r="FG2759" s="123"/>
      <c r="FH2759" s="123"/>
      <c r="FI2759" s="123"/>
      <c r="FJ2759" s="123"/>
      <c r="FK2759" s="123"/>
      <c r="FL2759" s="123"/>
      <c r="FM2759" s="123"/>
      <c r="FN2759" s="123"/>
      <c r="FO2759" s="123"/>
      <c r="FP2759" s="123"/>
      <c r="FQ2759" s="123"/>
      <c r="FR2759" s="123"/>
      <c r="FS2759" s="123"/>
      <c r="FT2759" s="123"/>
      <c r="FU2759" s="123"/>
      <c r="FV2759" s="123"/>
      <c r="FW2759" s="123"/>
      <c r="FX2759" s="123"/>
      <c r="FY2759" s="123"/>
      <c r="FZ2759" s="123"/>
      <c r="GA2759" s="123"/>
      <c r="GB2759" s="123"/>
      <c r="GC2759" s="123"/>
      <c r="GD2759" s="123"/>
      <c r="GE2759" s="123"/>
      <c r="GF2759" s="123"/>
      <c r="GG2759" s="123"/>
      <c r="GH2759" s="123"/>
      <c r="GI2759" s="123"/>
      <c r="GJ2759" s="123"/>
      <c r="GK2759" s="123"/>
      <c r="GL2759" s="123"/>
      <c r="GM2759" s="123"/>
      <c r="GN2759" s="123"/>
      <c r="GO2759" s="123"/>
      <c r="GP2759" s="123"/>
      <c r="GQ2759" s="123"/>
      <c r="GR2759" s="123"/>
      <c r="GS2759" s="123"/>
      <c r="GT2759" s="123"/>
      <c r="GU2759" s="123"/>
      <c r="GV2759" s="123"/>
      <c r="GW2759" s="123"/>
      <c r="GX2759" s="123"/>
      <c r="GY2759" s="123"/>
      <c r="GZ2759" s="123"/>
      <c r="HA2759" s="123"/>
      <c r="HB2759" s="123"/>
      <c r="HC2759" s="123"/>
      <c r="HD2759" s="123"/>
      <c r="HE2759" s="123"/>
    </row>
    <row r="2760" spans="1:213" s="145" customFormat="1" x14ac:dyDescent="0.35">
      <c r="A2760" s="260"/>
      <c r="B2760" s="260"/>
      <c r="C2760" s="263"/>
      <c r="D2760" s="257"/>
      <c r="E2760" s="260"/>
      <c r="F2760" s="260"/>
      <c r="G2760" s="260"/>
      <c r="H2760" s="151" t="s">
        <v>635</v>
      </c>
      <c r="I2760" s="149">
        <f>D2759*K2760</f>
        <v>3641635.2</v>
      </c>
      <c r="J2760" s="149">
        <f>I2760/D2759</f>
        <v>6918</v>
      </c>
      <c r="K2760" s="149">
        <v>6918</v>
      </c>
      <c r="L2760" s="123"/>
      <c r="M2760" s="123"/>
      <c r="N2760" s="123"/>
      <c r="O2760" s="123"/>
      <c r="P2760" s="123"/>
      <c r="Q2760" s="123"/>
      <c r="R2760" s="123"/>
      <c r="S2760" s="123"/>
      <c r="T2760" s="123"/>
      <c r="U2760" s="123"/>
      <c r="V2760" s="123"/>
      <c r="W2760" s="123"/>
      <c r="X2760" s="123"/>
      <c r="Y2760" s="123"/>
      <c r="Z2760" s="123"/>
      <c r="AA2760" s="123"/>
      <c r="AB2760" s="123"/>
      <c r="AC2760" s="123"/>
      <c r="AD2760" s="123"/>
      <c r="AE2760" s="123"/>
      <c r="AF2760" s="123"/>
      <c r="AG2760" s="123"/>
      <c r="AH2760" s="123"/>
      <c r="AI2760" s="123"/>
      <c r="AJ2760" s="123"/>
      <c r="AK2760" s="123"/>
      <c r="AL2760" s="123"/>
      <c r="AM2760" s="123"/>
      <c r="AN2760" s="123"/>
      <c r="AO2760" s="123"/>
      <c r="AP2760" s="123"/>
      <c r="AQ2760" s="123"/>
      <c r="AR2760" s="123"/>
      <c r="AS2760" s="123"/>
      <c r="AT2760" s="123"/>
      <c r="AU2760" s="123"/>
      <c r="AV2760" s="123"/>
      <c r="AW2760" s="123"/>
      <c r="AX2760" s="123"/>
      <c r="AY2760" s="123"/>
      <c r="AZ2760" s="123"/>
      <c r="BA2760" s="123"/>
      <c r="BB2760" s="123"/>
      <c r="BC2760" s="123"/>
      <c r="BD2760" s="123"/>
      <c r="BE2760" s="123"/>
      <c r="BF2760" s="123"/>
      <c r="BG2760" s="123"/>
      <c r="BH2760" s="123"/>
      <c r="BI2760" s="123"/>
      <c r="BJ2760" s="123"/>
      <c r="BK2760" s="123"/>
      <c r="BL2760" s="123"/>
      <c r="BM2760" s="123"/>
      <c r="BN2760" s="123"/>
      <c r="BO2760" s="123"/>
      <c r="BP2760" s="123"/>
      <c r="BQ2760" s="123"/>
      <c r="BR2760" s="123"/>
      <c r="BS2760" s="123"/>
      <c r="BT2760" s="123"/>
      <c r="BU2760" s="123"/>
      <c r="BV2760" s="123"/>
      <c r="BW2760" s="123"/>
      <c r="BX2760" s="123"/>
      <c r="BY2760" s="123"/>
      <c r="BZ2760" s="123"/>
      <c r="CA2760" s="123"/>
      <c r="CB2760" s="123"/>
      <c r="CC2760" s="123"/>
      <c r="CD2760" s="123"/>
      <c r="CE2760" s="123"/>
      <c r="CF2760" s="123"/>
      <c r="CG2760" s="123"/>
      <c r="CH2760" s="123"/>
      <c r="CI2760" s="123"/>
      <c r="CJ2760" s="123"/>
      <c r="CK2760" s="123"/>
      <c r="CL2760" s="123"/>
      <c r="CM2760" s="123"/>
      <c r="CN2760" s="123"/>
      <c r="CO2760" s="123"/>
      <c r="CP2760" s="123"/>
      <c r="CQ2760" s="123"/>
      <c r="CR2760" s="123"/>
      <c r="CS2760" s="123"/>
      <c r="CT2760" s="123"/>
      <c r="CU2760" s="123"/>
      <c r="CV2760" s="123"/>
      <c r="CW2760" s="123"/>
      <c r="CX2760" s="123"/>
      <c r="CY2760" s="123"/>
      <c r="CZ2760" s="123"/>
      <c r="DA2760" s="123"/>
      <c r="DB2760" s="123"/>
      <c r="DC2760" s="123"/>
      <c r="DD2760" s="123"/>
      <c r="DE2760" s="123"/>
      <c r="DF2760" s="123"/>
      <c r="DG2760" s="123"/>
      <c r="DH2760" s="123"/>
      <c r="DI2760" s="123"/>
      <c r="DJ2760" s="123"/>
      <c r="DK2760" s="123"/>
      <c r="DL2760" s="123"/>
      <c r="DM2760" s="123"/>
      <c r="DN2760" s="123"/>
      <c r="DO2760" s="123"/>
      <c r="DP2760" s="123"/>
      <c r="DQ2760" s="123"/>
      <c r="DR2760" s="123"/>
      <c r="DS2760" s="123"/>
      <c r="DT2760" s="123"/>
      <c r="DU2760" s="123"/>
      <c r="DV2760" s="123"/>
      <c r="DW2760" s="123"/>
      <c r="DX2760" s="123"/>
      <c r="DY2760" s="123"/>
      <c r="DZ2760" s="123"/>
      <c r="EA2760" s="123"/>
      <c r="EB2760" s="123"/>
      <c r="EC2760" s="123"/>
      <c r="ED2760" s="123"/>
      <c r="EE2760" s="123"/>
      <c r="EF2760" s="123"/>
      <c r="EG2760" s="123"/>
      <c r="EH2760" s="123"/>
      <c r="EI2760" s="123"/>
      <c r="EJ2760" s="123"/>
      <c r="EK2760" s="123"/>
      <c r="EL2760" s="123"/>
      <c r="EM2760" s="123"/>
      <c r="EN2760" s="123"/>
      <c r="EO2760" s="123"/>
      <c r="EP2760" s="123"/>
      <c r="EQ2760" s="123"/>
      <c r="ER2760" s="123"/>
      <c r="ES2760" s="123"/>
      <c r="ET2760" s="123"/>
      <c r="EU2760" s="123"/>
      <c r="EV2760" s="123"/>
      <c r="EW2760" s="123"/>
      <c r="EX2760" s="123"/>
      <c r="EY2760" s="123"/>
      <c r="EZ2760" s="123"/>
      <c r="FA2760" s="123"/>
      <c r="FB2760" s="123"/>
      <c r="FC2760" s="123"/>
      <c r="FD2760" s="123"/>
      <c r="FE2760" s="123"/>
      <c r="FF2760" s="123"/>
      <c r="FG2760" s="123"/>
      <c r="FH2760" s="123"/>
      <c r="FI2760" s="123"/>
      <c r="FJ2760" s="123"/>
      <c r="FK2760" s="123"/>
      <c r="FL2760" s="123"/>
      <c r="FM2760" s="123"/>
      <c r="FN2760" s="123"/>
      <c r="FO2760" s="123"/>
      <c r="FP2760" s="123"/>
      <c r="FQ2760" s="123"/>
      <c r="FR2760" s="123"/>
      <c r="FS2760" s="123"/>
      <c r="FT2760" s="123"/>
      <c r="FU2760" s="123"/>
      <c r="FV2760" s="123"/>
      <c r="FW2760" s="123"/>
      <c r="FX2760" s="123"/>
      <c r="FY2760" s="123"/>
      <c r="FZ2760" s="123"/>
      <c r="GA2760" s="123"/>
      <c r="GB2760" s="123"/>
      <c r="GC2760" s="123"/>
      <c r="GD2760" s="123"/>
      <c r="GE2760" s="123"/>
      <c r="GF2760" s="123"/>
      <c r="GG2760" s="123"/>
      <c r="GH2760" s="123"/>
      <c r="GI2760" s="123"/>
      <c r="GJ2760" s="123"/>
      <c r="GK2760" s="123"/>
      <c r="GL2760" s="123"/>
      <c r="GM2760" s="123"/>
      <c r="GN2760" s="123"/>
      <c r="GO2760" s="123"/>
      <c r="GP2760" s="123"/>
      <c r="GQ2760" s="123"/>
      <c r="GR2760" s="123"/>
      <c r="GS2760" s="123"/>
      <c r="GT2760" s="123"/>
      <c r="GU2760" s="123"/>
      <c r="GV2760" s="123"/>
      <c r="GW2760" s="123"/>
      <c r="GX2760" s="123"/>
      <c r="GY2760" s="123"/>
      <c r="GZ2760" s="123"/>
      <c r="HA2760" s="123"/>
      <c r="HB2760" s="123"/>
      <c r="HC2760" s="123"/>
      <c r="HD2760" s="123"/>
      <c r="HE2760" s="123"/>
    </row>
    <row r="2761" spans="1:213" s="145" customFormat="1" x14ac:dyDescent="0.35">
      <c r="A2761" s="261"/>
      <c r="B2761" s="261"/>
      <c r="C2761" s="264"/>
      <c r="D2761" s="258"/>
      <c r="E2761" s="261"/>
      <c r="F2761" s="261"/>
      <c r="G2761" s="261"/>
      <c r="H2761" s="151" t="s">
        <v>75</v>
      </c>
      <c r="I2761" s="149">
        <v>0</v>
      </c>
      <c r="J2761" s="149">
        <v>0</v>
      </c>
      <c r="K2761" s="149">
        <v>148</v>
      </c>
      <c r="L2761" s="123"/>
      <c r="M2761" s="123"/>
      <c r="N2761" s="123"/>
      <c r="O2761" s="123"/>
      <c r="P2761" s="123"/>
      <c r="Q2761" s="123"/>
      <c r="R2761" s="123"/>
      <c r="S2761" s="123"/>
      <c r="T2761" s="123"/>
      <c r="U2761" s="123"/>
      <c r="V2761" s="123"/>
      <c r="W2761" s="123"/>
      <c r="X2761" s="123"/>
      <c r="Y2761" s="123"/>
      <c r="Z2761" s="123"/>
      <c r="AA2761" s="123"/>
      <c r="AB2761" s="123"/>
      <c r="AC2761" s="123"/>
      <c r="AD2761" s="123"/>
      <c r="AE2761" s="123"/>
      <c r="AF2761" s="123"/>
      <c r="AG2761" s="123"/>
      <c r="AH2761" s="123"/>
      <c r="AI2761" s="123"/>
      <c r="AJ2761" s="123"/>
      <c r="AK2761" s="123"/>
      <c r="AL2761" s="123"/>
      <c r="AM2761" s="123"/>
      <c r="AN2761" s="123"/>
      <c r="AO2761" s="123"/>
      <c r="AP2761" s="123"/>
      <c r="AQ2761" s="123"/>
      <c r="AR2761" s="123"/>
      <c r="AS2761" s="123"/>
      <c r="AT2761" s="123"/>
      <c r="AU2761" s="123"/>
      <c r="AV2761" s="123"/>
      <c r="AW2761" s="123"/>
      <c r="AX2761" s="123"/>
      <c r="AY2761" s="123"/>
      <c r="AZ2761" s="123"/>
      <c r="BA2761" s="123"/>
      <c r="BB2761" s="123"/>
      <c r="BC2761" s="123"/>
      <c r="BD2761" s="123"/>
      <c r="BE2761" s="123"/>
      <c r="BF2761" s="123"/>
      <c r="BG2761" s="123"/>
      <c r="BH2761" s="123"/>
      <c r="BI2761" s="123"/>
      <c r="BJ2761" s="123"/>
      <c r="BK2761" s="123"/>
      <c r="BL2761" s="123"/>
      <c r="BM2761" s="123"/>
      <c r="BN2761" s="123"/>
      <c r="BO2761" s="123"/>
      <c r="BP2761" s="123"/>
      <c r="BQ2761" s="123"/>
      <c r="BR2761" s="123"/>
      <c r="BS2761" s="123"/>
      <c r="BT2761" s="123"/>
      <c r="BU2761" s="123"/>
      <c r="BV2761" s="123"/>
      <c r="BW2761" s="123"/>
      <c r="BX2761" s="123"/>
      <c r="BY2761" s="123"/>
      <c r="BZ2761" s="123"/>
      <c r="CA2761" s="123"/>
      <c r="CB2761" s="123"/>
      <c r="CC2761" s="123"/>
      <c r="CD2761" s="123"/>
      <c r="CE2761" s="123"/>
      <c r="CF2761" s="123"/>
      <c r="CG2761" s="123"/>
      <c r="CH2761" s="123"/>
      <c r="CI2761" s="123"/>
      <c r="CJ2761" s="123"/>
      <c r="CK2761" s="123"/>
      <c r="CL2761" s="123"/>
      <c r="CM2761" s="123"/>
      <c r="CN2761" s="123"/>
      <c r="CO2761" s="123"/>
      <c r="CP2761" s="123"/>
      <c r="CQ2761" s="123"/>
      <c r="CR2761" s="123"/>
      <c r="CS2761" s="123"/>
      <c r="CT2761" s="123"/>
      <c r="CU2761" s="123"/>
      <c r="CV2761" s="123"/>
      <c r="CW2761" s="123"/>
      <c r="CX2761" s="123"/>
      <c r="CY2761" s="123"/>
      <c r="CZ2761" s="123"/>
      <c r="DA2761" s="123"/>
      <c r="DB2761" s="123"/>
      <c r="DC2761" s="123"/>
      <c r="DD2761" s="123"/>
      <c r="DE2761" s="123"/>
      <c r="DF2761" s="123"/>
      <c r="DG2761" s="123"/>
      <c r="DH2761" s="123"/>
      <c r="DI2761" s="123"/>
      <c r="DJ2761" s="123"/>
      <c r="DK2761" s="123"/>
      <c r="DL2761" s="123"/>
      <c r="DM2761" s="123"/>
      <c r="DN2761" s="123"/>
      <c r="DO2761" s="123"/>
      <c r="DP2761" s="123"/>
      <c r="DQ2761" s="123"/>
      <c r="DR2761" s="123"/>
      <c r="DS2761" s="123"/>
      <c r="DT2761" s="123"/>
      <c r="DU2761" s="123"/>
      <c r="DV2761" s="123"/>
      <c r="DW2761" s="123"/>
      <c r="DX2761" s="123"/>
      <c r="DY2761" s="123"/>
      <c r="DZ2761" s="123"/>
      <c r="EA2761" s="123"/>
      <c r="EB2761" s="123"/>
      <c r="EC2761" s="123"/>
      <c r="ED2761" s="123"/>
      <c r="EE2761" s="123"/>
      <c r="EF2761" s="123"/>
      <c r="EG2761" s="123"/>
      <c r="EH2761" s="123"/>
      <c r="EI2761" s="123"/>
      <c r="EJ2761" s="123"/>
      <c r="EK2761" s="123"/>
      <c r="EL2761" s="123"/>
      <c r="EM2761" s="123"/>
      <c r="EN2761" s="123"/>
      <c r="EO2761" s="123"/>
      <c r="EP2761" s="123"/>
      <c r="EQ2761" s="123"/>
      <c r="ER2761" s="123"/>
      <c r="ES2761" s="123"/>
      <c r="ET2761" s="123"/>
      <c r="EU2761" s="123"/>
      <c r="EV2761" s="123"/>
      <c r="EW2761" s="123"/>
      <c r="EX2761" s="123"/>
      <c r="EY2761" s="123"/>
      <c r="EZ2761" s="123"/>
      <c r="FA2761" s="123"/>
      <c r="FB2761" s="123"/>
      <c r="FC2761" s="123"/>
      <c r="FD2761" s="123"/>
      <c r="FE2761" s="123"/>
      <c r="FF2761" s="123"/>
      <c r="FG2761" s="123"/>
      <c r="FH2761" s="123"/>
      <c r="FI2761" s="123"/>
      <c r="FJ2761" s="123"/>
      <c r="FK2761" s="123"/>
      <c r="FL2761" s="123"/>
      <c r="FM2761" s="123"/>
      <c r="FN2761" s="123"/>
      <c r="FO2761" s="123"/>
      <c r="FP2761" s="123"/>
      <c r="FQ2761" s="123"/>
      <c r="FR2761" s="123"/>
      <c r="FS2761" s="123"/>
      <c r="FT2761" s="123"/>
      <c r="FU2761" s="123"/>
      <c r="FV2761" s="123"/>
      <c r="FW2761" s="123"/>
      <c r="FX2761" s="123"/>
      <c r="FY2761" s="123"/>
      <c r="FZ2761" s="123"/>
      <c r="GA2761" s="123"/>
      <c r="GB2761" s="123"/>
      <c r="GC2761" s="123"/>
      <c r="GD2761" s="123"/>
      <c r="GE2761" s="123"/>
      <c r="GF2761" s="123"/>
      <c r="GG2761" s="123"/>
      <c r="GH2761" s="123"/>
      <c r="GI2761" s="123"/>
      <c r="GJ2761" s="123"/>
      <c r="GK2761" s="123"/>
      <c r="GL2761" s="123"/>
      <c r="GM2761" s="123"/>
      <c r="GN2761" s="123"/>
      <c r="GO2761" s="123"/>
      <c r="GP2761" s="123"/>
      <c r="GQ2761" s="123"/>
      <c r="GR2761" s="123"/>
      <c r="GS2761" s="123"/>
      <c r="GT2761" s="123"/>
      <c r="GU2761" s="123"/>
      <c r="GV2761" s="123"/>
      <c r="GW2761" s="123"/>
      <c r="GX2761" s="123"/>
      <c r="GY2761" s="123"/>
      <c r="GZ2761" s="123"/>
      <c r="HA2761" s="123"/>
      <c r="HB2761" s="123"/>
      <c r="HC2761" s="123"/>
      <c r="HD2761" s="123"/>
      <c r="HE2761" s="123"/>
    </row>
    <row r="2762" spans="1:213" s="145" customFormat="1" x14ac:dyDescent="0.35">
      <c r="A2762" s="259">
        <f>A2759+1</f>
        <v>13</v>
      </c>
      <c r="B2762" s="259">
        <v>6250</v>
      </c>
      <c r="C2762" s="262" t="s">
        <v>506</v>
      </c>
      <c r="D2762" s="256">
        <v>520.9</v>
      </c>
      <c r="E2762" s="259" t="s">
        <v>79</v>
      </c>
      <c r="F2762" s="259">
        <v>2</v>
      </c>
      <c r="G2762" s="259" t="s">
        <v>71</v>
      </c>
      <c r="H2762" s="151" t="s">
        <v>72</v>
      </c>
      <c r="I2762" s="149">
        <f>I2763+I2764</f>
        <v>3603586.2</v>
      </c>
      <c r="J2762" s="149">
        <f>J2763+J2764</f>
        <v>6918</v>
      </c>
      <c r="K2762" s="149">
        <f>K2763+K2764</f>
        <v>7066</v>
      </c>
      <c r="L2762" s="123"/>
      <c r="M2762" s="123"/>
      <c r="N2762" s="123"/>
      <c r="O2762" s="123"/>
      <c r="P2762" s="123"/>
      <c r="Q2762" s="123"/>
      <c r="R2762" s="123"/>
      <c r="S2762" s="123"/>
      <c r="T2762" s="123"/>
      <c r="U2762" s="123"/>
      <c r="V2762" s="123"/>
      <c r="W2762" s="123"/>
      <c r="X2762" s="123"/>
      <c r="Y2762" s="123"/>
      <c r="Z2762" s="123"/>
      <c r="AA2762" s="123"/>
      <c r="AB2762" s="123"/>
      <c r="AC2762" s="123"/>
      <c r="AD2762" s="123"/>
      <c r="AE2762" s="123"/>
      <c r="AF2762" s="123"/>
      <c r="AG2762" s="123"/>
      <c r="AH2762" s="123"/>
      <c r="AI2762" s="123"/>
      <c r="AJ2762" s="123"/>
      <c r="AK2762" s="123"/>
      <c r="AL2762" s="123"/>
      <c r="AM2762" s="123"/>
      <c r="AN2762" s="123"/>
      <c r="AO2762" s="123"/>
      <c r="AP2762" s="123"/>
      <c r="AQ2762" s="123"/>
      <c r="AR2762" s="123"/>
      <c r="AS2762" s="123"/>
      <c r="AT2762" s="123"/>
      <c r="AU2762" s="123"/>
      <c r="AV2762" s="123"/>
      <c r="AW2762" s="123"/>
      <c r="AX2762" s="123"/>
      <c r="AY2762" s="123"/>
      <c r="AZ2762" s="123"/>
      <c r="BA2762" s="123"/>
      <c r="BB2762" s="123"/>
      <c r="BC2762" s="123"/>
      <c r="BD2762" s="123"/>
      <c r="BE2762" s="123"/>
      <c r="BF2762" s="123"/>
      <c r="BG2762" s="123"/>
      <c r="BH2762" s="123"/>
      <c r="BI2762" s="123"/>
      <c r="BJ2762" s="123"/>
      <c r="BK2762" s="123"/>
      <c r="BL2762" s="123"/>
      <c r="BM2762" s="123"/>
      <c r="BN2762" s="123"/>
      <c r="BO2762" s="123"/>
      <c r="BP2762" s="123"/>
      <c r="BQ2762" s="123"/>
      <c r="BR2762" s="123"/>
      <c r="BS2762" s="123"/>
      <c r="BT2762" s="123"/>
      <c r="BU2762" s="123"/>
      <c r="BV2762" s="123"/>
      <c r="BW2762" s="123"/>
      <c r="BX2762" s="123"/>
      <c r="BY2762" s="123"/>
      <c r="BZ2762" s="123"/>
      <c r="CA2762" s="123"/>
      <c r="CB2762" s="123"/>
      <c r="CC2762" s="123"/>
      <c r="CD2762" s="123"/>
      <c r="CE2762" s="123"/>
      <c r="CF2762" s="123"/>
      <c r="CG2762" s="123"/>
      <c r="CH2762" s="123"/>
      <c r="CI2762" s="123"/>
      <c r="CJ2762" s="123"/>
      <c r="CK2762" s="123"/>
      <c r="CL2762" s="123"/>
      <c r="CM2762" s="123"/>
      <c r="CN2762" s="123"/>
      <c r="CO2762" s="123"/>
      <c r="CP2762" s="123"/>
      <c r="CQ2762" s="123"/>
      <c r="CR2762" s="123"/>
      <c r="CS2762" s="123"/>
      <c r="CT2762" s="123"/>
      <c r="CU2762" s="123"/>
      <c r="CV2762" s="123"/>
      <c r="CW2762" s="123"/>
      <c r="CX2762" s="123"/>
      <c r="CY2762" s="123"/>
      <c r="CZ2762" s="123"/>
      <c r="DA2762" s="123"/>
      <c r="DB2762" s="123"/>
      <c r="DC2762" s="123"/>
      <c r="DD2762" s="123"/>
      <c r="DE2762" s="123"/>
      <c r="DF2762" s="123"/>
      <c r="DG2762" s="123"/>
      <c r="DH2762" s="123"/>
      <c r="DI2762" s="123"/>
      <c r="DJ2762" s="123"/>
      <c r="DK2762" s="123"/>
      <c r="DL2762" s="123"/>
      <c r="DM2762" s="123"/>
      <c r="DN2762" s="123"/>
      <c r="DO2762" s="123"/>
      <c r="DP2762" s="123"/>
      <c r="DQ2762" s="123"/>
      <c r="DR2762" s="123"/>
      <c r="DS2762" s="123"/>
      <c r="DT2762" s="123"/>
      <c r="DU2762" s="123"/>
      <c r="DV2762" s="123"/>
      <c r="DW2762" s="123"/>
      <c r="DX2762" s="123"/>
      <c r="DY2762" s="123"/>
      <c r="DZ2762" s="123"/>
      <c r="EA2762" s="123"/>
      <c r="EB2762" s="123"/>
      <c r="EC2762" s="123"/>
      <c r="ED2762" s="123"/>
      <c r="EE2762" s="123"/>
      <c r="EF2762" s="123"/>
      <c r="EG2762" s="123"/>
      <c r="EH2762" s="123"/>
      <c r="EI2762" s="123"/>
      <c r="EJ2762" s="123"/>
      <c r="EK2762" s="123"/>
      <c r="EL2762" s="123"/>
      <c r="EM2762" s="123"/>
      <c r="EN2762" s="123"/>
      <c r="EO2762" s="123"/>
      <c r="EP2762" s="123"/>
      <c r="EQ2762" s="123"/>
      <c r="ER2762" s="123"/>
      <c r="ES2762" s="123"/>
      <c r="ET2762" s="123"/>
      <c r="EU2762" s="123"/>
      <c r="EV2762" s="123"/>
      <c r="EW2762" s="123"/>
      <c r="EX2762" s="123"/>
      <c r="EY2762" s="123"/>
      <c r="EZ2762" s="123"/>
      <c r="FA2762" s="123"/>
      <c r="FB2762" s="123"/>
      <c r="FC2762" s="123"/>
      <c r="FD2762" s="123"/>
      <c r="FE2762" s="123"/>
      <c r="FF2762" s="123"/>
      <c r="FG2762" s="123"/>
      <c r="FH2762" s="123"/>
      <c r="FI2762" s="123"/>
      <c r="FJ2762" s="123"/>
      <c r="FK2762" s="123"/>
      <c r="FL2762" s="123"/>
      <c r="FM2762" s="123"/>
      <c r="FN2762" s="123"/>
      <c r="FO2762" s="123"/>
      <c r="FP2762" s="123"/>
      <c r="FQ2762" s="123"/>
      <c r="FR2762" s="123"/>
      <c r="FS2762" s="123"/>
      <c r="FT2762" s="123"/>
      <c r="FU2762" s="123"/>
      <c r="FV2762" s="123"/>
      <c r="FW2762" s="123"/>
      <c r="FX2762" s="123"/>
      <c r="FY2762" s="123"/>
      <c r="FZ2762" s="123"/>
      <c r="GA2762" s="123"/>
      <c r="GB2762" s="123"/>
      <c r="GC2762" s="123"/>
      <c r="GD2762" s="123"/>
      <c r="GE2762" s="123"/>
      <c r="GF2762" s="123"/>
      <c r="GG2762" s="123"/>
      <c r="GH2762" s="123"/>
      <c r="GI2762" s="123"/>
      <c r="GJ2762" s="123"/>
      <c r="GK2762" s="123"/>
      <c r="GL2762" s="123"/>
      <c r="GM2762" s="123"/>
      <c r="GN2762" s="123"/>
      <c r="GO2762" s="123"/>
      <c r="GP2762" s="123"/>
      <c r="GQ2762" s="123"/>
      <c r="GR2762" s="123"/>
      <c r="GS2762" s="123"/>
      <c r="GT2762" s="123"/>
      <c r="GU2762" s="123"/>
      <c r="GV2762" s="123"/>
      <c r="GW2762" s="123"/>
      <c r="GX2762" s="123"/>
      <c r="GY2762" s="123"/>
      <c r="GZ2762" s="123"/>
      <c r="HA2762" s="123"/>
      <c r="HB2762" s="123"/>
      <c r="HC2762" s="123"/>
      <c r="HD2762" s="123"/>
      <c r="HE2762" s="123"/>
    </row>
    <row r="2763" spans="1:213" s="145" customFormat="1" x14ac:dyDescent="0.35">
      <c r="A2763" s="260"/>
      <c r="B2763" s="260"/>
      <c r="C2763" s="263"/>
      <c r="D2763" s="257"/>
      <c r="E2763" s="260"/>
      <c r="F2763" s="260"/>
      <c r="G2763" s="260"/>
      <c r="H2763" s="151" t="s">
        <v>635</v>
      </c>
      <c r="I2763" s="149">
        <f>D2762*K2763</f>
        <v>3603586.2</v>
      </c>
      <c r="J2763" s="149">
        <f>I2763/D2762</f>
        <v>6918</v>
      </c>
      <c r="K2763" s="149">
        <v>6918</v>
      </c>
      <c r="L2763" s="123"/>
      <c r="M2763" s="123"/>
      <c r="N2763" s="123"/>
      <c r="O2763" s="123"/>
      <c r="P2763" s="123"/>
      <c r="Q2763" s="123"/>
      <c r="R2763" s="123"/>
      <c r="S2763" s="123"/>
      <c r="T2763" s="123"/>
      <c r="U2763" s="123"/>
      <c r="V2763" s="123"/>
      <c r="W2763" s="123"/>
      <c r="X2763" s="123"/>
      <c r="Y2763" s="123"/>
      <c r="Z2763" s="123"/>
      <c r="AA2763" s="123"/>
      <c r="AB2763" s="123"/>
      <c r="AC2763" s="123"/>
      <c r="AD2763" s="123"/>
      <c r="AE2763" s="123"/>
      <c r="AF2763" s="123"/>
      <c r="AG2763" s="123"/>
      <c r="AH2763" s="123"/>
      <c r="AI2763" s="123"/>
      <c r="AJ2763" s="123"/>
      <c r="AK2763" s="123"/>
      <c r="AL2763" s="123"/>
      <c r="AM2763" s="123"/>
      <c r="AN2763" s="123"/>
      <c r="AO2763" s="123"/>
      <c r="AP2763" s="123"/>
      <c r="AQ2763" s="123"/>
      <c r="AR2763" s="123"/>
      <c r="AS2763" s="123"/>
      <c r="AT2763" s="123"/>
      <c r="AU2763" s="123"/>
      <c r="AV2763" s="123"/>
      <c r="AW2763" s="123"/>
      <c r="AX2763" s="123"/>
      <c r="AY2763" s="123"/>
      <c r="AZ2763" s="123"/>
      <c r="BA2763" s="123"/>
      <c r="BB2763" s="123"/>
      <c r="BC2763" s="123"/>
      <c r="BD2763" s="123"/>
      <c r="BE2763" s="123"/>
      <c r="BF2763" s="123"/>
      <c r="BG2763" s="123"/>
      <c r="BH2763" s="123"/>
      <c r="BI2763" s="123"/>
      <c r="BJ2763" s="123"/>
      <c r="BK2763" s="123"/>
      <c r="BL2763" s="123"/>
      <c r="BM2763" s="123"/>
      <c r="BN2763" s="123"/>
      <c r="BO2763" s="123"/>
      <c r="BP2763" s="123"/>
      <c r="BQ2763" s="123"/>
      <c r="BR2763" s="123"/>
      <c r="BS2763" s="123"/>
      <c r="BT2763" s="123"/>
      <c r="BU2763" s="123"/>
      <c r="BV2763" s="123"/>
      <c r="BW2763" s="123"/>
      <c r="BX2763" s="123"/>
      <c r="BY2763" s="123"/>
      <c r="BZ2763" s="123"/>
      <c r="CA2763" s="123"/>
      <c r="CB2763" s="123"/>
      <c r="CC2763" s="123"/>
      <c r="CD2763" s="123"/>
      <c r="CE2763" s="123"/>
      <c r="CF2763" s="123"/>
      <c r="CG2763" s="123"/>
      <c r="CH2763" s="123"/>
      <c r="CI2763" s="123"/>
      <c r="CJ2763" s="123"/>
      <c r="CK2763" s="123"/>
      <c r="CL2763" s="123"/>
      <c r="CM2763" s="123"/>
      <c r="CN2763" s="123"/>
      <c r="CO2763" s="123"/>
      <c r="CP2763" s="123"/>
      <c r="CQ2763" s="123"/>
      <c r="CR2763" s="123"/>
      <c r="CS2763" s="123"/>
      <c r="CT2763" s="123"/>
      <c r="CU2763" s="123"/>
      <c r="CV2763" s="123"/>
      <c r="CW2763" s="123"/>
      <c r="CX2763" s="123"/>
      <c r="CY2763" s="123"/>
      <c r="CZ2763" s="123"/>
      <c r="DA2763" s="123"/>
      <c r="DB2763" s="123"/>
      <c r="DC2763" s="123"/>
      <c r="DD2763" s="123"/>
      <c r="DE2763" s="123"/>
      <c r="DF2763" s="123"/>
      <c r="DG2763" s="123"/>
      <c r="DH2763" s="123"/>
      <c r="DI2763" s="123"/>
      <c r="DJ2763" s="123"/>
      <c r="DK2763" s="123"/>
      <c r="DL2763" s="123"/>
      <c r="DM2763" s="123"/>
      <c r="DN2763" s="123"/>
      <c r="DO2763" s="123"/>
      <c r="DP2763" s="123"/>
      <c r="DQ2763" s="123"/>
      <c r="DR2763" s="123"/>
      <c r="DS2763" s="123"/>
      <c r="DT2763" s="123"/>
      <c r="DU2763" s="123"/>
      <c r="DV2763" s="123"/>
      <c r="DW2763" s="123"/>
      <c r="DX2763" s="123"/>
      <c r="DY2763" s="123"/>
      <c r="DZ2763" s="123"/>
      <c r="EA2763" s="123"/>
      <c r="EB2763" s="123"/>
      <c r="EC2763" s="123"/>
      <c r="ED2763" s="123"/>
      <c r="EE2763" s="123"/>
      <c r="EF2763" s="123"/>
      <c r="EG2763" s="123"/>
      <c r="EH2763" s="123"/>
      <c r="EI2763" s="123"/>
      <c r="EJ2763" s="123"/>
      <c r="EK2763" s="123"/>
      <c r="EL2763" s="123"/>
      <c r="EM2763" s="123"/>
      <c r="EN2763" s="123"/>
      <c r="EO2763" s="123"/>
      <c r="EP2763" s="123"/>
      <c r="EQ2763" s="123"/>
      <c r="ER2763" s="123"/>
      <c r="ES2763" s="123"/>
      <c r="ET2763" s="123"/>
      <c r="EU2763" s="123"/>
      <c r="EV2763" s="123"/>
      <c r="EW2763" s="123"/>
      <c r="EX2763" s="123"/>
      <c r="EY2763" s="123"/>
      <c r="EZ2763" s="123"/>
      <c r="FA2763" s="123"/>
      <c r="FB2763" s="123"/>
      <c r="FC2763" s="123"/>
      <c r="FD2763" s="123"/>
      <c r="FE2763" s="123"/>
      <c r="FF2763" s="123"/>
      <c r="FG2763" s="123"/>
      <c r="FH2763" s="123"/>
      <c r="FI2763" s="123"/>
      <c r="FJ2763" s="123"/>
      <c r="FK2763" s="123"/>
      <c r="FL2763" s="123"/>
      <c r="FM2763" s="123"/>
      <c r="FN2763" s="123"/>
      <c r="FO2763" s="123"/>
      <c r="FP2763" s="123"/>
      <c r="FQ2763" s="123"/>
      <c r="FR2763" s="123"/>
      <c r="FS2763" s="123"/>
      <c r="FT2763" s="123"/>
      <c r="FU2763" s="123"/>
      <c r="FV2763" s="123"/>
      <c r="FW2763" s="123"/>
      <c r="FX2763" s="123"/>
      <c r="FY2763" s="123"/>
      <c r="FZ2763" s="123"/>
      <c r="GA2763" s="123"/>
      <c r="GB2763" s="123"/>
      <c r="GC2763" s="123"/>
      <c r="GD2763" s="123"/>
      <c r="GE2763" s="123"/>
      <c r="GF2763" s="123"/>
      <c r="GG2763" s="123"/>
      <c r="GH2763" s="123"/>
      <c r="GI2763" s="123"/>
      <c r="GJ2763" s="123"/>
      <c r="GK2763" s="123"/>
      <c r="GL2763" s="123"/>
      <c r="GM2763" s="123"/>
      <c r="GN2763" s="123"/>
      <c r="GO2763" s="123"/>
      <c r="GP2763" s="123"/>
      <c r="GQ2763" s="123"/>
      <c r="GR2763" s="123"/>
      <c r="GS2763" s="123"/>
      <c r="GT2763" s="123"/>
      <c r="GU2763" s="123"/>
      <c r="GV2763" s="123"/>
      <c r="GW2763" s="123"/>
      <c r="GX2763" s="123"/>
      <c r="GY2763" s="123"/>
      <c r="GZ2763" s="123"/>
      <c r="HA2763" s="123"/>
      <c r="HB2763" s="123"/>
      <c r="HC2763" s="123"/>
      <c r="HD2763" s="123"/>
      <c r="HE2763" s="123"/>
    </row>
    <row r="2764" spans="1:213" s="145" customFormat="1" x14ac:dyDescent="0.35">
      <c r="A2764" s="261"/>
      <c r="B2764" s="261"/>
      <c r="C2764" s="264"/>
      <c r="D2764" s="258"/>
      <c r="E2764" s="261"/>
      <c r="F2764" s="261"/>
      <c r="G2764" s="261"/>
      <c r="H2764" s="151" t="s">
        <v>75</v>
      </c>
      <c r="I2764" s="149">
        <v>0</v>
      </c>
      <c r="J2764" s="149">
        <v>0</v>
      </c>
      <c r="K2764" s="149">
        <v>148</v>
      </c>
      <c r="L2764" s="123"/>
      <c r="M2764" s="123"/>
      <c r="N2764" s="123"/>
      <c r="O2764" s="123"/>
      <c r="P2764" s="123"/>
      <c r="Q2764" s="123"/>
      <c r="R2764" s="123"/>
      <c r="S2764" s="123"/>
      <c r="T2764" s="123"/>
      <c r="U2764" s="123"/>
      <c r="V2764" s="123"/>
      <c r="W2764" s="123"/>
      <c r="X2764" s="123"/>
      <c r="Y2764" s="123"/>
      <c r="Z2764" s="123"/>
      <c r="AA2764" s="123"/>
      <c r="AB2764" s="123"/>
      <c r="AC2764" s="123"/>
      <c r="AD2764" s="123"/>
      <c r="AE2764" s="123"/>
      <c r="AF2764" s="123"/>
      <c r="AG2764" s="123"/>
      <c r="AH2764" s="123"/>
      <c r="AI2764" s="123"/>
      <c r="AJ2764" s="123"/>
      <c r="AK2764" s="123"/>
      <c r="AL2764" s="123"/>
      <c r="AM2764" s="123"/>
      <c r="AN2764" s="123"/>
      <c r="AO2764" s="123"/>
      <c r="AP2764" s="123"/>
      <c r="AQ2764" s="123"/>
      <c r="AR2764" s="123"/>
      <c r="AS2764" s="123"/>
      <c r="AT2764" s="123"/>
      <c r="AU2764" s="123"/>
      <c r="AV2764" s="123"/>
      <c r="AW2764" s="123"/>
      <c r="AX2764" s="123"/>
      <c r="AY2764" s="123"/>
      <c r="AZ2764" s="123"/>
      <c r="BA2764" s="123"/>
      <c r="BB2764" s="123"/>
      <c r="BC2764" s="123"/>
      <c r="BD2764" s="123"/>
      <c r="BE2764" s="123"/>
      <c r="BF2764" s="123"/>
      <c r="BG2764" s="123"/>
      <c r="BH2764" s="123"/>
      <c r="BI2764" s="123"/>
      <c r="BJ2764" s="123"/>
      <c r="BK2764" s="123"/>
      <c r="BL2764" s="123"/>
      <c r="BM2764" s="123"/>
      <c r="BN2764" s="123"/>
      <c r="BO2764" s="123"/>
      <c r="BP2764" s="123"/>
      <c r="BQ2764" s="123"/>
      <c r="BR2764" s="123"/>
      <c r="BS2764" s="123"/>
      <c r="BT2764" s="123"/>
      <c r="BU2764" s="123"/>
      <c r="BV2764" s="123"/>
      <c r="BW2764" s="123"/>
      <c r="BX2764" s="123"/>
      <c r="BY2764" s="123"/>
      <c r="BZ2764" s="123"/>
      <c r="CA2764" s="123"/>
      <c r="CB2764" s="123"/>
      <c r="CC2764" s="123"/>
      <c r="CD2764" s="123"/>
      <c r="CE2764" s="123"/>
      <c r="CF2764" s="123"/>
      <c r="CG2764" s="123"/>
      <c r="CH2764" s="123"/>
      <c r="CI2764" s="123"/>
      <c r="CJ2764" s="123"/>
      <c r="CK2764" s="123"/>
      <c r="CL2764" s="123"/>
      <c r="CM2764" s="123"/>
      <c r="CN2764" s="123"/>
      <c r="CO2764" s="123"/>
      <c r="CP2764" s="123"/>
      <c r="CQ2764" s="123"/>
      <c r="CR2764" s="123"/>
      <c r="CS2764" s="123"/>
      <c r="CT2764" s="123"/>
      <c r="CU2764" s="123"/>
      <c r="CV2764" s="123"/>
      <c r="CW2764" s="123"/>
      <c r="CX2764" s="123"/>
      <c r="CY2764" s="123"/>
      <c r="CZ2764" s="123"/>
      <c r="DA2764" s="123"/>
      <c r="DB2764" s="123"/>
      <c r="DC2764" s="123"/>
      <c r="DD2764" s="123"/>
      <c r="DE2764" s="123"/>
      <c r="DF2764" s="123"/>
      <c r="DG2764" s="123"/>
      <c r="DH2764" s="123"/>
      <c r="DI2764" s="123"/>
      <c r="DJ2764" s="123"/>
      <c r="DK2764" s="123"/>
      <c r="DL2764" s="123"/>
      <c r="DM2764" s="123"/>
      <c r="DN2764" s="123"/>
      <c r="DO2764" s="123"/>
      <c r="DP2764" s="123"/>
      <c r="DQ2764" s="123"/>
      <c r="DR2764" s="123"/>
      <c r="DS2764" s="123"/>
      <c r="DT2764" s="123"/>
      <c r="DU2764" s="123"/>
      <c r="DV2764" s="123"/>
      <c r="DW2764" s="123"/>
      <c r="DX2764" s="123"/>
      <c r="DY2764" s="123"/>
      <c r="DZ2764" s="123"/>
      <c r="EA2764" s="123"/>
      <c r="EB2764" s="123"/>
      <c r="EC2764" s="123"/>
      <c r="ED2764" s="123"/>
      <c r="EE2764" s="123"/>
      <c r="EF2764" s="123"/>
      <c r="EG2764" s="123"/>
      <c r="EH2764" s="123"/>
      <c r="EI2764" s="123"/>
      <c r="EJ2764" s="123"/>
      <c r="EK2764" s="123"/>
      <c r="EL2764" s="123"/>
      <c r="EM2764" s="123"/>
      <c r="EN2764" s="123"/>
      <c r="EO2764" s="123"/>
      <c r="EP2764" s="123"/>
      <c r="EQ2764" s="123"/>
      <c r="ER2764" s="123"/>
      <c r="ES2764" s="123"/>
      <c r="ET2764" s="123"/>
      <c r="EU2764" s="123"/>
      <c r="EV2764" s="123"/>
      <c r="EW2764" s="123"/>
      <c r="EX2764" s="123"/>
      <c r="EY2764" s="123"/>
      <c r="EZ2764" s="123"/>
      <c r="FA2764" s="123"/>
      <c r="FB2764" s="123"/>
      <c r="FC2764" s="123"/>
      <c r="FD2764" s="123"/>
      <c r="FE2764" s="123"/>
      <c r="FF2764" s="123"/>
      <c r="FG2764" s="123"/>
      <c r="FH2764" s="123"/>
      <c r="FI2764" s="123"/>
      <c r="FJ2764" s="123"/>
      <c r="FK2764" s="123"/>
      <c r="FL2764" s="123"/>
      <c r="FM2764" s="123"/>
      <c r="FN2764" s="123"/>
      <c r="FO2764" s="123"/>
      <c r="FP2764" s="123"/>
      <c r="FQ2764" s="123"/>
      <c r="FR2764" s="123"/>
      <c r="FS2764" s="123"/>
      <c r="FT2764" s="123"/>
      <c r="FU2764" s="123"/>
      <c r="FV2764" s="123"/>
      <c r="FW2764" s="123"/>
      <c r="FX2764" s="123"/>
      <c r="FY2764" s="123"/>
      <c r="FZ2764" s="123"/>
      <c r="GA2764" s="123"/>
      <c r="GB2764" s="123"/>
      <c r="GC2764" s="123"/>
      <c r="GD2764" s="123"/>
      <c r="GE2764" s="123"/>
      <c r="GF2764" s="123"/>
      <c r="GG2764" s="123"/>
      <c r="GH2764" s="123"/>
      <c r="GI2764" s="123"/>
      <c r="GJ2764" s="123"/>
      <c r="GK2764" s="123"/>
      <c r="GL2764" s="123"/>
      <c r="GM2764" s="123"/>
      <c r="GN2764" s="123"/>
      <c r="GO2764" s="123"/>
      <c r="GP2764" s="123"/>
      <c r="GQ2764" s="123"/>
      <c r="GR2764" s="123"/>
      <c r="GS2764" s="123"/>
      <c r="GT2764" s="123"/>
      <c r="GU2764" s="123"/>
      <c r="GV2764" s="123"/>
      <c r="GW2764" s="123"/>
      <c r="GX2764" s="123"/>
      <c r="GY2764" s="123"/>
      <c r="GZ2764" s="123"/>
      <c r="HA2764" s="123"/>
      <c r="HB2764" s="123"/>
      <c r="HC2764" s="123"/>
      <c r="HD2764" s="123"/>
      <c r="HE2764" s="123"/>
    </row>
    <row r="2765" spans="1:213" s="145" customFormat="1" x14ac:dyDescent="0.35">
      <c r="A2765" s="259">
        <f>A2762+1</f>
        <v>14</v>
      </c>
      <c r="B2765" s="259">
        <v>6271</v>
      </c>
      <c r="C2765" s="262" t="s">
        <v>507</v>
      </c>
      <c r="D2765" s="256">
        <v>1461</v>
      </c>
      <c r="E2765" s="259" t="s">
        <v>79</v>
      </c>
      <c r="F2765" s="259">
        <v>3</v>
      </c>
      <c r="G2765" s="259" t="s">
        <v>71</v>
      </c>
      <c r="H2765" s="151" t="s">
        <v>72</v>
      </c>
      <c r="I2765" s="149">
        <f>I2766+I2767</f>
        <v>6762969</v>
      </c>
      <c r="J2765" s="149">
        <f>J2766+J2767</f>
        <v>4629</v>
      </c>
      <c r="K2765" s="149">
        <f>K2766+K2767</f>
        <v>4728</v>
      </c>
      <c r="L2765" s="123"/>
      <c r="M2765" s="123"/>
      <c r="N2765" s="123"/>
      <c r="O2765" s="123"/>
      <c r="P2765" s="123"/>
      <c r="Q2765" s="123"/>
      <c r="R2765" s="123"/>
      <c r="S2765" s="123"/>
      <c r="T2765" s="123"/>
      <c r="U2765" s="123"/>
      <c r="V2765" s="123"/>
      <c r="W2765" s="123"/>
      <c r="X2765" s="123"/>
      <c r="Y2765" s="123"/>
      <c r="Z2765" s="123"/>
      <c r="AA2765" s="123"/>
      <c r="AB2765" s="123"/>
      <c r="AC2765" s="123"/>
      <c r="AD2765" s="123"/>
      <c r="AE2765" s="123"/>
      <c r="AF2765" s="123"/>
      <c r="AG2765" s="123"/>
      <c r="AH2765" s="123"/>
      <c r="AI2765" s="123"/>
      <c r="AJ2765" s="123"/>
      <c r="AK2765" s="123"/>
      <c r="AL2765" s="123"/>
      <c r="AM2765" s="123"/>
      <c r="AN2765" s="123"/>
      <c r="AO2765" s="123"/>
      <c r="AP2765" s="123"/>
      <c r="AQ2765" s="123"/>
      <c r="AR2765" s="123"/>
      <c r="AS2765" s="123"/>
      <c r="AT2765" s="123"/>
      <c r="AU2765" s="123"/>
      <c r="AV2765" s="123"/>
      <c r="AW2765" s="123"/>
      <c r="AX2765" s="123"/>
      <c r="AY2765" s="123"/>
      <c r="AZ2765" s="123"/>
      <c r="BA2765" s="123"/>
      <c r="BB2765" s="123"/>
      <c r="BC2765" s="123"/>
      <c r="BD2765" s="123"/>
      <c r="BE2765" s="123"/>
      <c r="BF2765" s="123"/>
      <c r="BG2765" s="123"/>
      <c r="BH2765" s="123"/>
      <c r="BI2765" s="123"/>
      <c r="BJ2765" s="123"/>
      <c r="BK2765" s="123"/>
      <c r="BL2765" s="123"/>
      <c r="BM2765" s="123"/>
      <c r="BN2765" s="123"/>
      <c r="BO2765" s="123"/>
      <c r="BP2765" s="123"/>
      <c r="BQ2765" s="123"/>
      <c r="BR2765" s="123"/>
      <c r="BS2765" s="123"/>
      <c r="BT2765" s="123"/>
      <c r="BU2765" s="123"/>
      <c r="BV2765" s="123"/>
      <c r="BW2765" s="123"/>
      <c r="BX2765" s="123"/>
      <c r="BY2765" s="123"/>
      <c r="BZ2765" s="123"/>
      <c r="CA2765" s="123"/>
      <c r="CB2765" s="123"/>
      <c r="CC2765" s="123"/>
      <c r="CD2765" s="123"/>
      <c r="CE2765" s="123"/>
      <c r="CF2765" s="123"/>
      <c r="CG2765" s="123"/>
      <c r="CH2765" s="123"/>
      <c r="CI2765" s="123"/>
      <c r="CJ2765" s="123"/>
      <c r="CK2765" s="123"/>
      <c r="CL2765" s="123"/>
      <c r="CM2765" s="123"/>
      <c r="CN2765" s="123"/>
      <c r="CO2765" s="123"/>
      <c r="CP2765" s="123"/>
      <c r="CQ2765" s="123"/>
      <c r="CR2765" s="123"/>
      <c r="CS2765" s="123"/>
      <c r="CT2765" s="123"/>
      <c r="CU2765" s="123"/>
      <c r="CV2765" s="123"/>
      <c r="CW2765" s="123"/>
      <c r="CX2765" s="123"/>
      <c r="CY2765" s="123"/>
      <c r="CZ2765" s="123"/>
      <c r="DA2765" s="123"/>
      <c r="DB2765" s="123"/>
      <c r="DC2765" s="123"/>
      <c r="DD2765" s="123"/>
      <c r="DE2765" s="123"/>
      <c r="DF2765" s="123"/>
      <c r="DG2765" s="123"/>
      <c r="DH2765" s="123"/>
      <c r="DI2765" s="123"/>
      <c r="DJ2765" s="123"/>
      <c r="DK2765" s="123"/>
      <c r="DL2765" s="123"/>
      <c r="DM2765" s="123"/>
      <c r="DN2765" s="123"/>
      <c r="DO2765" s="123"/>
      <c r="DP2765" s="123"/>
      <c r="DQ2765" s="123"/>
      <c r="DR2765" s="123"/>
      <c r="DS2765" s="123"/>
      <c r="DT2765" s="123"/>
      <c r="DU2765" s="123"/>
      <c r="DV2765" s="123"/>
      <c r="DW2765" s="123"/>
      <c r="DX2765" s="123"/>
      <c r="DY2765" s="123"/>
      <c r="DZ2765" s="123"/>
      <c r="EA2765" s="123"/>
      <c r="EB2765" s="123"/>
      <c r="EC2765" s="123"/>
      <c r="ED2765" s="123"/>
      <c r="EE2765" s="123"/>
      <c r="EF2765" s="123"/>
      <c r="EG2765" s="123"/>
      <c r="EH2765" s="123"/>
      <c r="EI2765" s="123"/>
      <c r="EJ2765" s="123"/>
      <c r="EK2765" s="123"/>
      <c r="EL2765" s="123"/>
      <c r="EM2765" s="123"/>
      <c r="EN2765" s="123"/>
      <c r="EO2765" s="123"/>
      <c r="EP2765" s="123"/>
      <c r="EQ2765" s="123"/>
      <c r="ER2765" s="123"/>
      <c r="ES2765" s="123"/>
      <c r="ET2765" s="123"/>
      <c r="EU2765" s="123"/>
      <c r="EV2765" s="123"/>
      <c r="EW2765" s="123"/>
      <c r="EX2765" s="123"/>
      <c r="EY2765" s="123"/>
      <c r="EZ2765" s="123"/>
      <c r="FA2765" s="123"/>
      <c r="FB2765" s="123"/>
      <c r="FC2765" s="123"/>
      <c r="FD2765" s="123"/>
      <c r="FE2765" s="123"/>
      <c r="FF2765" s="123"/>
      <c r="FG2765" s="123"/>
      <c r="FH2765" s="123"/>
      <c r="FI2765" s="123"/>
      <c r="FJ2765" s="123"/>
      <c r="FK2765" s="123"/>
      <c r="FL2765" s="123"/>
      <c r="FM2765" s="123"/>
      <c r="FN2765" s="123"/>
      <c r="FO2765" s="123"/>
      <c r="FP2765" s="123"/>
      <c r="FQ2765" s="123"/>
      <c r="FR2765" s="123"/>
      <c r="FS2765" s="123"/>
      <c r="FT2765" s="123"/>
      <c r="FU2765" s="123"/>
      <c r="FV2765" s="123"/>
      <c r="FW2765" s="123"/>
      <c r="FX2765" s="123"/>
      <c r="FY2765" s="123"/>
      <c r="FZ2765" s="123"/>
      <c r="GA2765" s="123"/>
      <c r="GB2765" s="123"/>
      <c r="GC2765" s="123"/>
      <c r="GD2765" s="123"/>
      <c r="GE2765" s="123"/>
      <c r="GF2765" s="123"/>
      <c r="GG2765" s="123"/>
      <c r="GH2765" s="123"/>
      <c r="GI2765" s="123"/>
      <c r="GJ2765" s="123"/>
      <c r="GK2765" s="123"/>
      <c r="GL2765" s="123"/>
      <c r="GM2765" s="123"/>
      <c r="GN2765" s="123"/>
      <c r="GO2765" s="123"/>
      <c r="GP2765" s="123"/>
      <c r="GQ2765" s="123"/>
      <c r="GR2765" s="123"/>
      <c r="GS2765" s="123"/>
      <c r="GT2765" s="123"/>
      <c r="GU2765" s="123"/>
      <c r="GV2765" s="123"/>
      <c r="GW2765" s="123"/>
      <c r="GX2765" s="123"/>
      <c r="GY2765" s="123"/>
      <c r="GZ2765" s="123"/>
      <c r="HA2765" s="123"/>
      <c r="HB2765" s="123"/>
      <c r="HC2765" s="123"/>
      <c r="HD2765" s="123"/>
      <c r="HE2765" s="123"/>
    </row>
    <row r="2766" spans="1:213" s="145" customFormat="1" x14ac:dyDescent="0.35">
      <c r="A2766" s="260"/>
      <c r="B2766" s="260"/>
      <c r="C2766" s="263"/>
      <c r="D2766" s="257"/>
      <c r="E2766" s="260"/>
      <c r="F2766" s="260"/>
      <c r="G2766" s="260"/>
      <c r="H2766" s="151" t="s">
        <v>635</v>
      </c>
      <c r="I2766" s="149">
        <f>D2765*K2766</f>
        <v>6762969</v>
      </c>
      <c r="J2766" s="149">
        <f>I2766/D2765</f>
        <v>4629</v>
      </c>
      <c r="K2766" s="149">
        <v>4629</v>
      </c>
      <c r="L2766" s="123"/>
      <c r="M2766" s="123"/>
      <c r="N2766" s="123"/>
      <c r="O2766" s="123"/>
      <c r="P2766" s="123"/>
      <c r="Q2766" s="123"/>
      <c r="R2766" s="123"/>
      <c r="S2766" s="123"/>
      <c r="T2766" s="123"/>
      <c r="U2766" s="123"/>
      <c r="V2766" s="123"/>
      <c r="W2766" s="123"/>
      <c r="X2766" s="123"/>
      <c r="Y2766" s="123"/>
      <c r="Z2766" s="123"/>
      <c r="AA2766" s="123"/>
      <c r="AB2766" s="123"/>
      <c r="AC2766" s="123"/>
      <c r="AD2766" s="123"/>
      <c r="AE2766" s="123"/>
      <c r="AF2766" s="123"/>
      <c r="AG2766" s="123"/>
      <c r="AH2766" s="123"/>
      <c r="AI2766" s="123"/>
      <c r="AJ2766" s="123"/>
      <c r="AK2766" s="123"/>
      <c r="AL2766" s="123"/>
      <c r="AM2766" s="123"/>
      <c r="AN2766" s="123"/>
      <c r="AO2766" s="123"/>
      <c r="AP2766" s="123"/>
      <c r="AQ2766" s="123"/>
      <c r="AR2766" s="123"/>
      <c r="AS2766" s="123"/>
      <c r="AT2766" s="123"/>
      <c r="AU2766" s="123"/>
      <c r="AV2766" s="123"/>
      <c r="AW2766" s="123"/>
      <c r="AX2766" s="123"/>
      <c r="AY2766" s="123"/>
      <c r="AZ2766" s="123"/>
      <c r="BA2766" s="123"/>
      <c r="BB2766" s="123"/>
      <c r="BC2766" s="123"/>
      <c r="BD2766" s="123"/>
      <c r="BE2766" s="123"/>
      <c r="BF2766" s="123"/>
      <c r="BG2766" s="123"/>
      <c r="BH2766" s="123"/>
      <c r="BI2766" s="123"/>
      <c r="BJ2766" s="123"/>
      <c r="BK2766" s="123"/>
      <c r="BL2766" s="123"/>
      <c r="BM2766" s="123"/>
      <c r="BN2766" s="123"/>
      <c r="BO2766" s="123"/>
      <c r="BP2766" s="123"/>
      <c r="BQ2766" s="123"/>
      <c r="BR2766" s="123"/>
      <c r="BS2766" s="123"/>
      <c r="BT2766" s="123"/>
      <c r="BU2766" s="123"/>
      <c r="BV2766" s="123"/>
      <c r="BW2766" s="123"/>
      <c r="BX2766" s="123"/>
      <c r="BY2766" s="123"/>
      <c r="BZ2766" s="123"/>
      <c r="CA2766" s="123"/>
      <c r="CB2766" s="123"/>
      <c r="CC2766" s="123"/>
      <c r="CD2766" s="123"/>
      <c r="CE2766" s="123"/>
      <c r="CF2766" s="123"/>
      <c r="CG2766" s="123"/>
      <c r="CH2766" s="123"/>
      <c r="CI2766" s="123"/>
      <c r="CJ2766" s="123"/>
      <c r="CK2766" s="123"/>
      <c r="CL2766" s="123"/>
      <c r="CM2766" s="123"/>
      <c r="CN2766" s="123"/>
      <c r="CO2766" s="123"/>
      <c r="CP2766" s="123"/>
      <c r="CQ2766" s="123"/>
      <c r="CR2766" s="123"/>
      <c r="CS2766" s="123"/>
      <c r="CT2766" s="123"/>
      <c r="CU2766" s="123"/>
      <c r="CV2766" s="123"/>
      <c r="CW2766" s="123"/>
      <c r="CX2766" s="123"/>
      <c r="CY2766" s="123"/>
      <c r="CZ2766" s="123"/>
      <c r="DA2766" s="123"/>
      <c r="DB2766" s="123"/>
      <c r="DC2766" s="123"/>
      <c r="DD2766" s="123"/>
      <c r="DE2766" s="123"/>
      <c r="DF2766" s="123"/>
      <c r="DG2766" s="123"/>
      <c r="DH2766" s="123"/>
      <c r="DI2766" s="123"/>
      <c r="DJ2766" s="123"/>
      <c r="DK2766" s="123"/>
      <c r="DL2766" s="123"/>
      <c r="DM2766" s="123"/>
      <c r="DN2766" s="123"/>
      <c r="DO2766" s="123"/>
      <c r="DP2766" s="123"/>
      <c r="DQ2766" s="123"/>
      <c r="DR2766" s="123"/>
      <c r="DS2766" s="123"/>
      <c r="DT2766" s="123"/>
      <c r="DU2766" s="123"/>
      <c r="DV2766" s="123"/>
      <c r="DW2766" s="123"/>
      <c r="DX2766" s="123"/>
      <c r="DY2766" s="123"/>
      <c r="DZ2766" s="123"/>
      <c r="EA2766" s="123"/>
      <c r="EB2766" s="123"/>
      <c r="EC2766" s="123"/>
      <c r="ED2766" s="123"/>
      <c r="EE2766" s="123"/>
      <c r="EF2766" s="123"/>
      <c r="EG2766" s="123"/>
      <c r="EH2766" s="123"/>
      <c r="EI2766" s="123"/>
      <c r="EJ2766" s="123"/>
      <c r="EK2766" s="123"/>
      <c r="EL2766" s="123"/>
      <c r="EM2766" s="123"/>
      <c r="EN2766" s="123"/>
      <c r="EO2766" s="123"/>
      <c r="EP2766" s="123"/>
      <c r="EQ2766" s="123"/>
      <c r="ER2766" s="123"/>
      <c r="ES2766" s="123"/>
      <c r="ET2766" s="123"/>
      <c r="EU2766" s="123"/>
      <c r="EV2766" s="123"/>
      <c r="EW2766" s="123"/>
      <c r="EX2766" s="123"/>
      <c r="EY2766" s="123"/>
      <c r="EZ2766" s="123"/>
      <c r="FA2766" s="123"/>
      <c r="FB2766" s="123"/>
      <c r="FC2766" s="123"/>
      <c r="FD2766" s="123"/>
      <c r="FE2766" s="123"/>
      <c r="FF2766" s="123"/>
      <c r="FG2766" s="123"/>
      <c r="FH2766" s="123"/>
      <c r="FI2766" s="123"/>
      <c r="FJ2766" s="123"/>
      <c r="FK2766" s="123"/>
      <c r="FL2766" s="123"/>
      <c r="FM2766" s="123"/>
      <c r="FN2766" s="123"/>
      <c r="FO2766" s="123"/>
      <c r="FP2766" s="123"/>
      <c r="FQ2766" s="123"/>
      <c r="FR2766" s="123"/>
      <c r="FS2766" s="123"/>
      <c r="FT2766" s="123"/>
      <c r="FU2766" s="123"/>
      <c r="FV2766" s="123"/>
      <c r="FW2766" s="123"/>
      <c r="FX2766" s="123"/>
      <c r="FY2766" s="123"/>
      <c r="FZ2766" s="123"/>
      <c r="GA2766" s="123"/>
      <c r="GB2766" s="123"/>
      <c r="GC2766" s="123"/>
      <c r="GD2766" s="123"/>
      <c r="GE2766" s="123"/>
      <c r="GF2766" s="123"/>
      <c r="GG2766" s="123"/>
      <c r="GH2766" s="123"/>
      <c r="GI2766" s="123"/>
      <c r="GJ2766" s="123"/>
      <c r="GK2766" s="123"/>
      <c r="GL2766" s="123"/>
      <c r="GM2766" s="123"/>
      <c r="GN2766" s="123"/>
      <c r="GO2766" s="123"/>
      <c r="GP2766" s="123"/>
      <c r="GQ2766" s="123"/>
      <c r="GR2766" s="123"/>
      <c r="GS2766" s="123"/>
      <c r="GT2766" s="123"/>
      <c r="GU2766" s="123"/>
      <c r="GV2766" s="123"/>
      <c r="GW2766" s="123"/>
      <c r="GX2766" s="123"/>
      <c r="GY2766" s="123"/>
      <c r="GZ2766" s="123"/>
      <c r="HA2766" s="123"/>
      <c r="HB2766" s="123"/>
      <c r="HC2766" s="123"/>
      <c r="HD2766" s="123"/>
      <c r="HE2766" s="123"/>
    </row>
    <row r="2767" spans="1:213" s="145" customFormat="1" x14ac:dyDescent="0.35">
      <c r="A2767" s="261"/>
      <c r="B2767" s="261"/>
      <c r="C2767" s="264"/>
      <c r="D2767" s="258"/>
      <c r="E2767" s="261"/>
      <c r="F2767" s="261"/>
      <c r="G2767" s="261"/>
      <c r="H2767" s="151" t="s">
        <v>75</v>
      </c>
      <c r="I2767" s="149">
        <v>0</v>
      </c>
      <c r="J2767" s="149">
        <v>0</v>
      </c>
      <c r="K2767" s="149">
        <v>99</v>
      </c>
      <c r="L2767" s="123"/>
      <c r="M2767" s="123"/>
      <c r="N2767" s="123"/>
      <c r="O2767" s="123"/>
      <c r="P2767" s="123"/>
      <c r="Q2767" s="123"/>
      <c r="R2767" s="123"/>
      <c r="S2767" s="123"/>
      <c r="T2767" s="123"/>
      <c r="U2767" s="123"/>
      <c r="V2767" s="123"/>
      <c r="W2767" s="123"/>
      <c r="X2767" s="123"/>
      <c r="Y2767" s="123"/>
      <c r="Z2767" s="123"/>
      <c r="AA2767" s="123"/>
      <c r="AB2767" s="123"/>
      <c r="AC2767" s="123"/>
      <c r="AD2767" s="123"/>
      <c r="AE2767" s="123"/>
      <c r="AF2767" s="123"/>
      <c r="AG2767" s="123"/>
      <c r="AH2767" s="123"/>
      <c r="AI2767" s="123"/>
      <c r="AJ2767" s="123"/>
      <c r="AK2767" s="123"/>
      <c r="AL2767" s="123"/>
      <c r="AM2767" s="123"/>
      <c r="AN2767" s="123"/>
      <c r="AO2767" s="123"/>
      <c r="AP2767" s="123"/>
      <c r="AQ2767" s="123"/>
      <c r="AR2767" s="123"/>
      <c r="AS2767" s="123"/>
      <c r="AT2767" s="123"/>
      <c r="AU2767" s="123"/>
      <c r="AV2767" s="123"/>
      <c r="AW2767" s="123"/>
      <c r="AX2767" s="123"/>
      <c r="AY2767" s="123"/>
      <c r="AZ2767" s="123"/>
      <c r="BA2767" s="123"/>
      <c r="BB2767" s="123"/>
      <c r="BC2767" s="123"/>
      <c r="BD2767" s="123"/>
      <c r="BE2767" s="123"/>
      <c r="BF2767" s="123"/>
      <c r="BG2767" s="123"/>
      <c r="BH2767" s="123"/>
      <c r="BI2767" s="123"/>
      <c r="BJ2767" s="123"/>
      <c r="BK2767" s="123"/>
      <c r="BL2767" s="123"/>
      <c r="BM2767" s="123"/>
      <c r="BN2767" s="123"/>
      <c r="BO2767" s="123"/>
      <c r="BP2767" s="123"/>
      <c r="BQ2767" s="123"/>
      <c r="BR2767" s="123"/>
      <c r="BS2767" s="123"/>
      <c r="BT2767" s="123"/>
      <c r="BU2767" s="123"/>
      <c r="BV2767" s="123"/>
      <c r="BW2767" s="123"/>
      <c r="BX2767" s="123"/>
      <c r="BY2767" s="123"/>
      <c r="BZ2767" s="123"/>
      <c r="CA2767" s="123"/>
      <c r="CB2767" s="123"/>
      <c r="CC2767" s="123"/>
      <c r="CD2767" s="123"/>
      <c r="CE2767" s="123"/>
      <c r="CF2767" s="123"/>
      <c r="CG2767" s="123"/>
      <c r="CH2767" s="123"/>
      <c r="CI2767" s="123"/>
      <c r="CJ2767" s="123"/>
      <c r="CK2767" s="123"/>
      <c r="CL2767" s="123"/>
      <c r="CM2767" s="123"/>
      <c r="CN2767" s="123"/>
      <c r="CO2767" s="123"/>
      <c r="CP2767" s="123"/>
      <c r="CQ2767" s="123"/>
      <c r="CR2767" s="123"/>
      <c r="CS2767" s="123"/>
      <c r="CT2767" s="123"/>
      <c r="CU2767" s="123"/>
      <c r="CV2767" s="123"/>
      <c r="CW2767" s="123"/>
      <c r="CX2767" s="123"/>
      <c r="CY2767" s="123"/>
      <c r="CZ2767" s="123"/>
      <c r="DA2767" s="123"/>
      <c r="DB2767" s="123"/>
      <c r="DC2767" s="123"/>
      <c r="DD2767" s="123"/>
      <c r="DE2767" s="123"/>
      <c r="DF2767" s="123"/>
      <c r="DG2767" s="123"/>
      <c r="DH2767" s="123"/>
      <c r="DI2767" s="123"/>
      <c r="DJ2767" s="123"/>
      <c r="DK2767" s="123"/>
      <c r="DL2767" s="123"/>
      <c r="DM2767" s="123"/>
      <c r="DN2767" s="123"/>
      <c r="DO2767" s="123"/>
      <c r="DP2767" s="123"/>
      <c r="DQ2767" s="123"/>
      <c r="DR2767" s="123"/>
      <c r="DS2767" s="123"/>
      <c r="DT2767" s="123"/>
      <c r="DU2767" s="123"/>
      <c r="DV2767" s="123"/>
      <c r="DW2767" s="123"/>
      <c r="DX2767" s="123"/>
      <c r="DY2767" s="123"/>
      <c r="DZ2767" s="123"/>
      <c r="EA2767" s="123"/>
      <c r="EB2767" s="123"/>
      <c r="EC2767" s="123"/>
      <c r="ED2767" s="123"/>
      <c r="EE2767" s="123"/>
      <c r="EF2767" s="123"/>
      <c r="EG2767" s="123"/>
      <c r="EH2767" s="123"/>
      <c r="EI2767" s="123"/>
      <c r="EJ2767" s="123"/>
      <c r="EK2767" s="123"/>
      <c r="EL2767" s="123"/>
      <c r="EM2767" s="123"/>
      <c r="EN2767" s="123"/>
      <c r="EO2767" s="123"/>
      <c r="EP2767" s="123"/>
      <c r="EQ2767" s="123"/>
      <c r="ER2767" s="123"/>
      <c r="ES2767" s="123"/>
      <c r="ET2767" s="123"/>
      <c r="EU2767" s="123"/>
      <c r="EV2767" s="123"/>
      <c r="EW2767" s="123"/>
      <c r="EX2767" s="123"/>
      <c r="EY2767" s="123"/>
      <c r="EZ2767" s="123"/>
      <c r="FA2767" s="123"/>
      <c r="FB2767" s="123"/>
      <c r="FC2767" s="123"/>
      <c r="FD2767" s="123"/>
      <c r="FE2767" s="123"/>
      <c r="FF2767" s="123"/>
      <c r="FG2767" s="123"/>
      <c r="FH2767" s="123"/>
      <c r="FI2767" s="123"/>
      <c r="FJ2767" s="123"/>
      <c r="FK2767" s="123"/>
      <c r="FL2767" s="123"/>
      <c r="FM2767" s="123"/>
      <c r="FN2767" s="123"/>
      <c r="FO2767" s="123"/>
      <c r="FP2767" s="123"/>
      <c r="FQ2767" s="123"/>
      <c r="FR2767" s="123"/>
      <c r="FS2767" s="123"/>
      <c r="FT2767" s="123"/>
      <c r="FU2767" s="123"/>
      <c r="FV2767" s="123"/>
      <c r="FW2767" s="123"/>
      <c r="FX2767" s="123"/>
      <c r="FY2767" s="123"/>
      <c r="FZ2767" s="123"/>
      <c r="GA2767" s="123"/>
      <c r="GB2767" s="123"/>
      <c r="GC2767" s="123"/>
      <c r="GD2767" s="123"/>
      <c r="GE2767" s="123"/>
      <c r="GF2767" s="123"/>
      <c r="GG2767" s="123"/>
      <c r="GH2767" s="123"/>
      <c r="GI2767" s="123"/>
      <c r="GJ2767" s="123"/>
      <c r="GK2767" s="123"/>
      <c r="GL2767" s="123"/>
      <c r="GM2767" s="123"/>
      <c r="GN2767" s="123"/>
      <c r="GO2767" s="123"/>
      <c r="GP2767" s="123"/>
      <c r="GQ2767" s="123"/>
      <c r="GR2767" s="123"/>
      <c r="GS2767" s="123"/>
      <c r="GT2767" s="123"/>
      <c r="GU2767" s="123"/>
      <c r="GV2767" s="123"/>
      <c r="GW2767" s="123"/>
      <c r="GX2767" s="123"/>
      <c r="GY2767" s="123"/>
      <c r="GZ2767" s="123"/>
      <c r="HA2767" s="123"/>
      <c r="HB2767" s="123"/>
      <c r="HC2767" s="123"/>
      <c r="HD2767" s="123"/>
      <c r="HE2767" s="123"/>
    </row>
    <row r="2768" spans="1:213" s="145" customFormat="1" x14ac:dyDescent="0.35">
      <c r="A2768" s="265">
        <f>A2765+1</f>
        <v>15</v>
      </c>
      <c r="B2768" s="265">
        <v>6273</v>
      </c>
      <c r="C2768" s="266" t="s">
        <v>627</v>
      </c>
      <c r="D2768" s="295">
        <v>1500.8</v>
      </c>
      <c r="E2768" s="295" t="s">
        <v>79</v>
      </c>
      <c r="F2768" s="296">
        <v>3</v>
      </c>
      <c r="G2768" s="265" t="s">
        <v>71</v>
      </c>
      <c r="H2768" s="151" t="s">
        <v>72</v>
      </c>
      <c r="I2768" s="149">
        <f>I2769</f>
        <v>378201.59999999998</v>
      </c>
      <c r="J2768" s="149">
        <f>J2769</f>
        <v>252</v>
      </c>
      <c r="K2768" s="149">
        <f>K2769</f>
        <v>252</v>
      </c>
      <c r="L2768" s="123"/>
      <c r="M2768" s="123"/>
      <c r="N2768" s="123"/>
      <c r="O2768" s="123"/>
      <c r="P2768" s="123"/>
      <c r="Q2768" s="123"/>
      <c r="R2768" s="123"/>
      <c r="S2768" s="123"/>
      <c r="T2768" s="123"/>
      <c r="U2768" s="123"/>
      <c r="V2768" s="123"/>
      <c r="W2768" s="123"/>
      <c r="X2768" s="123"/>
      <c r="Y2768" s="123"/>
      <c r="Z2768" s="123"/>
      <c r="AA2768" s="123"/>
      <c r="AB2768" s="123"/>
      <c r="AC2768" s="123"/>
      <c r="AD2768" s="123"/>
      <c r="AE2768" s="123"/>
      <c r="AF2768" s="123"/>
      <c r="AG2768" s="123"/>
      <c r="AH2768" s="123"/>
      <c r="AI2768" s="123"/>
      <c r="AJ2768" s="123"/>
      <c r="AK2768" s="123"/>
      <c r="AL2768" s="123"/>
      <c r="AM2768" s="123"/>
      <c r="AN2768" s="123"/>
      <c r="AO2768" s="123"/>
      <c r="AP2768" s="123"/>
      <c r="AQ2768" s="123"/>
      <c r="AR2768" s="123"/>
      <c r="AS2768" s="123"/>
      <c r="AT2768" s="123"/>
      <c r="AU2768" s="123"/>
      <c r="AV2768" s="123"/>
      <c r="AW2768" s="123"/>
      <c r="AX2768" s="123"/>
      <c r="AY2768" s="123"/>
      <c r="AZ2768" s="123"/>
      <c r="BA2768" s="123"/>
      <c r="BB2768" s="123"/>
      <c r="BC2768" s="123"/>
      <c r="BD2768" s="123"/>
      <c r="BE2768" s="123"/>
      <c r="BF2768" s="123"/>
      <c r="BG2768" s="123"/>
      <c r="BH2768" s="123"/>
      <c r="BI2768" s="123"/>
      <c r="BJ2768" s="123"/>
      <c r="BK2768" s="123"/>
      <c r="BL2768" s="123"/>
      <c r="BM2768" s="123"/>
      <c r="BN2768" s="123"/>
      <c r="BO2768" s="123"/>
      <c r="BP2768" s="123"/>
      <c r="BQ2768" s="123"/>
      <c r="BR2768" s="123"/>
      <c r="BS2768" s="123"/>
      <c r="BT2768" s="123"/>
      <c r="BU2768" s="123"/>
      <c r="BV2768" s="123"/>
      <c r="BW2768" s="123"/>
      <c r="BX2768" s="123"/>
      <c r="BY2768" s="123"/>
      <c r="BZ2768" s="123"/>
      <c r="CA2768" s="123"/>
      <c r="CB2768" s="123"/>
      <c r="CC2768" s="123"/>
      <c r="CD2768" s="123"/>
      <c r="CE2768" s="123"/>
      <c r="CF2768" s="123"/>
      <c r="CG2768" s="123"/>
      <c r="CH2768" s="123"/>
      <c r="CI2768" s="123"/>
      <c r="CJ2768" s="123"/>
      <c r="CK2768" s="123"/>
      <c r="CL2768" s="123"/>
      <c r="CM2768" s="123"/>
      <c r="CN2768" s="123"/>
      <c r="CO2768" s="123"/>
      <c r="CP2768" s="123"/>
      <c r="CQ2768" s="123"/>
      <c r="CR2768" s="123"/>
      <c r="CS2768" s="123"/>
      <c r="CT2768" s="123"/>
      <c r="CU2768" s="123"/>
      <c r="CV2768" s="123"/>
      <c r="CW2768" s="123"/>
      <c r="CX2768" s="123"/>
      <c r="CY2768" s="123"/>
      <c r="CZ2768" s="123"/>
      <c r="DA2768" s="123"/>
      <c r="DB2768" s="123"/>
      <c r="DC2768" s="123"/>
      <c r="DD2768" s="123"/>
      <c r="DE2768" s="123"/>
      <c r="DF2768" s="123"/>
      <c r="DG2768" s="123"/>
      <c r="DH2768" s="123"/>
      <c r="DI2768" s="123"/>
      <c r="DJ2768" s="123"/>
      <c r="DK2768" s="123"/>
      <c r="DL2768" s="123"/>
      <c r="DM2768" s="123"/>
      <c r="DN2768" s="123"/>
      <c r="DO2768" s="123"/>
      <c r="DP2768" s="123"/>
      <c r="DQ2768" s="123"/>
      <c r="DR2768" s="123"/>
      <c r="DS2768" s="123"/>
      <c r="DT2768" s="123"/>
      <c r="DU2768" s="123"/>
      <c r="DV2768" s="123"/>
      <c r="DW2768" s="123"/>
      <c r="DX2768" s="123"/>
      <c r="DY2768" s="123"/>
      <c r="DZ2768" s="123"/>
      <c r="EA2768" s="123"/>
      <c r="EB2768" s="123"/>
      <c r="EC2768" s="123"/>
      <c r="ED2768" s="123"/>
      <c r="EE2768" s="123"/>
      <c r="EF2768" s="123"/>
      <c r="EG2768" s="123"/>
      <c r="EH2768" s="123"/>
      <c r="EI2768" s="123"/>
      <c r="EJ2768" s="123"/>
      <c r="EK2768" s="123"/>
      <c r="EL2768" s="123"/>
      <c r="EM2768" s="123"/>
      <c r="EN2768" s="123"/>
      <c r="EO2768" s="123"/>
      <c r="EP2768" s="123"/>
      <c r="EQ2768" s="123"/>
      <c r="ER2768" s="123"/>
      <c r="ES2768" s="123"/>
      <c r="ET2768" s="123"/>
      <c r="EU2768" s="123"/>
      <c r="EV2768" s="123"/>
      <c r="EW2768" s="123"/>
      <c r="EX2768" s="123"/>
      <c r="EY2768" s="123"/>
      <c r="EZ2768" s="123"/>
      <c r="FA2768" s="123"/>
      <c r="FB2768" s="123"/>
      <c r="FC2768" s="123"/>
      <c r="FD2768" s="123"/>
      <c r="FE2768" s="123"/>
      <c r="FF2768" s="123"/>
      <c r="FG2768" s="123"/>
      <c r="FH2768" s="123"/>
      <c r="FI2768" s="123"/>
      <c r="FJ2768" s="123"/>
      <c r="FK2768" s="123"/>
      <c r="FL2768" s="123"/>
      <c r="FM2768" s="123"/>
      <c r="FN2768" s="123"/>
      <c r="FO2768" s="123"/>
      <c r="FP2768" s="123"/>
      <c r="FQ2768" s="123"/>
      <c r="FR2768" s="123"/>
      <c r="FS2768" s="123"/>
      <c r="FT2768" s="123"/>
      <c r="FU2768" s="123"/>
      <c r="FV2768" s="123"/>
      <c r="FW2768" s="123"/>
      <c r="FX2768" s="123"/>
      <c r="FY2768" s="123"/>
      <c r="FZ2768" s="123"/>
      <c r="GA2768" s="123"/>
      <c r="GB2768" s="123"/>
      <c r="GC2768" s="123"/>
      <c r="GD2768" s="123"/>
      <c r="GE2768" s="123"/>
      <c r="GF2768" s="123"/>
      <c r="GG2768" s="123"/>
      <c r="GH2768" s="123"/>
      <c r="GI2768" s="123"/>
      <c r="GJ2768" s="123"/>
      <c r="GK2768" s="123"/>
      <c r="GL2768" s="123"/>
      <c r="GM2768" s="123"/>
      <c r="GN2768" s="123"/>
      <c r="GO2768" s="123"/>
      <c r="GP2768" s="123"/>
      <c r="GQ2768" s="123"/>
      <c r="GR2768" s="123"/>
      <c r="GS2768" s="123"/>
      <c r="GT2768" s="123"/>
      <c r="GU2768" s="123"/>
      <c r="GV2768" s="123"/>
      <c r="GW2768" s="123"/>
      <c r="GX2768" s="123"/>
      <c r="GY2768" s="123"/>
      <c r="GZ2768" s="123"/>
      <c r="HA2768" s="123"/>
      <c r="HB2768" s="123"/>
      <c r="HC2768" s="123"/>
      <c r="HD2768" s="123"/>
      <c r="HE2768" s="123"/>
    </row>
    <row r="2769" spans="1:213" s="145" customFormat="1" ht="46.5" x14ac:dyDescent="0.35">
      <c r="A2769" s="265"/>
      <c r="B2769" s="265"/>
      <c r="C2769" s="266"/>
      <c r="D2769" s="295"/>
      <c r="E2769" s="295"/>
      <c r="F2769" s="296"/>
      <c r="G2769" s="265"/>
      <c r="H2769" s="136" t="s">
        <v>673</v>
      </c>
      <c r="I2769" s="149">
        <f>D2768*K2769</f>
        <v>378201.59999999998</v>
      </c>
      <c r="J2769" s="149">
        <f>I2769/D2768</f>
        <v>252</v>
      </c>
      <c r="K2769" s="149">
        <f>164+88</f>
        <v>252</v>
      </c>
      <c r="L2769" s="123"/>
      <c r="M2769" s="123"/>
      <c r="N2769" s="123"/>
      <c r="O2769" s="123"/>
      <c r="P2769" s="123"/>
      <c r="Q2769" s="123"/>
      <c r="R2769" s="123"/>
      <c r="S2769" s="123"/>
      <c r="T2769" s="123"/>
      <c r="U2769" s="123"/>
      <c r="V2769" s="123"/>
      <c r="W2769" s="123"/>
      <c r="X2769" s="123"/>
      <c r="Y2769" s="123"/>
      <c r="Z2769" s="123"/>
      <c r="AA2769" s="123"/>
      <c r="AB2769" s="123"/>
      <c r="AC2769" s="123"/>
      <c r="AD2769" s="123"/>
      <c r="AE2769" s="123"/>
      <c r="AF2769" s="123"/>
      <c r="AG2769" s="123"/>
      <c r="AH2769" s="123"/>
      <c r="AI2769" s="123"/>
      <c r="AJ2769" s="123"/>
      <c r="AK2769" s="123"/>
      <c r="AL2769" s="123"/>
      <c r="AM2769" s="123"/>
      <c r="AN2769" s="123"/>
      <c r="AO2769" s="123"/>
      <c r="AP2769" s="123"/>
      <c r="AQ2769" s="123"/>
      <c r="AR2769" s="123"/>
      <c r="AS2769" s="123"/>
      <c r="AT2769" s="123"/>
      <c r="AU2769" s="123"/>
      <c r="AV2769" s="123"/>
      <c r="AW2769" s="123"/>
      <c r="AX2769" s="123"/>
      <c r="AY2769" s="123"/>
      <c r="AZ2769" s="123"/>
      <c r="BA2769" s="123"/>
      <c r="BB2769" s="123"/>
      <c r="BC2769" s="123"/>
      <c r="BD2769" s="123"/>
      <c r="BE2769" s="123"/>
      <c r="BF2769" s="123"/>
      <c r="BG2769" s="123"/>
      <c r="BH2769" s="123"/>
      <c r="BI2769" s="123"/>
      <c r="BJ2769" s="123"/>
      <c r="BK2769" s="123"/>
      <c r="BL2769" s="123"/>
      <c r="BM2769" s="123"/>
      <c r="BN2769" s="123"/>
      <c r="BO2769" s="123"/>
      <c r="BP2769" s="123"/>
      <c r="BQ2769" s="123"/>
      <c r="BR2769" s="123"/>
      <c r="BS2769" s="123"/>
      <c r="BT2769" s="123"/>
      <c r="BU2769" s="123"/>
      <c r="BV2769" s="123"/>
      <c r="BW2769" s="123"/>
      <c r="BX2769" s="123"/>
      <c r="BY2769" s="123"/>
      <c r="BZ2769" s="123"/>
      <c r="CA2769" s="123"/>
      <c r="CB2769" s="123"/>
      <c r="CC2769" s="123"/>
      <c r="CD2769" s="123"/>
      <c r="CE2769" s="123"/>
      <c r="CF2769" s="123"/>
      <c r="CG2769" s="123"/>
      <c r="CH2769" s="123"/>
      <c r="CI2769" s="123"/>
      <c r="CJ2769" s="123"/>
      <c r="CK2769" s="123"/>
      <c r="CL2769" s="123"/>
      <c r="CM2769" s="123"/>
      <c r="CN2769" s="123"/>
      <c r="CO2769" s="123"/>
      <c r="CP2769" s="123"/>
      <c r="CQ2769" s="123"/>
      <c r="CR2769" s="123"/>
      <c r="CS2769" s="123"/>
      <c r="CT2769" s="123"/>
      <c r="CU2769" s="123"/>
      <c r="CV2769" s="123"/>
      <c r="CW2769" s="123"/>
      <c r="CX2769" s="123"/>
      <c r="CY2769" s="123"/>
      <c r="CZ2769" s="123"/>
      <c r="DA2769" s="123"/>
      <c r="DB2769" s="123"/>
      <c r="DC2769" s="123"/>
      <c r="DD2769" s="123"/>
      <c r="DE2769" s="123"/>
      <c r="DF2769" s="123"/>
      <c r="DG2769" s="123"/>
      <c r="DH2769" s="123"/>
      <c r="DI2769" s="123"/>
      <c r="DJ2769" s="123"/>
      <c r="DK2769" s="123"/>
      <c r="DL2769" s="123"/>
      <c r="DM2769" s="123"/>
      <c r="DN2769" s="123"/>
      <c r="DO2769" s="123"/>
      <c r="DP2769" s="123"/>
      <c r="DQ2769" s="123"/>
      <c r="DR2769" s="123"/>
      <c r="DS2769" s="123"/>
      <c r="DT2769" s="123"/>
      <c r="DU2769" s="123"/>
      <c r="DV2769" s="123"/>
      <c r="DW2769" s="123"/>
      <c r="DX2769" s="123"/>
      <c r="DY2769" s="123"/>
      <c r="DZ2769" s="123"/>
      <c r="EA2769" s="123"/>
      <c r="EB2769" s="123"/>
      <c r="EC2769" s="123"/>
      <c r="ED2769" s="123"/>
      <c r="EE2769" s="123"/>
      <c r="EF2769" s="123"/>
      <c r="EG2769" s="123"/>
      <c r="EH2769" s="123"/>
      <c r="EI2769" s="123"/>
      <c r="EJ2769" s="123"/>
      <c r="EK2769" s="123"/>
      <c r="EL2769" s="123"/>
      <c r="EM2769" s="123"/>
      <c r="EN2769" s="123"/>
      <c r="EO2769" s="123"/>
      <c r="EP2769" s="123"/>
      <c r="EQ2769" s="123"/>
      <c r="ER2769" s="123"/>
      <c r="ES2769" s="123"/>
      <c r="ET2769" s="123"/>
      <c r="EU2769" s="123"/>
      <c r="EV2769" s="123"/>
      <c r="EW2769" s="123"/>
      <c r="EX2769" s="123"/>
      <c r="EY2769" s="123"/>
      <c r="EZ2769" s="123"/>
      <c r="FA2769" s="123"/>
      <c r="FB2769" s="123"/>
      <c r="FC2769" s="123"/>
      <c r="FD2769" s="123"/>
      <c r="FE2769" s="123"/>
      <c r="FF2769" s="123"/>
      <c r="FG2769" s="123"/>
      <c r="FH2769" s="123"/>
      <c r="FI2769" s="123"/>
      <c r="FJ2769" s="123"/>
      <c r="FK2769" s="123"/>
      <c r="FL2769" s="123"/>
      <c r="FM2769" s="123"/>
      <c r="FN2769" s="123"/>
      <c r="FO2769" s="123"/>
      <c r="FP2769" s="123"/>
      <c r="FQ2769" s="123"/>
      <c r="FR2769" s="123"/>
      <c r="FS2769" s="123"/>
      <c r="FT2769" s="123"/>
      <c r="FU2769" s="123"/>
      <c r="FV2769" s="123"/>
      <c r="FW2769" s="123"/>
      <c r="FX2769" s="123"/>
      <c r="FY2769" s="123"/>
      <c r="FZ2769" s="123"/>
      <c r="GA2769" s="123"/>
      <c r="GB2769" s="123"/>
      <c r="GC2769" s="123"/>
      <c r="GD2769" s="123"/>
      <c r="GE2769" s="123"/>
      <c r="GF2769" s="123"/>
      <c r="GG2769" s="123"/>
      <c r="GH2769" s="123"/>
      <c r="GI2769" s="123"/>
      <c r="GJ2769" s="123"/>
      <c r="GK2769" s="123"/>
      <c r="GL2769" s="123"/>
      <c r="GM2769" s="123"/>
      <c r="GN2769" s="123"/>
      <c r="GO2769" s="123"/>
      <c r="GP2769" s="123"/>
      <c r="GQ2769" s="123"/>
      <c r="GR2769" s="123"/>
      <c r="GS2769" s="123"/>
      <c r="GT2769" s="123"/>
      <c r="GU2769" s="123"/>
      <c r="GV2769" s="123"/>
      <c r="GW2769" s="123"/>
      <c r="GX2769" s="123"/>
      <c r="GY2769" s="123"/>
      <c r="GZ2769" s="123"/>
      <c r="HA2769" s="123"/>
      <c r="HB2769" s="123"/>
      <c r="HC2769" s="123"/>
      <c r="HD2769" s="123"/>
      <c r="HE2769" s="123"/>
    </row>
    <row r="2770" spans="1:213" s="145" customFormat="1" ht="13.5" customHeight="1" x14ac:dyDescent="0.35">
      <c r="A2770" s="259">
        <f>A2768+1</f>
        <v>16</v>
      </c>
      <c r="B2770" s="259">
        <v>6282</v>
      </c>
      <c r="C2770" s="262" t="s">
        <v>508</v>
      </c>
      <c r="D2770" s="256">
        <v>532.9</v>
      </c>
      <c r="E2770" s="259" t="s">
        <v>79</v>
      </c>
      <c r="F2770" s="259">
        <v>2</v>
      </c>
      <c r="G2770" s="259" t="s">
        <v>71</v>
      </c>
      <c r="H2770" s="151" t="s">
        <v>72</v>
      </c>
      <c r="I2770" s="149">
        <f>I2771+I2772</f>
        <v>3686602.2</v>
      </c>
      <c r="J2770" s="149">
        <f>J2771+J2772</f>
        <v>6918</v>
      </c>
      <c r="K2770" s="149">
        <f>K2771+K2772</f>
        <v>7066</v>
      </c>
      <c r="L2770" s="123"/>
      <c r="M2770" s="123"/>
      <c r="N2770" s="123"/>
      <c r="O2770" s="123"/>
      <c r="P2770" s="123"/>
      <c r="Q2770" s="123"/>
      <c r="R2770" s="123"/>
      <c r="S2770" s="123"/>
      <c r="T2770" s="123"/>
      <c r="U2770" s="123"/>
      <c r="V2770" s="123"/>
      <c r="W2770" s="123"/>
      <c r="X2770" s="123"/>
      <c r="Y2770" s="123"/>
      <c r="Z2770" s="123"/>
      <c r="AA2770" s="123"/>
      <c r="AB2770" s="123"/>
      <c r="AC2770" s="123"/>
      <c r="AD2770" s="123"/>
      <c r="AE2770" s="123"/>
      <c r="AF2770" s="123"/>
      <c r="AG2770" s="123"/>
      <c r="AH2770" s="123"/>
      <c r="AI2770" s="123"/>
      <c r="AJ2770" s="123"/>
      <c r="AK2770" s="123"/>
      <c r="AL2770" s="123"/>
      <c r="AM2770" s="123"/>
      <c r="AN2770" s="123"/>
      <c r="AO2770" s="123"/>
      <c r="AP2770" s="123"/>
      <c r="AQ2770" s="123"/>
      <c r="AR2770" s="123"/>
      <c r="AS2770" s="123"/>
      <c r="AT2770" s="123"/>
      <c r="AU2770" s="123"/>
      <c r="AV2770" s="123"/>
      <c r="AW2770" s="123"/>
      <c r="AX2770" s="123"/>
      <c r="AY2770" s="123"/>
      <c r="AZ2770" s="123"/>
      <c r="BA2770" s="123"/>
      <c r="BB2770" s="123"/>
      <c r="BC2770" s="123"/>
      <c r="BD2770" s="123"/>
      <c r="BE2770" s="123"/>
      <c r="BF2770" s="123"/>
      <c r="BG2770" s="123"/>
      <c r="BH2770" s="123"/>
      <c r="BI2770" s="123"/>
      <c r="BJ2770" s="123"/>
      <c r="BK2770" s="123"/>
      <c r="BL2770" s="123"/>
      <c r="BM2770" s="123"/>
      <c r="BN2770" s="123"/>
      <c r="BO2770" s="123"/>
      <c r="BP2770" s="123"/>
      <c r="BQ2770" s="123"/>
      <c r="BR2770" s="123"/>
      <c r="BS2770" s="123"/>
      <c r="BT2770" s="123"/>
      <c r="BU2770" s="123"/>
      <c r="BV2770" s="123"/>
      <c r="BW2770" s="123"/>
      <c r="BX2770" s="123"/>
      <c r="BY2770" s="123"/>
      <c r="BZ2770" s="123"/>
      <c r="CA2770" s="123"/>
      <c r="CB2770" s="123"/>
      <c r="CC2770" s="123"/>
      <c r="CD2770" s="123"/>
      <c r="CE2770" s="123"/>
      <c r="CF2770" s="123"/>
      <c r="CG2770" s="123"/>
      <c r="CH2770" s="123"/>
      <c r="CI2770" s="123"/>
      <c r="CJ2770" s="123"/>
      <c r="CK2770" s="123"/>
      <c r="CL2770" s="123"/>
      <c r="CM2770" s="123"/>
      <c r="CN2770" s="123"/>
      <c r="CO2770" s="123"/>
      <c r="CP2770" s="123"/>
      <c r="CQ2770" s="123"/>
      <c r="CR2770" s="123"/>
      <c r="CS2770" s="123"/>
      <c r="CT2770" s="123"/>
      <c r="CU2770" s="123"/>
      <c r="CV2770" s="123"/>
      <c r="CW2770" s="123"/>
      <c r="CX2770" s="123"/>
      <c r="CY2770" s="123"/>
      <c r="CZ2770" s="123"/>
      <c r="DA2770" s="123"/>
      <c r="DB2770" s="123"/>
      <c r="DC2770" s="123"/>
      <c r="DD2770" s="123"/>
      <c r="DE2770" s="123"/>
      <c r="DF2770" s="123"/>
      <c r="DG2770" s="123"/>
      <c r="DH2770" s="123"/>
      <c r="DI2770" s="123"/>
      <c r="DJ2770" s="123"/>
      <c r="DK2770" s="123"/>
      <c r="DL2770" s="123"/>
      <c r="DM2770" s="123"/>
      <c r="DN2770" s="123"/>
      <c r="DO2770" s="123"/>
      <c r="DP2770" s="123"/>
      <c r="DQ2770" s="123"/>
      <c r="DR2770" s="123"/>
      <c r="DS2770" s="123"/>
      <c r="DT2770" s="123"/>
      <c r="DU2770" s="123"/>
      <c r="DV2770" s="123"/>
      <c r="DW2770" s="123"/>
      <c r="DX2770" s="123"/>
      <c r="DY2770" s="123"/>
      <c r="DZ2770" s="123"/>
      <c r="EA2770" s="123"/>
      <c r="EB2770" s="123"/>
      <c r="EC2770" s="123"/>
      <c r="ED2770" s="123"/>
      <c r="EE2770" s="123"/>
      <c r="EF2770" s="123"/>
      <c r="EG2770" s="123"/>
      <c r="EH2770" s="123"/>
      <c r="EI2770" s="123"/>
      <c r="EJ2770" s="123"/>
      <c r="EK2770" s="123"/>
      <c r="EL2770" s="123"/>
      <c r="EM2770" s="123"/>
      <c r="EN2770" s="123"/>
      <c r="EO2770" s="123"/>
      <c r="EP2770" s="123"/>
      <c r="EQ2770" s="123"/>
      <c r="ER2770" s="123"/>
      <c r="ES2770" s="123"/>
      <c r="ET2770" s="123"/>
      <c r="EU2770" s="123"/>
      <c r="EV2770" s="123"/>
      <c r="EW2770" s="123"/>
      <c r="EX2770" s="123"/>
      <c r="EY2770" s="123"/>
      <c r="EZ2770" s="123"/>
      <c r="FA2770" s="123"/>
      <c r="FB2770" s="123"/>
      <c r="FC2770" s="123"/>
      <c r="FD2770" s="123"/>
      <c r="FE2770" s="123"/>
      <c r="FF2770" s="123"/>
      <c r="FG2770" s="123"/>
      <c r="FH2770" s="123"/>
      <c r="FI2770" s="123"/>
      <c r="FJ2770" s="123"/>
      <c r="FK2770" s="123"/>
      <c r="FL2770" s="123"/>
      <c r="FM2770" s="123"/>
      <c r="FN2770" s="123"/>
      <c r="FO2770" s="123"/>
      <c r="FP2770" s="123"/>
      <c r="FQ2770" s="123"/>
      <c r="FR2770" s="123"/>
      <c r="FS2770" s="123"/>
      <c r="FT2770" s="123"/>
      <c r="FU2770" s="123"/>
      <c r="FV2770" s="123"/>
      <c r="FW2770" s="123"/>
      <c r="FX2770" s="123"/>
      <c r="FY2770" s="123"/>
      <c r="FZ2770" s="123"/>
      <c r="GA2770" s="123"/>
      <c r="GB2770" s="123"/>
      <c r="GC2770" s="123"/>
      <c r="GD2770" s="123"/>
      <c r="GE2770" s="123"/>
      <c r="GF2770" s="123"/>
      <c r="GG2770" s="123"/>
      <c r="GH2770" s="123"/>
      <c r="GI2770" s="123"/>
      <c r="GJ2770" s="123"/>
      <c r="GK2770" s="123"/>
      <c r="GL2770" s="123"/>
      <c r="GM2770" s="123"/>
      <c r="GN2770" s="123"/>
      <c r="GO2770" s="123"/>
      <c r="GP2770" s="123"/>
      <c r="GQ2770" s="123"/>
      <c r="GR2770" s="123"/>
      <c r="GS2770" s="123"/>
      <c r="GT2770" s="123"/>
      <c r="GU2770" s="123"/>
      <c r="GV2770" s="123"/>
      <c r="GW2770" s="123"/>
      <c r="GX2770" s="123"/>
      <c r="GY2770" s="123"/>
      <c r="GZ2770" s="123"/>
      <c r="HA2770" s="123"/>
      <c r="HB2770" s="123"/>
      <c r="HC2770" s="123"/>
      <c r="HD2770" s="123"/>
      <c r="HE2770" s="123"/>
    </row>
    <row r="2771" spans="1:213" s="145" customFormat="1" x14ac:dyDescent="0.35">
      <c r="A2771" s="260"/>
      <c r="B2771" s="260"/>
      <c r="C2771" s="263"/>
      <c r="D2771" s="257"/>
      <c r="E2771" s="260"/>
      <c r="F2771" s="260"/>
      <c r="G2771" s="260"/>
      <c r="H2771" s="151" t="s">
        <v>635</v>
      </c>
      <c r="I2771" s="149">
        <f>D2770*K2771</f>
        <v>3686602.2</v>
      </c>
      <c r="J2771" s="149">
        <f>I2771/D2770</f>
        <v>6918</v>
      </c>
      <c r="K2771" s="149">
        <v>6918</v>
      </c>
      <c r="L2771" s="123"/>
      <c r="M2771" s="123"/>
      <c r="N2771" s="123"/>
      <c r="O2771" s="123"/>
      <c r="P2771" s="123"/>
      <c r="Q2771" s="123"/>
      <c r="R2771" s="123"/>
      <c r="S2771" s="123"/>
      <c r="T2771" s="123"/>
      <c r="U2771" s="123"/>
      <c r="V2771" s="123"/>
      <c r="W2771" s="123"/>
      <c r="X2771" s="123"/>
      <c r="Y2771" s="123"/>
      <c r="Z2771" s="123"/>
      <c r="AA2771" s="123"/>
      <c r="AB2771" s="123"/>
      <c r="AC2771" s="123"/>
      <c r="AD2771" s="123"/>
      <c r="AE2771" s="123"/>
      <c r="AF2771" s="123"/>
      <c r="AG2771" s="123"/>
      <c r="AH2771" s="123"/>
      <c r="AI2771" s="123"/>
      <c r="AJ2771" s="123"/>
      <c r="AK2771" s="123"/>
      <c r="AL2771" s="123"/>
      <c r="AM2771" s="123"/>
      <c r="AN2771" s="123"/>
      <c r="AO2771" s="123"/>
      <c r="AP2771" s="123"/>
      <c r="AQ2771" s="123"/>
      <c r="AR2771" s="123"/>
      <c r="AS2771" s="123"/>
      <c r="AT2771" s="123"/>
      <c r="AU2771" s="123"/>
      <c r="AV2771" s="123"/>
      <c r="AW2771" s="123"/>
      <c r="AX2771" s="123"/>
      <c r="AY2771" s="123"/>
      <c r="AZ2771" s="123"/>
      <c r="BA2771" s="123"/>
      <c r="BB2771" s="123"/>
      <c r="BC2771" s="123"/>
      <c r="BD2771" s="123"/>
      <c r="BE2771" s="123"/>
      <c r="BF2771" s="123"/>
      <c r="BG2771" s="123"/>
      <c r="BH2771" s="123"/>
      <c r="BI2771" s="123"/>
      <c r="BJ2771" s="123"/>
      <c r="BK2771" s="123"/>
      <c r="BL2771" s="123"/>
      <c r="BM2771" s="123"/>
      <c r="BN2771" s="123"/>
      <c r="BO2771" s="123"/>
      <c r="BP2771" s="123"/>
      <c r="BQ2771" s="123"/>
      <c r="BR2771" s="123"/>
      <c r="BS2771" s="123"/>
      <c r="BT2771" s="123"/>
      <c r="BU2771" s="123"/>
      <c r="BV2771" s="123"/>
      <c r="BW2771" s="123"/>
      <c r="BX2771" s="123"/>
      <c r="BY2771" s="123"/>
      <c r="BZ2771" s="123"/>
      <c r="CA2771" s="123"/>
      <c r="CB2771" s="123"/>
      <c r="CC2771" s="123"/>
      <c r="CD2771" s="123"/>
      <c r="CE2771" s="123"/>
      <c r="CF2771" s="123"/>
      <c r="CG2771" s="123"/>
      <c r="CH2771" s="123"/>
      <c r="CI2771" s="123"/>
      <c r="CJ2771" s="123"/>
      <c r="CK2771" s="123"/>
      <c r="CL2771" s="123"/>
      <c r="CM2771" s="123"/>
      <c r="CN2771" s="123"/>
      <c r="CO2771" s="123"/>
      <c r="CP2771" s="123"/>
      <c r="CQ2771" s="123"/>
      <c r="CR2771" s="123"/>
      <c r="CS2771" s="123"/>
      <c r="CT2771" s="123"/>
      <c r="CU2771" s="123"/>
      <c r="CV2771" s="123"/>
      <c r="CW2771" s="123"/>
      <c r="CX2771" s="123"/>
      <c r="CY2771" s="123"/>
      <c r="CZ2771" s="123"/>
      <c r="DA2771" s="123"/>
      <c r="DB2771" s="123"/>
      <c r="DC2771" s="123"/>
      <c r="DD2771" s="123"/>
      <c r="DE2771" s="123"/>
      <c r="DF2771" s="123"/>
      <c r="DG2771" s="123"/>
      <c r="DH2771" s="123"/>
      <c r="DI2771" s="123"/>
      <c r="DJ2771" s="123"/>
      <c r="DK2771" s="123"/>
      <c r="DL2771" s="123"/>
      <c r="DM2771" s="123"/>
      <c r="DN2771" s="123"/>
      <c r="DO2771" s="123"/>
      <c r="DP2771" s="123"/>
      <c r="DQ2771" s="123"/>
      <c r="DR2771" s="123"/>
      <c r="DS2771" s="123"/>
      <c r="DT2771" s="123"/>
      <c r="DU2771" s="123"/>
      <c r="DV2771" s="123"/>
      <c r="DW2771" s="123"/>
      <c r="DX2771" s="123"/>
      <c r="DY2771" s="123"/>
      <c r="DZ2771" s="123"/>
      <c r="EA2771" s="123"/>
      <c r="EB2771" s="123"/>
      <c r="EC2771" s="123"/>
      <c r="ED2771" s="123"/>
      <c r="EE2771" s="123"/>
      <c r="EF2771" s="123"/>
      <c r="EG2771" s="123"/>
      <c r="EH2771" s="123"/>
      <c r="EI2771" s="123"/>
      <c r="EJ2771" s="123"/>
      <c r="EK2771" s="123"/>
      <c r="EL2771" s="123"/>
      <c r="EM2771" s="123"/>
      <c r="EN2771" s="123"/>
      <c r="EO2771" s="123"/>
      <c r="EP2771" s="123"/>
      <c r="EQ2771" s="123"/>
      <c r="ER2771" s="123"/>
      <c r="ES2771" s="123"/>
      <c r="ET2771" s="123"/>
      <c r="EU2771" s="123"/>
      <c r="EV2771" s="123"/>
      <c r="EW2771" s="123"/>
      <c r="EX2771" s="123"/>
      <c r="EY2771" s="123"/>
      <c r="EZ2771" s="123"/>
      <c r="FA2771" s="123"/>
      <c r="FB2771" s="123"/>
      <c r="FC2771" s="123"/>
      <c r="FD2771" s="123"/>
      <c r="FE2771" s="123"/>
      <c r="FF2771" s="123"/>
      <c r="FG2771" s="123"/>
      <c r="FH2771" s="123"/>
      <c r="FI2771" s="123"/>
      <c r="FJ2771" s="123"/>
      <c r="FK2771" s="123"/>
      <c r="FL2771" s="123"/>
      <c r="FM2771" s="123"/>
      <c r="FN2771" s="123"/>
      <c r="FO2771" s="123"/>
      <c r="FP2771" s="123"/>
      <c r="FQ2771" s="123"/>
      <c r="FR2771" s="123"/>
      <c r="FS2771" s="123"/>
      <c r="FT2771" s="123"/>
      <c r="FU2771" s="123"/>
      <c r="FV2771" s="123"/>
      <c r="FW2771" s="123"/>
      <c r="FX2771" s="123"/>
      <c r="FY2771" s="123"/>
      <c r="FZ2771" s="123"/>
      <c r="GA2771" s="123"/>
      <c r="GB2771" s="123"/>
      <c r="GC2771" s="123"/>
      <c r="GD2771" s="123"/>
      <c r="GE2771" s="123"/>
      <c r="GF2771" s="123"/>
      <c r="GG2771" s="123"/>
      <c r="GH2771" s="123"/>
      <c r="GI2771" s="123"/>
      <c r="GJ2771" s="123"/>
      <c r="GK2771" s="123"/>
      <c r="GL2771" s="123"/>
      <c r="GM2771" s="123"/>
      <c r="GN2771" s="123"/>
      <c r="GO2771" s="123"/>
      <c r="GP2771" s="123"/>
      <c r="GQ2771" s="123"/>
      <c r="GR2771" s="123"/>
      <c r="GS2771" s="123"/>
      <c r="GT2771" s="123"/>
      <c r="GU2771" s="123"/>
      <c r="GV2771" s="123"/>
      <c r="GW2771" s="123"/>
      <c r="GX2771" s="123"/>
      <c r="GY2771" s="123"/>
      <c r="GZ2771" s="123"/>
      <c r="HA2771" s="123"/>
      <c r="HB2771" s="123"/>
      <c r="HC2771" s="123"/>
      <c r="HD2771" s="123"/>
      <c r="HE2771" s="123"/>
    </row>
    <row r="2772" spans="1:213" x14ac:dyDescent="0.35">
      <c r="A2772" s="261"/>
      <c r="B2772" s="261"/>
      <c r="C2772" s="264"/>
      <c r="D2772" s="258"/>
      <c r="E2772" s="261"/>
      <c r="F2772" s="261"/>
      <c r="G2772" s="261"/>
      <c r="H2772" s="151" t="s">
        <v>75</v>
      </c>
      <c r="I2772" s="149">
        <v>0</v>
      </c>
      <c r="J2772" s="149">
        <v>0</v>
      </c>
      <c r="K2772" s="149">
        <v>148</v>
      </c>
    </row>
    <row r="2773" spans="1:213" s="145" customFormat="1" ht="14" customHeight="1" x14ac:dyDescent="0.35">
      <c r="A2773" s="259">
        <f>A2770+1</f>
        <v>17</v>
      </c>
      <c r="B2773" s="259">
        <v>6341</v>
      </c>
      <c r="C2773" s="262" t="s">
        <v>509</v>
      </c>
      <c r="D2773" s="256">
        <v>884.5</v>
      </c>
      <c r="E2773" s="259" t="s">
        <v>79</v>
      </c>
      <c r="F2773" s="259">
        <v>2</v>
      </c>
      <c r="G2773" s="259" t="s">
        <v>71</v>
      </c>
      <c r="H2773" s="151" t="s">
        <v>72</v>
      </c>
      <c r="I2773" s="149">
        <f>I2774+I2775</f>
        <v>6118971</v>
      </c>
      <c r="J2773" s="149">
        <f>J2774+J2775</f>
        <v>6918</v>
      </c>
      <c r="K2773" s="149">
        <f>K2774+K2775</f>
        <v>7066</v>
      </c>
      <c r="L2773" s="123"/>
      <c r="M2773" s="123"/>
      <c r="N2773" s="123"/>
      <c r="O2773" s="123"/>
      <c r="P2773" s="123"/>
      <c r="Q2773" s="123"/>
      <c r="R2773" s="123"/>
      <c r="S2773" s="123"/>
      <c r="T2773" s="123"/>
      <c r="U2773" s="123"/>
      <c r="V2773" s="123"/>
      <c r="W2773" s="123"/>
      <c r="X2773" s="123"/>
      <c r="Y2773" s="123"/>
      <c r="Z2773" s="123"/>
      <c r="AA2773" s="123"/>
      <c r="AB2773" s="123"/>
      <c r="AC2773" s="123"/>
      <c r="AD2773" s="123"/>
      <c r="AE2773" s="123"/>
      <c r="AF2773" s="123"/>
      <c r="AG2773" s="123"/>
      <c r="AH2773" s="123"/>
      <c r="AI2773" s="123"/>
      <c r="AJ2773" s="123"/>
      <c r="AK2773" s="123"/>
      <c r="AL2773" s="123"/>
      <c r="AM2773" s="123"/>
      <c r="AN2773" s="123"/>
      <c r="AO2773" s="123"/>
      <c r="AP2773" s="123"/>
      <c r="AQ2773" s="123"/>
      <c r="AR2773" s="123"/>
      <c r="AS2773" s="123"/>
      <c r="AT2773" s="123"/>
      <c r="AU2773" s="123"/>
      <c r="AV2773" s="123"/>
      <c r="AW2773" s="123"/>
      <c r="AX2773" s="123"/>
      <c r="AY2773" s="123"/>
      <c r="AZ2773" s="123"/>
      <c r="BA2773" s="123"/>
      <c r="BB2773" s="123"/>
      <c r="BC2773" s="123"/>
      <c r="BD2773" s="123"/>
      <c r="BE2773" s="123"/>
      <c r="BF2773" s="123"/>
      <c r="BG2773" s="123"/>
      <c r="BH2773" s="123"/>
      <c r="BI2773" s="123"/>
      <c r="BJ2773" s="123"/>
      <c r="BK2773" s="123"/>
      <c r="BL2773" s="123"/>
      <c r="BM2773" s="123"/>
      <c r="BN2773" s="123"/>
      <c r="BO2773" s="123"/>
      <c r="BP2773" s="123"/>
      <c r="BQ2773" s="123"/>
      <c r="BR2773" s="123"/>
      <c r="BS2773" s="123"/>
      <c r="BT2773" s="123"/>
      <c r="BU2773" s="123"/>
      <c r="BV2773" s="123"/>
      <c r="BW2773" s="123"/>
      <c r="BX2773" s="123"/>
      <c r="BY2773" s="123"/>
      <c r="BZ2773" s="123"/>
      <c r="CA2773" s="123"/>
      <c r="CB2773" s="123"/>
      <c r="CC2773" s="123"/>
      <c r="CD2773" s="123"/>
      <c r="CE2773" s="123"/>
      <c r="CF2773" s="123"/>
      <c r="CG2773" s="123"/>
      <c r="CH2773" s="123"/>
      <c r="CI2773" s="123"/>
      <c r="CJ2773" s="123"/>
      <c r="CK2773" s="123"/>
      <c r="CL2773" s="123"/>
      <c r="CM2773" s="123"/>
      <c r="CN2773" s="123"/>
      <c r="CO2773" s="123"/>
      <c r="CP2773" s="123"/>
      <c r="CQ2773" s="123"/>
      <c r="CR2773" s="123"/>
      <c r="CS2773" s="123"/>
      <c r="CT2773" s="123"/>
      <c r="CU2773" s="123"/>
      <c r="CV2773" s="123"/>
      <c r="CW2773" s="123"/>
      <c r="CX2773" s="123"/>
      <c r="CY2773" s="123"/>
      <c r="CZ2773" s="123"/>
      <c r="DA2773" s="123"/>
      <c r="DB2773" s="123"/>
      <c r="DC2773" s="123"/>
      <c r="DD2773" s="123"/>
      <c r="DE2773" s="123"/>
      <c r="DF2773" s="123"/>
      <c r="DG2773" s="123"/>
      <c r="DH2773" s="123"/>
      <c r="DI2773" s="123"/>
      <c r="DJ2773" s="123"/>
      <c r="DK2773" s="123"/>
      <c r="DL2773" s="123"/>
      <c r="DM2773" s="123"/>
      <c r="DN2773" s="123"/>
      <c r="DO2773" s="123"/>
      <c r="DP2773" s="123"/>
      <c r="DQ2773" s="123"/>
      <c r="DR2773" s="123"/>
      <c r="DS2773" s="123"/>
      <c r="DT2773" s="123"/>
      <c r="DU2773" s="123"/>
      <c r="DV2773" s="123"/>
      <c r="DW2773" s="123"/>
      <c r="DX2773" s="123"/>
      <c r="DY2773" s="123"/>
      <c r="DZ2773" s="123"/>
      <c r="EA2773" s="123"/>
      <c r="EB2773" s="123"/>
      <c r="EC2773" s="123"/>
      <c r="ED2773" s="123"/>
      <c r="EE2773" s="123"/>
      <c r="EF2773" s="123"/>
      <c r="EG2773" s="123"/>
      <c r="EH2773" s="123"/>
      <c r="EI2773" s="123"/>
      <c r="EJ2773" s="123"/>
      <c r="EK2773" s="123"/>
      <c r="EL2773" s="123"/>
      <c r="EM2773" s="123"/>
      <c r="EN2773" s="123"/>
      <c r="EO2773" s="123"/>
      <c r="EP2773" s="123"/>
      <c r="EQ2773" s="123"/>
      <c r="ER2773" s="123"/>
      <c r="ES2773" s="123"/>
      <c r="ET2773" s="123"/>
      <c r="EU2773" s="123"/>
      <c r="EV2773" s="123"/>
      <c r="EW2773" s="123"/>
      <c r="EX2773" s="123"/>
      <c r="EY2773" s="123"/>
      <c r="EZ2773" s="123"/>
      <c r="FA2773" s="123"/>
      <c r="FB2773" s="123"/>
      <c r="FC2773" s="123"/>
      <c r="FD2773" s="123"/>
      <c r="FE2773" s="123"/>
      <c r="FF2773" s="123"/>
      <c r="FG2773" s="123"/>
      <c r="FH2773" s="123"/>
      <c r="FI2773" s="123"/>
      <c r="FJ2773" s="123"/>
      <c r="FK2773" s="123"/>
      <c r="FL2773" s="123"/>
      <c r="FM2773" s="123"/>
      <c r="FN2773" s="123"/>
      <c r="FO2773" s="123"/>
      <c r="FP2773" s="123"/>
      <c r="FQ2773" s="123"/>
      <c r="FR2773" s="123"/>
      <c r="FS2773" s="123"/>
      <c r="FT2773" s="123"/>
      <c r="FU2773" s="123"/>
      <c r="FV2773" s="123"/>
      <c r="FW2773" s="123"/>
      <c r="FX2773" s="123"/>
      <c r="FY2773" s="123"/>
      <c r="FZ2773" s="123"/>
      <c r="GA2773" s="123"/>
      <c r="GB2773" s="123"/>
      <c r="GC2773" s="123"/>
      <c r="GD2773" s="123"/>
      <c r="GE2773" s="123"/>
      <c r="GF2773" s="123"/>
      <c r="GG2773" s="123"/>
      <c r="GH2773" s="123"/>
      <c r="GI2773" s="123"/>
      <c r="GJ2773" s="123"/>
      <c r="GK2773" s="123"/>
      <c r="GL2773" s="123"/>
      <c r="GM2773" s="123"/>
      <c r="GN2773" s="123"/>
      <c r="GO2773" s="123"/>
      <c r="GP2773" s="123"/>
      <c r="GQ2773" s="123"/>
      <c r="GR2773" s="123"/>
      <c r="GS2773" s="123"/>
      <c r="GT2773" s="123"/>
      <c r="GU2773" s="123"/>
      <c r="GV2773" s="123"/>
      <c r="GW2773" s="123"/>
      <c r="GX2773" s="123"/>
      <c r="GY2773" s="123"/>
      <c r="GZ2773" s="123"/>
      <c r="HA2773" s="123"/>
      <c r="HB2773" s="123"/>
      <c r="HC2773" s="123"/>
      <c r="HD2773" s="123"/>
      <c r="HE2773" s="123"/>
    </row>
    <row r="2774" spans="1:213" s="145" customFormat="1" x14ac:dyDescent="0.35">
      <c r="A2774" s="260"/>
      <c r="B2774" s="260"/>
      <c r="C2774" s="263"/>
      <c r="D2774" s="257"/>
      <c r="E2774" s="260"/>
      <c r="F2774" s="260"/>
      <c r="G2774" s="260"/>
      <c r="H2774" s="151" t="s">
        <v>635</v>
      </c>
      <c r="I2774" s="149">
        <f>D2773*K2774</f>
        <v>6118971</v>
      </c>
      <c r="J2774" s="149">
        <f>I2774/D2773</f>
        <v>6918</v>
      </c>
      <c r="K2774" s="149">
        <v>6918</v>
      </c>
      <c r="L2774" s="123"/>
      <c r="M2774" s="123"/>
      <c r="N2774" s="123"/>
      <c r="O2774" s="123"/>
      <c r="P2774" s="123"/>
      <c r="Q2774" s="123"/>
      <c r="R2774" s="123"/>
      <c r="S2774" s="123"/>
      <c r="T2774" s="123"/>
      <c r="U2774" s="123"/>
      <c r="V2774" s="123"/>
      <c r="W2774" s="123"/>
      <c r="X2774" s="123"/>
      <c r="Y2774" s="123"/>
      <c r="Z2774" s="123"/>
      <c r="AA2774" s="123"/>
      <c r="AB2774" s="123"/>
      <c r="AC2774" s="123"/>
      <c r="AD2774" s="123"/>
      <c r="AE2774" s="123"/>
      <c r="AF2774" s="123"/>
      <c r="AG2774" s="123"/>
      <c r="AH2774" s="123"/>
      <c r="AI2774" s="123"/>
      <c r="AJ2774" s="123"/>
      <c r="AK2774" s="123"/>
      <c r="AL2774" s="123"/>
      <c r="AM2774" s="123"/>
      <c r="AN2774" s="123"/>
      <c r="AO2774" s="123"/>
      <c r="AP2774" s="123"/>
      <c r="AQ2774" s="123"/>
      <c r="AR2774" s="123"/>
      <c r="AS2774" s="123"/>
      <c r="AT2774" s="123"/>
      <c r="AU2774" s="123"/>
      <c r="AV2774" s="123"/>
      <c r="AW2774" s="123"/>
      <c r="AX2774" s="123"/>
      <c r="AY2774" s="123"/>
      <c r="AZ2774" s="123"/>
      <c r="BA2774" s="123"/>
      <c r="BB2774" s="123"/>
      <c r="BC2774" s="123"/>
      <c r="BD2774" s="123"/>
      <c r="BE2774" s="123"/>
      <c r="BF2774" s="123"/>
      <c r="BG2774" s="123"/>
      <c r="BH2774" s="123"/>
      <c r="BI2774" s="123"/>
      <c r="BJ2774" s="123"/>
      <c r="BK2774" s="123"/>
      <c r="BL2774" s="123"/>
      <c r="BM2774" s="123"/>
      <c r="BN2774" s="123"/>
      <c r="BO2774" s="123"/>
      <c r="BP2774" s="123"/>
      <c r="BQ2774" s="123"/>
      <c r="BR2774" s="123"/>
      <c r="BS2774" s="123"/>
      <c r="BT2774" s="123"/>
      <c r="BU2774" s="123"/>
      <c r="BV2774" s="123"/>
      <c r="BW2774" s="123"/>
      <c r="BX2774" s="123"/>
      <c r="BY2774" s="123"/>
      <c r="BZ2774" s="123"/>
      <c r="CA2774" s="123"/>
      <c r="CB2774" s="123"/>
      <c r="CC2774" s="123"/>
      <c r="CD2774" s="123"/>
      <c r="CE2774" s="123"/>
      <c r="CF2774" s="123"/>
      <c r="CG2774" s="123"/>
      <c r="CH2774" s="123"/>
      <c r="CI2774" s="123"/>
      <c r="CJ2774" s="123"/>
      <c r="CK2774" s="123"/>
      <c r="CL2774" s="123"/>
      <c r="CM2774" s="123"/>
      <c r="CN2774" s="123"/>
      <c r="CO2774" s="123"/>
      <c r="CP2774" s="123"/>
      <c r="CQ2774" s="123"/>
      <c r="CR2774" s="123"/>
      <c r="CS2774" s="123"/>
      <c r="CT2774" s="123"/>
      <c r="CU2774" s="123"/>
      <c r="CV2774" s="123"/>
      <c r="CW2774" s="123"/>
      <c r="CX2774" s="123"/>
      <c r="CY2774" s="123"/>
      <c r="CZ2774" s="123"/>
      <c r="DA2774" s="123"/>
      <c r="DB2774" s="123"/>
      <c r="DC2774" s="123"/>
      <c r="DD2774" s="123"/>
      <c r="DE2774" s="123"/>
      <c r="DF2774" s="123"/>
      <c r="DG2774" s="123"/>
      <c r="DH2774" s="123"/>
      <c r="DI2774" s="123"/>
      <c r="DJ2774" s="123"/>
      <c r="DK2774" s="123"/>
      <c r="DL2774" s="123"/>
      <c r="DM2774" s="123"/>
      <c r="DN2774" s="123"/>
      <c r="DO2774" s="123"/>
      <c r="DP2774" s="123"/>
      <c r="DQ2774" s="123"/>
      <c r="DR2774" s="123"/>
      <c r="DS2774" s="123"/>
      <c r="DT2774" s="123"/>
      <c r="DU2774" s="123"/>
      <c r="DV2774" s="123"/>
      <c r="DW2774" s="123"/>
      <c r="DX2774" s="123"/>
      <c r="DY2774" s="123"/>
      <c r="DZ2774" s="123"/>
      <c r="EA2774" s="123"/>
      <c r="EB2774" s="123"/>
      <c r="EC2774" s="123"/>
      <c r="ED2774" s="123"/>
      <c r="EE2774" s="123"/>
      <c r="EF2774" s="123"/>
      <c r="EG2774" s="123"/>
      <c r="EH2774" s="123"/>
      <c r="EI2774" s="123"/>
      <c r="EJ2774" s="123"/>
      <c r="EK2774" s="123"/>
      <c r="EL2774" s="123"/>
      <c r="EM2774" s="123"/>
      <c r="EN2774" s="123"/>
      <c r="EO2774" s="123"/>
      <c r="EP2774" s="123"/>
      <c r="EQ2774" s="123"/>
      <c r="ER2774" s="123"/>
      <c r="ES2774" s="123"/>
      <c r="ET2774" s="123"/>
      <c r="EU2774" s="123"/>
      <c r="EV2774" s="123"/>
      <c r="EW2774" s="123"/>
      <c r="EX2774" s="123"/>
      <c r="EY2774" s="123"/>
      <c r="EZ2774" s="123"/>
      <c r="FA2774" s="123"/>
      <c r="FB2774" s="123"/>
      <c r="FC2774" s="123"/>
      <c r="FD2774" s="123"/>
      <c r="FE2774" s="123"/>
      <c r="FF2774" s="123"/>
      <c r="FG2774" s="123"/>
      <c r="FH2774" s="123"/>
      <c r="FI2774" s="123"/>
      <c r="FJ2774" s="123"/>
      <c r="FK2774" s="123"/>
      <c r="FL2774" s="123"/>
      <c r="FM2774" s="123"/>
      <c r="FN2774" s="123"/>
      <c r="FO2774" s="123"/>
      <c r="FP2774" s="123"/>
      <c r="FQ2774" s="123"/>
      <c r="FR2774" s="123"/>
      <c r="FS2774" s="123"/>
      <c r="FT2774" s="123"/>
      <c r="FU2774" s="123"/>
      <c r="FV2774" s="123"/>
      <c r="FW2774" s="123"/>
      <c r="FX2774" s="123"/>
      <c r="FY2774" s="123"/>
      <c r="FZ2774" s="123"/>
      <c r="GA2774" s="123"/>
      <c r="GB2774" s="123"/>
      <c r="GC2774" s="123"/>
      <c r="GD2774" s="123"/>
      <c r="GE2774" s="123"/>
      <c r="GF2774" s="123"/>
      <c r="GG2774" s="123"/>
      <c r="GH2774" s="123"/>
      <c r="GI2774" s="123"/>
      <c r="GJ2774" s="123"/>
      <c r="GK2774" s="123"/>
      <c r="GL2774" s="123"/>
      <c r="GM2774" s="123"/>
      <c r="GN2774" s="123"/>
      <c r="GO2774" s="123"/>
      <c r="GP2774" s="123"/>
      <c r="GQ2774" s="123"/>
      <c r="GR2774" s="123"/>
      <c r="GS2774" s="123"/>
      <c r="GT2774" s="123"/>
      <c r="GU2774" s="123"/>
      <c r="GV2774" s="123"/>
      <c r="GW2774" s="123"/>
      <c r="GX2774" s="123"/>
      <c r="GY2774" s="123"/>
      <c r="GZ2774" s="123"/>
      <c r="HA2774" s="123"/>
      <c r="HB2774" s="123"/>
      <c r="HC2774" s="123"/>
      <c r="HD2774" s="123"/>
      <c r="HE2774" s="123"/>
    </row>
    <row r="2775" spans="1:213" s="145" customFormat="1" x14ac:dyDescent="0.35">
      <c r="A2775" s="261"/>
      <c r="B2775" s="261"/>
      <c r="C2775" s="264"/>
      <c r="D2775" s="258"/>
      <c r="E2775" s="261"/>
      <c r="F2775" s="261"/>
      <c r="G2775" s="261"/>
      <c r="H2775" s="151" t="s">
        <v>75</v>
      </c>
      <c r="I2775" s="149">
        <v>0</v>
      </c>
      <c r="J2775" s="149">
        <v>0</v>
      </c>
      <c r="K2775" s="149">
        <v>148</v>
      </c>
      <c r="L2775" s="123"/>
      <c r="M2775" s="123"/>
      <c r="N2775" s="123"/>
      <c r="O2775" s="123"/>
      <c r="P2775" s="123"/>
      <c r="Q2775" s="123"/>
      <c r="R2775" s="123"/>
      <c r="S2775" s="123"/>
      <c r="T2775" s="123"/>
      <c r="U2775" s="123"/>
      <c r="V2775" s="123"/>
      <c r="W2775" s="123"/>
      <c r="X2775" s="123"/>
      <c r="Y2775" s="123"/>
      <c r="Z2775" s="123"/>
      <c r="AA2775" s="123"/>
      <c r="AB2775" s="123"/>
      <c r="AC2775" s="123"/>
      <c r="AD2775" s="123"/>
      <c r="AE2775" s="123"/>
      <c r="AF2775" s="123"/>
      <c r="AG2775" s="123"/>
      <c r="AH2775" s="123"/>
      <c r="AI2775" s="123"/>
      <c r="AJ2775" s="123"/>
      <c r="AK2775" s="123"/>
      <c r="AL2775" s="123"/>
      <c r="AM2775" s="123"/>
      <c r="AN2775" s="123"/>
      <c r="AO2775" s="123"/>
      <c r="AP2775" s="123"/>
      <c r="AQ2775" s="123"/>
      <c r="AR2775" s="123"/>
      <c r="AS2775" s="123"/>
      <c r="AT2775" s="123"/>
      <c r="AU2775" s="123"/>
      <c r="AV2775" s="123"/>
      <c r="AW2775" s="123"/>
      <c r="AX2775" s="123"/>
      <c r="AY2775" s="123"/>
      <c r="AZ2775" s="123"/>
      <c r="BA2775" s="123"/>
      <c r="BB2775" s="123"/>
      <c r="BC2775" s="123"/>
      <c r="BD2775" s="123"/>
      <c r="BE2775" s="123"/>
      <c r="BF2775" s="123"/>
      <c r="BG2775" s="123"/>
      <c r="BH2775" s="123"/>
      <c r="BI2775" s="123"/>
      <c r="BJ2775" s="123"/>
      <c r="BK2775" s="123"/>
      <c r="BL2775" s="123"/>
      <c r="BM2775" s="123"/>
      <c r="BN2775" s="123"/>
      <c r="BO2775" s="123"/>
      <c r="BP2775" s="123"/>
      <c r="BQ2775" s="123"/>
      <c r="BR2775" s="123"/>
      <c r="BS2775" s="123"/>
      <c r="BT2775" s="123"/>
      <c r="BU2775" s="123"/>
      <c r="BV2775" s="123"/>
      <c r="BW2775" s="123"/>
      <c r="BX2775" s="123"/>
      <c r="BY2775" s="123"/>
      <c r="BZ2775" s="123"/>
      <c r="CA2775" s="123"/>
      <c r="CB2775" s="123"/>
      <c r="CC2775" s="123"/>
      <c r="CD2775" s="123"/>
      <c r="CE2775" s="123"/>
      <c r="CF2775" s="123"/>
      <c r="CG2775" s="123"/>
      <c r="CH2775" s="123"/>
      <c r="CI2775" s="123"/>
      <c r="CJ2775" s="123"/>
      <c r="CK2775" s="123"/>
      <c r="CL2775" s="123"/>
      <c r="CM2775" s="123"/>
      <c r="CN2775" s="123"/>
      <c r="CO2775" s="123"/>
      <c r="CP2775" s="123"/>
      <c r="CQ2775" s="123"/>
      <c r="CR2775" s="123"/>
      <c r="CS2775" s="123"/>
      <c r="CT2775" s="123"/>
      <c r="CU2775" s="123"/>
      <c r="CV2775" s="123"/>
      <c r="CW2775" s="123"/>
      <c r="CX2775" s="123"/>
      <c r="CY2775" s="123"/>
      <c r="CZ2775" s="123"/>
      <c r="DA2775" s="123"/>
      <c r="DB2775" s="123"/>
      <c r="DC2775" s="123"/>
      <c r="DD2775" s="123"/>
      <c r="DE2775" s="123"/>
      <c r="DF2775" s="123"/>
      <c r="DG2775" s="123"/>
      <c r="DH2775" s="123"/>
      <c r="DI2775" s="123"/>
      <c r="DJ2775" s="123"/>
      <c r="DK2775" s="123"/>
      <c r="DL2775" s="123"/>
      <c r="DM2775" s="123"/>
      <c r="DN2775" s="123"/>
      <c r="DO2775" s="123"/>
      <c r="DP2775" s="123"/>
      <c r="DQ2775" s="123"/>
      <c r="DR2775" s="123"/>
      <c r="DS2775" s="123"/>
      <c r="DT2775" s="123"/>
      <c r="DU2775" s="123"/>
      <c r="DV2775" s="123"/>
      <c r="DW2775" s="123"/>
      <c r="DX2775" s="123"/>
      <c r="DY2775" s="123"/>
      <c r="DZ2775" s="123"/>
      <c r="EA2775" s="123"/>
      <c r="EB2775" s="123"/>
      <c r="EC2775" s="123"/>
      <c r="ED2775" s="123"/>
      <c r="EE2775" s="123"/>
      <c r="EF2775" s="123"/>
      <c r="EG2775" s="123"/>
      <c r="EH2775" s="123"/>
      <c r="EI2775" s="123"/>
      <c r="EJ2775" s="123"/>
      <c r="EK2775" s="123"/>
      <c r="EL2775" s="123"/>
      <c r="EM2775" s="123"/>
      <c r="EN2775" s="123"/>
      <c r="EO2775" s="123"/>
      <c r="EP2775" s="123"/>
      <c r="EQ2775" s="123"/>
      <c r="ER2775" s="123"/>
      <c r="ES2775" s="123"/>
      <c r="ET2775" s="123"/>
      <c r="EU2775" s="123"/>
      <c r="EV2775" s="123"/>
      <c r="EW2775" s="123"/>
      <c r="EX2775" s="123"/>
      <c r="EY2775" s="123"/>
      <c r="EZ2775" s="123"/>
      <c r="FA2775" s="123"/>
      <c r="FB2775" s="123"/>
      <c r="FC2775" s="123"/>
      <c r="FD2775" s="123"/>
      <c r="FE2775" s="123"/>
      <c r="FF2775" s="123"/>
      <c r="FG2775" s="123"/>
      <c r="FH2775" s="123"/>
      <c r="FI2775" s="123"/>
      <c r="FJ2775" s="123"/>
      <c r="FK2775" s="123"/>
      <c r="FL2775" s="123"/>
      <c r="FM2775" s="123"/>
      <c r="FN2775" s="123"/>
      <c r="FO2775" s="123"/>
      <c r="FP2775" s="123"/>
      <c r="FQ2775" s="123"/>
      <c r="FR2775" s="123"/>
      <c r="FS2775" s="123"/>
      <c r="FT2775" s="123"/>
      <c r="FU2775" s="123"/>
      <c r="FV2775" s="123"/>
      <c r="FW2775" s="123"/>
      <c r="FX2775" s="123"/>
      <c r="FY2775" s="123"/>
      <c r="FZ2775" s="123"/>
      <c r="GA2775" s="123"/>
      <c r="GB2775" s="123"/>
      <c r="GC2775" s="123"/>
      <c r="GD2775" s="123"/>
      <c r="GE2775" s="123"/>
      <c r="GF2775" s="123"/>
      <c r="GG2775" s="123"/>
      <c r="GH2775" s="123"/>
      <c r="GI2775" s="123"/>
      <c r="GJ2775" s="123"/>
      <c r="GK2775" s="123"/>
      <c r="GL2775" s="123"/>
      <c r="GM2775" s="123"/>
      <c r="GN2775" s="123"/>
      <c r="GO2775" s="123"/>
      <c r="GP2775" s="123"/>
      <c r="GQ2775" s="123"/>
      <c r="GR2775" s="123"/>
      <c r="GS2775" s="123"/>
      <c r="GT2775" s="123"/>
      <c r="GU2775" s="123"/>
      <c r="GV2775" s="123"/>
      <c r="GW2775" s="123"/>
      <c r="GX2775" s="123"/>
      <c r="GY2775" s="123"/>
      <c r="GZ2775" s="123"/>
      <c r="HA2775" s="123"/>
      <c r="HB2775" s="123"/>
      <c r="HC2775" s="123"/>
      <c r="HD2775" s="123"/>
      <c r="HE2775" s="123"/>
    </row>
    <row r="2776" spans="1:213" ht="14" customHeight="1" x14ac:dyDescent="0.35">
      <c r="A2776" s="259">
        <f>A2773+1</f>
        <v>18</v>
      </c>
      <c r="B2776" s="259">
        <v>6345</v>
      </c>
      <c r="C2776" s="262" t="s">
        <v>510</v>
      </c>
      <c r="D2776" s="256">
        <v>889.8</v>
      </c>
      <c r="E2776" s="259" t="s">
        <v>79</v>
      </c>
      <c r="F2776" s="259">
        <v>2</v>
      </c>
      <c r="G2776" s="259" t="s">
        <v>71</v>
      </c>
      <c r="H2776" s="151" t="s">
        <v>72</v>
      </c>
      <c r="I2776" s="149">
        <f>I2777+I2778</f>
        <v>6155636.4000000004</v>
      </c>
      <c r="J2776" s="149">
        <f>J2777+J2778</f>
        <v>6918</v>
      </c>
      <c r="K2776" s="149">
        <f>K2777+K2778</f>
        <v>7066</v>
      </c>
    </row>
    <row r="2777" spans="1:213" s="145" customFormat="1" x14ac:dyDescent="0.35">
      <c r="A2777" s="260"/>
      <c r="B2777" s="260"/>
      <c r="C2777" s="263"/>
      <c r="D2777" s="257"/>
      <c r="E2777" s="260"/>
      <c r="F2777" s="260"/>
      <c r="G2777" s="260"/>
      <c r="H2777" s="151" t="s">
        <v>635</v>
      </c>
      <c r="I2777" s="149">
        <f>D2776*K2777</f>
        <v>6155636.4000000004</v>
      </c>
      <c r="J2777" s="149">
        <f>I2777/D2776</f>
        <v>6918</v>
      </c>
      <c r="K2777" s="149">
        <v>6918</v>
      </c>
      <c r="L2777" s="123"/>
      <c r="M2777" s="123"/>
      <c r="N2777" s="123"/>
      <c r="O2777" s="123"/>
      <c r="P2777" s="123"/>
      <c r="Q2777" s="123"/>
      <c r="R2777" s="123"/>
      <c r="S2777" s="123"/>
      <c r="T2777" s="123"/>
      <c r="U2777" s="123"/>
      <c r="V2777" s="123"/>
      <c r="W2777" s="123"/>
      <c r="X2777" s="123"/>
      <c r="Y2777" s="123"/>
      <c r="Z2777" s="123"/>
      <c r="AA2777" s="123"/>
      <c r="AB2777" s="123"/>
      <c r="AC2777" s="123"/>
      <c r="AD2777" s="123"/>
      <c r="AE2777" s="123"/>
      <c r="AF2777" s="123"/>
      <c r="AG2777" s="123"/>
      <c r="AH2777" s="123"/>
      <c r="AI2777" s="123"/>
      <c r="AJ2777" s="123"/>
      <c r="AK2777" s="123"/>
      <c r="AL2777" s="123"/>
      <c r="AM2777" s="123"/>
      <c r="AN2777" s="123"/>
      <c r="AO2777" s="123"/>
      <c r="AP2777" s="123"/>
      <c r="AQ2777" s="123"/>
      <c r="AR2777" s="123"/>
      <c r="AS2777" s="123"/>
      <c r="AT2777" s="123"/>
      <c r="AU2777" s="123"/>
      <c r="AV2777" s="123"/>
      <c r="AW2777" s="123"/>
      <c r="AX2777" s="123"/>
      <c r="AY2777" s="123"/>
      <c r="AZ2777" s="123"/>
      <c r="BA2777" s="123"/>
      <c r="BB2777" s="123"/>
      <c r="BC2777" s="123"/>
      <c r="BD2777" s="123"/>
      <c r="BE2777" s="123"/>
      <c r="BF2777" s="123"/>
      <c r="BG2777" s="123"/>
      <c r="BH2777" s="123"/>
      <c r="BI2777" s="123"/>
      <c r="BJ2777" s="123"/>
      <c r="BK2777" s="123"/>
      <c r="BL2777" s="123"/>
      <c r="BM2777" s="123"/>
      <c r="BN2777" s="123"/>
      <c r="BO2777" s="123"/>
      <c r="BP2777" s="123"/>
      <c r="BQ2777" s="123"/>
      <c r="BR2777" s="123"/>
      <c r="BS2777" s="123"/>
      <c r="BT2777" s="123"/>
      <c r="BU2777" s="123"/>
      <c r="BV2777" s="123"/>
      <c r="BW2777" s="123"/>
      <c r="BX2777" s="123"/>
      <c r="BY2777" s="123"/>
      <c r="BZ2777" s="123"/>
      <c r="CA2777" s="123"/>
      <c r="CB2777" s="123"/>
      <c r="CC2777" s="123"/>
      <c r="CD2777" s="123"/>
      <c r="CE2777" s="123"/>
      <c r="CF2777" s="123"/>
      <c r="CG2777" s="123"/>
      <c r="CH2777" s="123"/>
      <c r="CI2777" s="123"/>
      <c r="CJ2777" s="123"/>
      <c r="CK2777" s="123"/>
      <c r="CL2777" s="123"/>
      <c r="CM2777" s="123"/>
      <c r="CN2777" s="123"/>
      <c r="CO2777" s="123"/>
      <c r="CP2777" s="123"/>
      <c r="CQ2777" s="123"/>
      <c r="CR2777" s="123"/>
      <c r="CS2777" s="123"/>
      <c r="CT2777" s="123"/>
      <c r="CU2777" s="123"/>
      <c r="CV2777" s="123"/>
      <c r="CW2777" s="123"/>
      <c r="CX2777" s="123"/>
      <c r="CY2777" s="123"/>
      <c r="CZ2777" s="123"/>
      <c r="DA2777" s="123"/>
      <c r="DB2777" s="123"/>
      <c r="DC2777" s="123"/>
      <c r="DD2777" s="123"/>
      <c r="DE2777" s="123"/>
      <c r="DF2777" s="123"/>
      <c r="DG2777" s="123"/>
      <c r="DH2777" s="123"/>
      <c r="DI2777" s="123"/>
      <c r="DJ2777" s="123"/>
      <c r="DK2777" s="123"/>
      <c r="DL2777" s="123"/>
      <c r="DM2777" s="123"/>
      <c r="DN2777" s="123"/>
      <c r="DO2777" s="123"/>
      <c r="DP2777" s="123"/>
      <c r="DQ2777" s="123"/>
      <c r="DR2777" s="123"/>
      <c r="DS2777" s="123"/>
      <c r="DT2777" s="123"/>
      <c r="DU2777" s="123"/>
      <c r="DV2777" s="123"/>
      <c r="DW2777" s="123"/>
      <c r="DX2777" s="123"/>
      <c r="DY2777" s="123"/>
      <c r="DZ2777" s="123"/>
      <c r="EA2777" s="123"/>
      <c r="EB2777" s="123"/>
      <c r="EC2777" s="123"/>
      <c r="ED2777" s="123"/>
      <c r="EE2777" s="123"/>
      <c r="EF2777" s="123"/>
      <c r="EG2777" s="123"/>
      <c r="EH2777" s="123"/>
      <c r="EI2777" s="123"/>
      <c r="EJ2777" s="123"/>
      <c r="EK2777" s="123"/>
      <c r="EL2777" s="123"/>
      <c r="EM2777" s="123"/>
      <c r="EN2777" s="123"/>
      <c r="EO2777" s="123"/>
      <c r="EP2777" s="123"/>
      <c r="EQ2777" s="123"/>
      <c r="ER2777" s="123"/>
      <c r="ES2777" s="123"/>
      <c r="ET2777" s="123"/>
      <c r="EU2777" s="123"/>
      <c r="EV2777" s="123"/>
      <c r="EW2777" s="123"/>
      <c r="EX2777" s="123"/>
      <c r="EY2777" s="123"/>
      <c r="EZ2777" s="123"/>
      <c r="FA2777" s="123"/>
      <c r="FB2777" s="123"/>
      <c r="FC2777" s="123"/>
      <c r="FD2777" s="123"/>
      <c r="FE2777" s="123"/>
      <c r="FF2777" s="123"/>
      <c r="FG2777" s="123"/>
      <c r="FH2777" s="123"/>
      <c r="FI2777" s="123"/>
      <c r="FJ2777" s="123"/>
      <c r="FK2777" s="123"/>
      <c r="FL2777" s="123"/>
      <c r="FM2777" s="123"/>
      <c r="FN2777" s="123"/>
      <c r="FO2777" s="123"/>
      <c r="FP2777" s="123"/>
      <c r="FQ2777" s="123"/>
      <c r="FR2777" s="123"/>
      <c r="FS2777" s="123"/>
      <c r="FT2777" s="123"/>
      <c r="FU2777" s="123"/>
      <c r="FV2777" s="123"/>
      <c r="FW2777" s="123"/>
      <c r="FX2777" s="123"/>
      <c r="FY2777" s="123"/>
      <c r="FZ2777" s="123"/>
      <c r="GA2777" s="123"/>
      <c r="GB2777" s="123"/>
      <c r="GC2777" s="123"/>
      <c r="GD2777" s="123"/>
      <c r="GE2777" s="123"/>
      <c r="GF2777" s="123"/>
      <c r="GG2777" s="123"/>
      <c r="GH2777" s="123"/>
      <c r="GI2777" s="123"/>
      <c r="GJ2777" s="123"/>
      <c r="GK2777" s="123"/>
      <c r="GL2777" s="123"/>
      <c r="GM2777" s="123"/>
      <c r="GN2777" s="123"/>
      <c r="GO2777" s="123"/>
      <c r="GP2777" s="123"/>
      <c r="GQ2777" s="123"/>
      <c r="GR2777" s="123"/>
      <c r="GS2777" s="123"/>
      <c r="GT2777" s="123"/>
      <c r="GU2777" s="123"/>
      <c r="GV2777" s="123"/>
      <c r="GW2777" s="123"/>
      <c r="GX2777" s="123"/>
      <c r="GY2777" s="123"/>
      <c r="GZ2777" s="123"/>
      <c r="HA2777" s="123"/>
      <c r="HB2777" s="123"/>
      <c r="HC2777" s="123"/>
      <c r="HD2777" s="123"/>
      <c r="HE2777" s="123"/>
    </row>
    <row r="2778" spans="1:213" s="145" customFormat="1" x14ac:dyDescent="0.35">
      <c r="A2778" s="261"/>
      <c r="B2778" s="261"/>
      <c r="C2778" s="264"/>
      <c r="D2778" s="258"/>
      <c r="E2778" s="261"/>
      <c r="F2778" s="261"/>
      <c r="G2778" s="261"/>
      <c r="H2778" s="151" t="s">
        <v>75</v>
      </c>
      <c r="I2778" s="149">
        <v>0</v>
      </c>
      <c r="J2778" s="149">
        <v>0</v>
      </c>
      <c r="K2778" s="149">
        <v>148</v>
      </c>
      <c r="L2778" s="123"/>
      <c r="M2778" s="123"/>
      <c r="N2778" s="123"/>
      <c r="O2778" s="123"/>
      <c r="P2778" s="123"/>
      <c r="Q2778" s="123"/>
      <c r="R2778" s="123"/>
      <c r="S2778" s="123"/>
      <c r="T2778" s="123"/>
      <c r="U2778" s="123"/>
      <c r="V2778" s="123"/>
      <c r="W2778" s="123"/>
      <c r="X2778" s="123"/>
      <c r="Y2778" s="123"/>
      <c r="Z2778" s="123"/>
      <c r="AA2778" s="123"/>
      <c r="AB2778" s="123"/>
      <c r="AC2778" s="123"/>
      <c r="AD2778" s="123"/>
      <c r="AE2778" s="123"/>
      <c r="AF2778" s="123"/>
      <c r="AG2778" s="123"/>
      <c r="AH2778" s="123"/>
      <c r="AI2778" s="123"/>
      <c r="AJ2778" s="123"/>
      <c r="AK2778" s="123"/>
      <c r="AL2778" s="123"/>
      <c r="AM2778" s="123"/>
      <c r="AN2778" s="123"/>
      <c r="AO2778" s="123"/>
      <c r="AP2778" s="123"/>
      <c r="AQ2778" s="123"/>
      <c r="AR2778" s="123"/>
      <c r="AS2778" s="123"/>
      <c r="AT2778" s="123"/>
      <c r="AU2778" s="123"/>
      <c r="AV2778" s="123"/>
      <c r="AW2778" s="123"/>
      <c r="AX2778" s="123"/>
      <c r="AY2778" s="123"/>
      <c r="AZ2778" s="123"/>
      <c r="BA2778" s="123"/>
      <c r="BB2778" s="123"/>
      <c r="BC2778" s="123"/>
      <c r="BD2778" s="123"/>
      <c r="BE2778" s="123"/>
      <c r="BF2778" s="123"/>
      <c r="BG2778" s="123"/>
      <c r="BH2778" s="123"/>
      <c r="BI2778" s="123"/>
      <c r="BJ2778" s="123"/>
      <c r="BK2778" s="123"/>
      <c r="BL2778" s="123"/>
      <c r="BM2778" s="123"/>
      <c r="BN2778" s="123"/>
      <c r="BO2778" s="123"/>
      <c r="BP2778" s="123"/>
      <c r="BQ2778" s="123"/>
      <c r="BR2778" s="123"/>
      <c r="BS2778" s="123"/>
      <c r="BT2778" s="123"/>
      <c r="BU2778" s="123"/>
      <c r="BV2778" s="123"/>
      <c r="BW2778" s="123"/>
      <c r="BX2778" s="123"/>
      <c r="BY2778" s="123"/>
      <c r="BZ2778" s="123"/>
      <c r="CA2778" s="123"/>
      <c r="CB2778" s="123"/>
      <c r="CC2778" s="123"/>
      <c r="CD2778" s="123"/>
      <c r="CE2778" s="123"/>
      <c r="CF2778" s="123"/>
      <c r="CG2778" s="123"/>
      <c r="CH2778" s="123"/>
      <c r="CI2778" s="123"/>
      <c r="CJ2778" s="123"/>
      <c r="CK2778" s="123"/>
      <c r="CL2778" s="123"/>
      <c r="CM2778" s="123"/>
      <c r="CN2778" s="123"/>
      <c r="CO2778" s="123"/>
      <c r="CP2778" s="123"/>
      <c r="CQ2778" s="123"/>
      <c r="CR2778" s="123"/>
      <c r="CS2778" s="123"/>
      <c r="CT2778" s="123"/>
      <c r="CU2778" s="123"/>
      <c r="CV2778" s="123"/>
      <c r="CW2778" s="123"/>
      <c r="CX2778" s="123"/>
      <c r="CY2778" s="123"/>
      <c r="CZ2778" s="123"/>
      <c r="DA2778" s="123"/>
      <c r="DB2778" s="123"/>
      <c r="DC2778" s="123"/>
      <c r="DD2778" s="123"/>
      <c r="DE2778" s="123"/>
      <c r="DF2778" s="123"/>
      <c r="DG2778" s="123"/>
      <c r="DH2778" s="123"/>
      <c r="DI2778" s="123"/>
      <c r="DJ2778" s="123"/>
      <c r="DK2778" s="123"/>
      <c r="DL2778" s="123"/>
      <c r="DM2778" s="123"/>
      <c r="DN2778" s="123"/>
      <c r="DO2778" s="123"/>
      <c r="DP2778" s="123"/>
      <c r="DQ2778" s="123"/>
      <c r="DR2778" s="123"/>
      <c r="DS2778" s="123"/>
      <c r="DT2778" s="123"/>
      <c r="DU2778" s="123"/>
      <c r="DV2778" s="123"/>
      <c r="DW2778" s="123"/>
      <c r="DX2778" s="123"/>
      <c r="DY2778" s="123"/>
      <c r="DZ2778" s="123"/>
      <c r="EA2778" s="123"/>
      <c r="EB2778" s="123"/>
      <c r="EC2778" s="123"/>
      <c r="ED2778" s="123"/>
      <c r="EE2778" s="123"/>
      <c r="EF2778" s="123"/>
      <c r="EG2778" s="123"/>
      <c r="EH2778" s="123"/>
      <c r="EI2778" s="123"/>
      <c r="EJ2778" s="123"/>
      <c r="EK2778" s="123"/>
      <c r="EL2778" s="123"/>
      <c r="EM2778" s="123"/>
      <c r="EN2778" s="123"/>
      <c r="EO2778" s="123"/>
      <c r="EP2778" s="123"/>
      <c r="EQ2778" s="123"/>
      <c r="ER2778" s="123"/>
      <c r="ES2778" s="123"/>
      <c r="ET2778" s="123"/>
      <c r="EU2778" s="123"/>
      <c r="EV2778" s="123"/>
      <c r="EW2778" s="123"/>
      <c r="EX2778" s="123"/>
      <c r="EY2778" s="123"/>
      <c r="EZ2778" s="123"/>
      <c r="FA2778" s="123"/>
      <c r="FB2778" s="123"/>
      <c r="FC2778" s="123"/>
      <c r="FD2778" s="123"/>
      <c r="FE2778" s="123"/>
      <c r="FF2778" s="123"/>
      <c r="FG2778" s="123"/>
      <c r="FH2778" s="123"/>
      <c r="FI2778" s="123"/>
      <c r="FJ2778" s="123"/>
      <c r="FK2778" s="123"/>
      <c r="FL2778" s="123"/>
      <c r="FM2778" s="123"/>
      <c r="FN2778" s="123"/>
      <c r="FO2778" s="123"/>
      <c r="FP2778" s="123"/>
      <c r="FQ2778" s="123"/>
      <c r="FR2778" s="123"/>
      <c r="FS2778" s="123"/>
      <c r="FT2778" s="123"/>
      <c r="FU2778" s="123"/>
      <c r="FV2778" s="123"/>
      <c r="FW2778" s="123"/>
      <c r="FX2778" s="123"/>
      <c r="FY2778" s="123"/>
      <c r="FZ2778" s="123"/>
      <c r="GA2778" s="123"/>
      <c r="GB2778" s="123"/>
      <c r="GC2778" s="123"/>
      <c r="GD2778" s="123"/>
      <c r="GE2778" s="123"/>
      <c r="GF2778" s="123"/>
      <c r="GG2778" s="123"/>
      <c r="GH2778" s="123"/>
      <c r="GI2778" s="123"/>
      <c r="GJ2778" s="123"/>
      <c r="GK2778" s="123"/>
      <c r="GL2778" s="123"/>
      <c r="GM2778" s="123"/>
      <c r="GN2778" s="123"/>
      <c r="GO2778" s="123"/>
      <c r="GP2778" s="123"/>
      <c r="GQ2778" s="123"/>
      <c r="GR2778" s="123"/>
      <c r="GS2778" s="123"/>
      <c r="GT2778" s="123"/>
      <c r="GU2778" s="123"/>
      <c r="GV2778" s="123"/>
      <c r="GW2778" s="123"/>
      <c r="GX2778" s="123"/>
      <c r="GY2778" s="123"/>
      <c r="GZ2778" s="123"/>
      <c r="HA2778" s="123"/>
      <c r="HB2778" s="123"/>
      <c r="HC2778" s="123"/>
      <c r="HD2778" s="123"/>
      <c r="HE2778" s="123"/>
    </row>
    <row r="2779" spans="1:213" s="145" customFormat="1" ht="14" customHeight="1" x14ac:dyDescent="0.35">
      <c r="A2779" s="259">
        <f>A2776+1</f>
        <v>19</v>
      </c>
      <c r="B2779" s="259">
        <v>6389</v>
      </c>
      <c r="C2779" s="262" t="s">
        <v>512</v>
      </c>
      <c r="D2779" s="256">
        <v>2320</v>
      </c>
      <c r="E2779" s="259" t="s">
        <v>74</v>
      </c>
      <c r="F2779" s="259">
        <v>4</v>
      </c>
      <c r="G2779" s="259" t="s">
        <v>71</v>
      </c>
      <c r="H2779" s="151" t="s">
        <v>72</v>
      </c>
      <c r="I2779" s="149">
        <f>I2780+I2781</f>
        <v>7517496</v>
      </c>
      <c r="J2779" s="149">
        <f>J2780+J2781</f>
        <v>3240.3</v>
      </c>
      <c r="K2779" s="149">
        <f>K2780+K2781</f>
        <v>4728</v>
      </c>
      <c r="L2779" s="123"/>
      <c r="M2779" s="123"/>
      <c r="N2779" s="123"/>
      <c r="O2779" s="123"/>
      <c r="P2779" s="123"/>
      <c r="Q2779" s="123"/>
      <c r="R2779" s="123"/>
      <c r="S2779" s="123"/>
      <c r="T2779" s="123"/>
      <c r="U2779" s="123"/>
      <c r="V2779" s="123"/>
      <c r="W2779" s="123"/>
      <c r="X2779" s="123"/>
      <c r="Y2779" s="123"/>
      <c r="Z2779" s="123"/>
      <c r="AA2779" s="123"/>
      <c r="AB2779" s="123"/>
      <c r="AC2779" s="123"/>
      <c r="AD2779" s="123"/>
      <c r="AE2779" s="123"/>
      <c r="AF2779" s="123"/>
      <c r="AG2779" s="123"/>
      <c r="AH2779" s="123"/>
      <c r="AI2779" s="123"/>
      <c r="AJ2779" s="123"/>
      <c r="AK2779" s="123"/>
      <c r="AL2779" s="123"/>
      <c r="AM2779" s="123"/>
      <c r="AN2779" s="123"/>
      <c r="AO2779" s="123"/>
      <c r="AP2779" s="123"/>
      <c r="AQ2779" s="123"/>
      <c r="AR2779" s="123"/>
      <c r="AS2779" s="123"/>
      <c r="AT2779" s="123"/>
      <c r="AU2779" s="123"/>
      <c r="AV2779" s="123"/>
      <c r="AW2779" s="123"/>
      <c r="AX2779" s="123"/>
      <c r="AY2779" s="123"/>
      <c r="AZ2779" s="123"/>
      <c r="BA2779" s="123"/>
      <c r="BB2779" s="123"/>
      <c r="BC2779" s="123"/>
      <c r="BD2779" s="123"/>
      <c r="BE2779" s="123"/>
      <c r="BF2779" s="123"/>
      <c r="BG2779" s="123"/>
      <c r="BH2779" s="123"/>
      <c r="BI2779" s="123"/>
      <c r="BJ2779" s="123"/>
      <c r="BK2779" s="123"/>
      <c r="BL2779" s="123"/>
      <c r="BM2779" s="123"/>
      <c r="BN2779" s="123"/>
      <c r="BO2779" s="123"/>
      <c r="BP2779" s="123"/>
      <c r="BQ2779" s="123"/>
      <c r="BR2779" s="123"/>
      <c r="BS2779" s="123"/>
      <c r="BT2779" s="123"/>
      <c r="BU2779" s="123"/>
      <c r="BV2779" s="123"/>
      <c r="BW2779" s="123"/>
      <c r="BX2779" s="123"/>
      <c r="BY2779" s="123"/>
      <c r="BZ2779" s="123"/>
      <c r="CA2779" s="123"/>
      <c r="CB2779" s="123"/>
      <c r="CC2779" s="123"/>
      <c r="CD2779" s="123"/>
      <c r="CE2779" s="123"/>
      <c r="CF2779" s="123"/>
      <c r="CG2779" s="123"/>
      <c r="CH2779" s="123"/>
      <c r="CI2779" s="123"/>
      <c r="CJ2779" s="123"/>
      <c r="CK2779" s="123"/>
      <c r="CL2779" s="123"/>
      <c r="CM2779" s="123"/>
      <c r="CN2779" s="123"/>
      <c r="CO2779" s="123"/>
      <c r="CP2779" s="123"/>
      <c r="CQ2779" s="123"/>
      <c r="CR2779" s="123"/>
      <c r="CS2779" s="123"/>
      <c r="CT2779" s="123"/>
      <c r="CU2779" s="123"/>
      <c r="CV2779" s="123"/>
      <c r="CW2779" s="123"/>
      <c r="CX2779" s="123"/>
      <c r="CY2779" s="123"/>
      <c r="CZ2779" s="123"/>
      <c r="DA2779" s="123"/>
      <c r="DB2779" s="123"/>
      <c r="DC2779" s="123"/>
      <c r="DD2779" s="123"/>
      <c r="DE2779" s="123"/>
      <c r="DF2779" s="123"/>
      <c r="DG2779" s="123"/>
      <c r="DH2779" s="123"/>
      <c r="DI2779" s="123"/>
      <c r="DJ2779" s="123"/>
      <c r="DK2779" s="123"/>
      <c r="DL2779" s="123"/>
      <c r="DM2779" s="123"/>
      <c r="DN2779" s="123"/>
      <c r="DO2779" s="123"/>
      <c r="DP2779" s="123"/>
      <c r="DQ2779" s="123"/>
      <c r="DR2779" s="123"/>
      <c r="DS2779" s="123"/>
      <c r="DT2779" s="123"/>
      <c r="DU2779" s="123"/>
      <c r="DV2779" s="123"/>
      <c r="DW2779" s="123"/>
      <c r="DX2779" s="123"/>
      <c r="DY2779" s="123"/>
      <c r="DZ2779" s="123"/>
      <c r="EA2779" s="123"/>
      <c r="EB2779" s="123"/>
      <c r="EC2779" s="123"/>
      <c r="ED2779" s="123"/>
      <c r="EE2779" s="123"/>
      <c r="EF2779" s="123"/>
      <c r="EG2779" s="123"/>
      <c r="EH2779" s="123"/>
      <c r="EI2779" s="123"/>
      <c r="EJ2779" s="123"/>
      <c r="EK2779" s="123"/>
      <c r="EL2779" s="123"/>
      <c r="EM2779" s="123"/>
      <c r="EN2779" s="123"/>
      <c r="EO2779" s="123"/>
      <c r="EP2779" s="123"/>
      <c r="EQ2779" s="123"/>
      <c r="ER2779" s="123"/>
      <c r="ES2779" s="123"/>
      <c r="ET2779" s="123"/>
      <c r="EU2779" s="123"/>
      <c r="EV2779" s="123"/>
      <c r="EW2779" s="123"/>
      <c r="EX2779" s="123"/>
      <c r="EY2779" s="123"/>
      <c r="EZ2779" s="123"/>
      <c r="FA2779" s="123"/>
      <c r="FB2779" s="123"/>
      <c r="FC2779" s="123"/>
      <c r="FD2779" s="123"/>
      <c r="FE2779" s="123"/>
      <c r="FF2779" s="123"/>
      <c r="FG2779" s="123"/>
      <c r="FH2779" s="123"/>
      <c r="FI2779" s="123"/>
      <c r="FJ2779" s="123"/>
      <c r="FK2779" s="123"/>
      <c r="FL2779" s="123"/>
      <c r="FM2779" s="123"/>
      <c r="FN2779" s="123"/>
      <c r="FO2779" s="123"/>
      <c r="FP2779" s="123"/>
      <c r="FQ2779" s="123"/>
      <c r="FR2779" s="123"/>
      <c r="FS2779" s="123"/>
      <c r="FT2779" s="123"/>
      <c r="FU2779" s="123"/>
      <c r="FV2779" s="123"/>
      <c r="FW2779" s="123"/>
      <c r="FX2779" s="123"/>
      <c r="FY2779" s="123"/>
      <c r="FZ2779" s="123"/>
      <c r="GA2779" s="123"/>
      <c r="GB2779" s="123"/>
      <c r="GC2779" s="123"/>
      <c r="GD2779" s="123"/>
      <c r="GE2779" s="123"/>
      <c r="GF2779" s="123"/>
      <c r="GG2779" s="123"/>
      <c r="GH2779" s="123"/>
      <c r="GI2779" s="123"/>
      <c r="GJ2779" s="123"/>
      <c r="GK2779" s="123"/>
      <c r="GL2779" s="123"/>
      <c r="GM2779" s="123"/>
      <c r="GN2779" s="123"/>
      <c r="GO2779" s="123"/>
      <c r="GP2779" s="123"/>
      <c r="GQ2779" s="123"/>
      <c r="GR2779" s="123"/>
      <c r="GS2779" s="123"/>
      <c r="GT2779" s="123"/>
      <c r="GU2779" s="123"/>
      <c r="GV2779" s="123"/>
      <c r="GW2779" s="123"/>
      <c r="GX2779" s="123"/>
      <c r="GY2779" s="123"/>
      <c r="GZ2779" s="123"/>
      <c r="HA2779" s="123"/>
      <c r="HB2779" s="123"/>
      <c r="HC2779" s="123"/>
      <c r="HD2779" s="123"/>
      <c r="HE2779" s="123"/>
    </row>
    <row r="2780" spans="1:213" s="145" customFormat="1" x14ac:dyDescent="0.35">
      <c r="A2780" s="260"/>
      <c r="B2780" s="260"/>
      <c r="C2780" s="263"/>
      <c r="D2780" s="257"/>
      <c r="E2780" s="260"/>
      <c r="F2780" s="260"/>
      <c r="G2780" s="260"/>
      <c r="H2780" s="151" t="s">
        <v>635</v>
      </c>
      <c r="I2780" s="149">
        <f>D2779*K2780*0.7</f>
        <v>7517496</v>
      </c>
      <c r="J2780" s="149">
        <f>I2780/D2779</f>
        <v>3240.3</v>
      </c>
      <c r="K2780" s="149">
        <v>4629</v>
      </c>
      <c r="L2780" s="123"/>
      <c r="M2780" s="123"/>
      <c r="N2780" s="123"/>
      <c r="O2780" s="123"/>
      <c r="P2780" s="123"/>
      <c r="Q2780" s="123"/>
      <c r="R2780" s="123"/>
      <c r="S2780" s="123"/>
      <c r="T2780" s="123"/>
      <c r="U2780" s="123"/>
      <c r="V2780" s="123"/>
      <c r="W2780" s="123"/>
      <c r="X2780" s="123"/>
      <c r="Y2780" s="123"/>
      <c r="Z2780" s="123"/>
      <c r="AA2780" s="123"/>
      <c r="AB2780" s="123"/>
      <c r="AC2780" s="123"/>
      <c r="AD2780" s="123"/>
      <c r="AE2780" s="123"/>
      <c r="AF2780" s="123"/>
      <c r="AG2780" s="123"/>
      <c r="AH2780" s="123"/>
      <c r="AI2780" s="123"/>
      <c r="AJ2780" s="123"/>
      <c r="AK2780" s="123"/>
      <c r="AL2780" s="123"/>
      <c r="AM2780" s="123"/>
      <c r="AN2780" s="123"/>
      <c r="AO2780" s="123"/>
      <c r="AP2780" s="123"/>
      <c r="AQ2780" s="123"/>
      <c r="AR2780" s="123"/>
      <c r="AS2780" s="123"/>
      <c r="AT2780" s="123"/>
      <c r="AU2780" s="123"/>
      <c r="AV2780" s="123"/>
      <c r="AW2780" s="123"/>
      <c r="AX2780" s="123"/>
      <c r="AY2780" s="123"/>
      <c r="AZ2780" s="123"/>
      <c r="BA2780" s="123"/>
      <c r="BB2780" s="123"/>
      <c r="BC2780" s="123"/>
      <c r="BD2780" s="123"/>
      <c r="BE2780" s="123"/>
      <c r="BF2780" s="123"/>
      <c r="BG2780" s="123"/>
      <c r="BH2780" s="123"/>
      <c r="BI2780" s="123"/>
      <c r="BJ2780" s="123"/>
      <c r="BK2780" s="123"/>
      <c r="BL2780" s="123"/>
      <c r="BM2780" s="123"/>
      <c r="BN2780" s="123"/>
      <c r="BO2780" s="123"/>
      <c r="BP2780" s="123"/>
      <c r="BQ2780" s="123"/>
      <c r="BR2780" s="123"/>
      <c r="BS2780" s="123"/>
      <c r="BT2780" s="123"/>
      <c r="BU2780" s="123"/>
      <c r="BV2780" s="123"/>
      <c r="BW2780" s="123"/>
      <c r="BX2780" s="123"/>
      <c r="BY2780" s="123"/>
      <c r="BZ2780" s="123"/>
      <c r="CA2780" s="123"/>
      <c r="CB2780" s="123"/>
      <c r="CC2780" s="123"/>
      <c r="CD2780" s="123"/>
      <c r="CE2780" s="123"/>
      <c r="CF2780" s="123"/>
      <c r="CG2780" s="123"/>
      <c r="CH2780" s="123"/>
      <c r="CI2780" s="123"/>
      <c r="CJ2780" s="123"/>
      <c r="CK2780" s="123"/>
      <c r="CL2780" s="123"/>
      <c r="CM2780" s="123"/>
      <c r="CN2780" s="123"/>
      <c r="CO2780" s="123"/>
      <c r="CP2780" s="123"/>
      <c r="CQ2780" s="123"/>
      <c r="CR2780" s="123"/>
      <c r="CS2780" s="123"/>
      <c r="CT2780" s="123"/>
      <c r="CU2780" s="123"/>
      <c r="CV2780" s="123"/>
      <c r="CW2780" s="123"/>
      <c r="CX2780" s="123"/>
      <c r="CY2780" s="123"/>
      <c r="CZ2780" s="123"/>
      <c r="DA2780" s="123"/>
      <c r="DB2780" s="123"/>
      <c r="DC2780" s="123"/>
      <c r="DD2780" s="123"/>
      <c r="DE2780" s="123"/>
      <c r="DF2780" s="123"/>
      <c r="DG2780" s="123"/>
      <c r="DH2780" s="123"/>
      <c r="DI2780" s="123"/>
      <c r="DJ2780" s="123"/>
      <c r="DK2780" s="123"/>
      <c r="DL2780" s="123"/>
      <c r="DM2780" s="123"/>
      <c r="DN2780" s="123"/>
      <c r="DO2780" s="123"/>
      <c r="DP2780" s="123"/>
      <c r="DQ2780" s="123"/>
      <c r="DR2780" s="123"/>
      <c r="DS2780" s="123"/>
      <c r="DT2780" s="123"/>
      <c r="DU2780" s="123"/>
      <c r="DV2780" s="123"/>
      <c r="DW2780" s="123"/>
      <c r="DX2780" s="123"/>
      <c r="DY2780" s="123"/>
      <c r="DZ2780" s="123"/>
      <c r="EA2780" s="123"/>
      <c r="EB2780" s="123"/>
      <c r="EC2780" s="123"/>
      <c r="ED2780" s="123"/>
      <c r="EE2780" s="123"/>
      <c r="EF2780" s="123"/>
      <c r="EG2780" s="123"/>
      <c r="EH2780" s="123"/>
      <c r="EI2780" s="123"/>
      <c r="EJ2780" s="123"/>
      <c r="EK2780" s="123"/>
      <c r="EL2780" s="123"/>
      <c r="EM2780" s="123"/>
      <c r="EN2780" s="123"/>
      <c r="EO2780" s="123"/>
      <c r="EP2780" s="123"/>
      <c r="EQ2780" s="123"/>
      <c r="ER2780" s="123"/>
      <c r="ES2780" s="123"/>
      <c r="ET2780" s="123"/>
      <c r="EU2780" s="123"/>
      <c r="EV2780" s="123"/>
      <c r="EW2780" s="123"/>
      <c r="EX2780" s="123"/>
      <c r="EY2780" s="123"/>
      <c r="EZ2780" s="123"/>
      <c r="FA2780" s="123"/>
      <c r="FB2780" s="123"/>
      <c r="FC2780" s="123"/>
      <c r="FD2780" s="123"/>
      <c r="FE2780" s="123"/>
      <c r="FF2780" s="123"/>
      <c r="FG2780" s="123"/>
      <c r="FH2780" s="123"/>
      <c r="FI2780" s="123"/>
      <c r="FJ2780" s="123"/>
      <c r="FK2780" s="123"/>
      <c r="FL2780" s="123"/>
      <c r="FM2780" s="123"/>
      <c r="FN2780" s="123"/>
      <c r="FO2780" s="123"/>
      <c r="FP2780" s="123"/>
      <c r="FQ2780" s="123"/>
      <c r="FR2780" s="123"/>
      <c r="FS2780" s="123"/>
      <c r="FT2780" s="123"/>
      <c r="FU2780" s="123"/>
      <c r="FV2780" s="123"/>
      <c r="FW2780" s="123"/>
      <c r="FX2780" s="123"/>
      <c r="FY2780" s="123"/>
      <c r="FZ2780" s="123"/>
      <c r="GA2780" s="123"/>
      <c r="GB2780" s="123"/>
      <c r="GC2780" s="123"/>
      <c r="GD2780" s="123"/>
      <c r="GE2780" s="123"/>
      <c r="GF2780" s="123"/>
      <c r="GG2780" s="123"/>
      <c r="GH2780" s="123"/>
      <c r="GI2780" s="123"/>
      <c r="GJ2780" s="123"/>
      <c r="GK2780" s="123"/>
      <c r="GL2780" s="123"/>
      <c r="GM2780" s="123"/>
      <c r="GN2780" s="123"/>
      <c r="GO2780" s="123"/>
      <c r="GP2780" s="123"/>
      <c r="GQ2780" s="123"/>
      <c r="GR2780" s="123"/>
      <c r="GS2780" s="123"/>
      <c r="GT2780" s="123"/>
      <c r="GU2780" s="123"/>
      <c r="GV2780" s="123"/>
      <c r="GW2780" s="123"/>
      <c r="GX2780" s="123"/>
      <c r="GY2780" s="123"/>
      <c r="GZ2780" s="123"/>
      <c r="HA2780" s="123"/>
      <c r="HB2780" s="123"/>
      <c r="HC2780" s="123"/>
      <c r="HD2780" s="123"/>
      <c r="HE2780" s="123"/>
    </row>
    <row r="2781" spans="1:213" s="145" customFormat="1" x14ac:dyDescent="0.35">
      <c r="A2781" s="261"/>
      <c r="B2781" s="261"/>
      <c r="C2781" s="264"/>
      <c r="D2781" s="258"/>
      <c r="E2781" s="261"/>
      <c r="F2781" s="261"/>
      <c r="G2781" s="261"/>
      <c r="H2781" s="151" t="s">
        <v>75</v>
      </c>
      <c r="I2781" s="149">
        <v>0</v>
      </c>
      <c r="J2781" s="149">
        <v>0</v>
      </c>
      <c r="K2781" s="149">
        <v>99</v>
      </c>
      <c r="L2781" s="123"/>
      <c r="M2781" s="123"/>
      <c r="N2781" s="123"/>
      <c r="O2781" s="123"/>
      <c r="P2781" s="123"/>
      <c r="Q2781" s="123"/>
      <c r="R2781" s="123"/>
      <c r="S2781" s="123"/>
      <c r="T2781" s="123"/>
      <c r="U2781" s="123"/>
      <c r="V2781" s="123"/>
      <c r="W2781" s="123"/>
      <c r="X2781" s="123"/>
      <c r="Y2781" s="123"/>
      <c r="Z2781" s="123"/>
      <c r="AA2781" s="123"/>
      <c r="AB2781" s="123"/>
      <c r="AC2781" s="123"/>
      <c r="AD2781" s="123"/>
      <c r="AE2781" s="123"/>
      <c r="AF2781" s="123"/>
      <c r="AG2781" s="123"/>
      <c r="AH2781" s="123"/>
      <c r="AI2781" s="123"/>
      <c r="AJ2781" s="123"/>
      <c r="AK2781" s="123"/>
      <c r="AL2781" s="123"/>
      <c r="AM2781" s="123"/>
      <c r="AN2781" s="123"/>
      <c r="AO2781" s="123"/>
      <c r="AP2781" s="123"/>
      <c r="AQ2781" s="123"/>
      <c r="AR2781" s="123"/>
      <c r="AS2781" s="123"/>
      <c r="AT2781" s="123"/>
      <c r="AU2781" s="123"/>
      <c r="AV2781" s="123"/>
      <c r="AW2781" s="123"/>
      <c r="AX2781" s="123"/>
      <c r="AY2781" s="123"/>
      <c r="AZ2781" s="123"/>
      <c r="BA2781" s="123"/>
      <c r="BB2781" s="123"/>
      <c r="BC2781" s="123"/>
      <c r="BD2781" s="123"/>
      <c r="BE2781" s="123"/>
      <c r="BF2781" s="123"/>
      <c r="BG2781" s="123"/>
      <c r="BH2781" s="123"/>
      <c r="BI2781" s="123"/>
      <c r="BJ2781" s="123"/>
      <c r="BK2781" s="123"/>
      <c r="BL2781" s="123"/>
      <c r="BM2781" s="123"/>
      <c r="BN2781" s="123"/>
      <c r="BO2781" s="123"/>
      <c r="BP2781" s="123"/>
      <c r="BQ2781" s="123"/>
      <c r="BR2781" s="123"/>
      <c r="BS2781" s="123"/>
      <c r="BT2781" s="123"/>
      <c r="BU2781" s="123"/>
      <c r="BV2781" s="123"/>
      <c r="BW2781" s="123"/>
      <c r="BX2781" s="123"/>
      <c r="BY2781" s="123"/>
      <c r="BZ2781" s="123"/>
      <c r="CA2781" s="123"/>
      <c r="CB2781" s="123"/>
      <c r="CC2781" s="123"/>
      <c r="CD2781" s="123"/>
      <c r="CE2781" s="123"/>
      <c r="CF2781" s="123"/>
      <c r="CG2781" s="123"/>
      <c r="CH2781" s="123"/>
      <c r="CI2781" s="123"/>
      <c r="CJ2781" s="123"/>
      <c r="CK2781" s="123"/>
      <c r="CL2781" s="123"/>
      <c r="CM2781" s="123"/>
      <c r="CN2781" s="123"/>
      <c r="CO2781" s="123"/>
      <c r="CP2781" s="123"/>
      <c r="CQ2781" s="123"/>
      <c r="CR2781" s="123"/>
      <c r="CS2781" s="123"/>
      <c r="CT2781" s="123"/>
      <c r="CU2781" s="123"/>
      <c r="CV2781" s="123"/>
      <c r="CW2781" s="123"/>
      <c r="CX2781" s="123"/>
      <c r="CY2781" s="123"/>
      <c r="CZ2781" s="123"/>
      <c r="DA2781" s="123"/>
      <c r="DB2781" s="123"/>
      <c r="DC2781" s="123"/>
      <c r="DD2781" s="123"/>
      <c r="DE2781" s="123"/>
      <c r="DF2781" s="123"/>
      <c r="DG2781" s="123"/>
      <c r="DH2781" s="123"/>
      <c r="DI2781" s="123"/>
      <c r="DJ2781" s="123"/>
      <c r="DK2781" s="123"/>
      <c r="DL2781" s="123"/>
      <c r="DM2781" s="123"/>
      <c r="DN2781" s="123"/>
      <c r="DO2781" s="123"/>
      <c r="DP2781" s="123"/>
      <c r="DQ2781" s="123"/>
      <c r="DR2781" s="123"/>
      <c r="DS2781" s="123"/>
      <c r="DT2781" s="123"/>
      <c r="DU2781" s="123"/>
      <c r="DV2781" s="123"/>
      <c r="DW2781" s="123"/>
      <c r="DX2781" s="123"/>
      <c r="DY2781" s="123"/>
      <c r="DZ2781" s="123"/>
      <c r="EA2781" s="123"/>
      <c r="EB2781" s="123"/>
      <c r="EC2781" s="123"/>
      <c r="ED2781" s="123"/>
      <c r="EE2781" s="123"/>
      <c r="EF2781" s="123"/>
      <c r="EG2781" s="123"/>
      <c r="EH2781" s="123"/>
      <c r="EI2781" s="123"/>
      <c r="EJ2781" s="123"/>
      <c r="EK2781" s="123"/>
      <c r="EL2781" s="123"/>
      <c r="EM2781" s="123"/>
      <c r="EN2781" s="123"/>
      <c r="EO2781" s="123"/>
      <c r="EP2781" s="123"/>
      <c r="EQ2781" s="123"/>
      <c r="ER2781" s="123"/>
      <c r="ES2781" s="123"/>
      <c r="ET2781" s="123"/>
      <c r="EU2781" s="123"/>
      <c r="EV2781" s="123"/>
      <c r="EW2781" s="123"/>
      <c r="EX2781" s="123"/>
      <c r="EY2781" s="123"/>
      <c r="EZ2781" s="123"/>
      <c r="FA2781" s="123"/>
      <c r="FB2781" s="123"/>
      <c r="FC2781" s="123"/>
      <c r="FD2781" s="123"/>
      <c r="FE2781" s="123"/>
      <c r="FF2781" s="123"/>
      <c r="FG2781" s="123"/>
      <c r="FH2781" s="123"/>
      <c r="FI2781" s="123"/>
      <c r="FJ2781" s="123"/>
      <c r="FK2781" s="123"/>
      <c r="FL2781" s="123"/>
      <c r="FM2781" s="123"/>
      <c r="FN2781" s="123"/>
      <c r="FO2781" s="123"/>
      <c r="FP2781" s="123"/>
      <c r="FQ2781" s="123"/>
      <c r="FR2781" s="123"/>
      <c r="FS2781" s="123"/>
      <c r="FT2781" s="123"/>
      <c r="FU2781" s="123"/>
      <c r="FV2781" s="123"/>
      <c r="FW2781" s="123"/>
      <c r="FX2781" s="123"/>
      <c r="FY2781" s="123"/>
      <c r="FZ2781" s="123"/>
      <c r="GA2781" s="123"/>
      <c r="GB2781" s="123"/>
      <c r="GC2781" s="123"/>
      <c r="GD2781" s="123"/>
      <c r="GE2781" s="123"/>
      <c r="GF2781" s="123"/>
      <c r="GG2781" s="123"/>
      <c r="GH2781" s="123"/>
      <c r="GI2781" s="123"/>
      <c r="GJ2781" s="123"/>
      <c r="GK2781" s="123"/>
      <c r="GL2781" s="123"/>
      <c r="GM2781" s="123"/>
      <c r="GN2781" s="123"/>
      <c r="GO2781" s="123"/>
      <c r="GP2781" s="123"/>
      <c r="GQ2781" s="123"/>
      <c r="GR2781" s="123"/>
      <c r="GS2781" s="123"/>
      <c r="GT2781" s="123"/>
      <c r="GU2781" s="123"/>
      <c r="GV2781" s="123"/>
      <c r="GW2781" s="123"/>
      <c r="GX2781" s="123"/>
      <c r="GY2781" s="123"/>
      <c r="GZ2781" s="123"/>
      <c r="HA2781" s="123"/>
      <c r="HB2781" s="123"/>
      <c r="HC2781" s="123"/>
      <c r="HD2781" s="123"/>
      <c r="HE2781" s="123"/>
    </row>
    <row r="2782" spans="1:213" s="145" customFormat="1" ht="14" customHeight="1" x14ac:dyDescent="0.35">
      <c r="A2782" s="259">
        <f>A2779+1</f>
        <v>20</v>
      </c>
      <c r="B2782" s="259">
        <v>6392</v>
      </c>
      <c r="C2782" s="262" t="s">
        <v>513</v>
      </c>
      <c r="D2782" s="256">
        <v>2953.7</v>
      </c>
      <c r="E2782" s="259" t="s">
        <v>74</v>
      </c>
      <c r="F2782" s="259">
        <v>4</v>
      </c>
      <c r="G2782" s="160"/>
      <c r="H2782" s="186" t="s">
        <v>72</v>
      </c>
      <c r="I2782" s="149">
        <f>I2783+I2784+I2785+I2786+I2787+I2788</f>
        <v>7366823.1699999999</v>
      </c>
      <c r="J2782" s="149">
        <f>J2783+J2784+J2785+J2786+J2787+J2788</f>
        <v>2494.1</v>
      </c>
      <c r="K2782" s="149">
        <f>K2783+K2784+K2785+K2786+K2787+K2788</f>
        <v>3640</v>
      </c>
      <c r="L2782" s="123"/>
      <c r="M2782" s="123"/>
      <c r="N2782" s="123"/>
      <c r="O2782" s="123"/>
      <c r="P2782" s="123"/>
      <c r="Q2782" s="123"/>
      <c r="R2782" s="123"/>
      <c r="S2782" s="123"/>
      <c r="T2782" s="123"/>
      <c r="U2782" s="123"/>
      <c r="V2782" s="123"/>
      <c r="W2782" s="123"/>
      <c r="X2782" s="123"/>
      <c r="Y2782" s="123"/>
      <c r="Z2782" s="123"/>
      <c r="AA2782" s="123"/>
      <c r="AB2782" s="123"/>
      <c r="AC2782" s="123"/>
      <c r="AD2782" s="123"/>
      <c r="AE2782" s="123"/>
      <c r="AF2782" s="123"/>
      <c r="AG2782" s="123"/>
      <c r="AH2782" s="123"/>
      <c r="AI2782" s="123"/>
      <c r="AJ2782" s="123"/>
      <c r="AK2782" s="123"/>
      <c r="AL2782" s="123"/>
      <c r="AM2782" s="123"/>
      <c r="AN2782" s="123"/>
      <c r="AO2782" s="123"/>
      <c r="AP2782" s="123"/>
      <c r="AQ2782" s="123"/>
      <c r="AR2782" s="123"/>
      <c r="AS2782" s="123"/>
      <c r="AT2782" s="123"/>
      <c r="AU2782" s="123"/>
      <c r="AV2782" s="123"/>
      <c r="AW2782" s="123"/>
      <c r="AX2782" s="123"/>
      <c r="AY2782" s="123"/>
      <c r="AZ2782" s="123"/>
      <c r="BA2782" s="123"/>
      <c r="BB2782" s="123"/>
      <c r="BC2782" s="123"/>
      <c r="BD2782" s="123"/>
      <c r="BE2782" s="123"/>
      <c r="BF2782" s="123"/>
      <c r="BG2782" s="123"/>
      <c r="BH2782" s="123"/>
      <c r="BI2782" s="123"/>
      <c r="BJ2782" s="123"/>
      <c r="BK2782" s="123"/>
      <c r="BL2782" s="123"/>
      <c r="BM2782" s="123"/>
      <c r="BN2782" s="123"/>
      <c r="BO2782" s="123"/>
      <c r="BP2782" s="123"/>
      <c r="BQ2782" s="123"/>
      <c r="BR2782" s="123"/>
      <c r="BS2782" s="123"/>
      <c r="BT2782" s="123"/>
      <c r="BU2782" s="123"/>
      <c r="BV2782" s="123"/>
      <c r="BW2782" s="123"/>
      <c r="BX2782" s="123"/>
      <c r="BY2782" s="123"/>
      <c r="BZ2782" s="123"/>
      <c r="CA2782" s="123"/>
      <c r="CB2782" s="123"/>
      <c r="CC2782" s="123"/>
      <c r="CD2782" s="123"/>
      <c r="CE2782" s="123"/>
      <c r="CF2782" s="123"/>
      <c r="CG2782" s="123"/>
      <c r="CH2782" s="123"/>
      <c r="CI2782" s="123"/>
      <c r="CJ2782" s="123"/>
      <c r="CK2782" s="123"/>
      <c r="CL2782" s="123"/>
      <c r="CM2782" s="123"/>
      <c r="CN2782" s="123"/>
      <c r="CO2782" s="123"/>
      <c r="CP2782" s="123"/>
      <c r="CQ2782" s="123"/>
      <c r="CR2782" s="123"/>
      <c r="CS2782" s="123"/>
      <c r="CT2782" s="123"/>
      <c r="CU2782" s="123"/>
      <c r="CV2782" s="123"/>
      <c r="CW2782" s="123"/>
      <c r="CX2782" s="123"/>
      <c r="CY2782" s="123"/>
      <c r="CZ2782" s="123"/>
      <c r="DA2782" s="123"/>
      <c r="DB2782" s="123"/>
      <c r="DC2782" s="123"/>
      <c r="DD2782" s="123"/>
      <c r="DE2782" s="123"/>
      <c r="DF2782" s="123"/>
      <c r="DG2782" s="123"/>
      <c r="DH2782" s="123"/>
      <c r="DI2782" s="123"/>
      <c r="DJ2782" s="123"/>
      <c r="DK2782" s="123"/>
      <c r="DL2782" s="123"/>
      <c r="DM2782" s="123"/>
      <c r="DN2782" s="123"/>
      <c r="DO2782" s="123"/>
      <c r="DP2782" s="123"/>
      <c r="DQ2782" s="123"/>
      <c r="DR2782" s="123"/>
      <c r="DS2782" s="123"/>
      <c r="DT2782" s="123"/>
      <c r="DU2782" s="123"/>
      <c r="DV2782" s="123"/>
      <c r="DW2782" s="123"/>
      <c r="DX2782" s="123"/>
      <c r="DY2782" s="123"/>
      <c r="DZ2782" s="123"/>
      <c r="EA2782" s="123"/>
      <c r="EB2782" s="123"/>
      <c r="EC2782" s="123"/>
      <c r="ED2782" s="123"/>
      <c r="EE2782" s="123"/>
      <c r="EF2782" s="123"/>
      <c r="EG2782" s="123"/>
      <c r="EH2782" s="123"/>
      <c r="EI2782" s="123"/>
      <c r="EJ2782" s="123"/>
      <c r="EK2782" s="123"/>
      <c r="EL2782" s="123"/>
      <c r="EM2782" s="123"/>
      <c r="EN2782" s="123"/>
      <c r="EO2782" s="123"/>
      <c r="EP2782" s="123"/>
      <c r="EQ2782" s="123"/>
      <c r="ER2782" s="123"/>
      <c r="ES2782" s="123"/>
      <c r="ET2782" s="123"/>
      <c r="EU2782" s="123"/>
      <c r="EV2782" s="123"/>
      <c r="EW2782" s="123"/>
      <c r="EX2782" s="123"/>
      <c r="EY2782" s="123"/>
      <c r="EZ2782" s="123"/>
      <c r="FA2782" s="123"/>
      <c r="FB2782" s="123"/>
      <c r="FC2782" s="123"/>
      <c r="FD2782" s="123"/>
      <c r="FE2782" s="123"/>
      <c r="FF2782" s="123"/>
      <c r="FG2782" s="123"/>
      <c r="FH2782" s="123"/>
      <c r="FI2782" s="123"/>
      <c r="FJ2782" s="123"/>
      <c r="FK2782" s="123"/>
      <c r="FL2782" s="123"/>
      <c r="FM2782" s="123"/>
      <c r="FN2782" s="123"/>
      <c r="FO2782" s="123"/>
      <c r="FP2782" s="123"/>
      <c r="FQ2782" s="123"/>
      <c r="FR2782" s="123"/>
      <c r="FS2782" s="123"/>
      <c r="FT2782" s="123"/>
      <c r="FU2782" s="123"/>
      <c r="FV2782" s="123"/>
      <c r="FW2782" s="123"/>
      <c r="FX2782" s="123"/>
      <c r="FY2782" s="123"/>
      <c r="FZ2782" s="123"/>
      <c r="GA2782" s="123"/>
      <c r="GB2782" s="123"/>
      <c r="GC2782" s="123"/>
      <c r="GD2782" s="123"/>
      <c r="GE2782" s="123"/>
      <c r="GF2782" s="123"/>
      <c r="GG2782" s="123"/>
      <c r="GH2782" s="123"/>
      <c r="GI2782" s="123"/>
      <c r="GJ2782" s="123"/>
      <c r="GK2782" s="123"/>
      <c r="GL2782" s="123"/>
      <c r="GM2782" s="123"/>
      <c r="GN2782" s="123"/>
      <c r="GO2782" s="123"/>
      <c r="GP2782" s="123"/>
      <c r="GQ2782" s="123"/>
      <c r="GR2782" s="123"/>
      <c r="GS2782" s="123"/>
      <c r="GT2782" s="123"/>
      <c r="GU2782" s="123"/>
      <c r="GV2782" s="123"/>
      <c r="GW2782" s="123"/>
      <c r="GX2782" s="123"/>
      <c r="GY2782" s="123"/>
      <c r="GZ2782" s="123"/>
      <c r="HA2782" s="123"/>
      <c r="HB2782" s="123"/>
      <c r="HC2782" s="123"/>
      <c r="HD2782" s="123"/>
      <c r="HE2782" s="123"/>
    </row>
    <row r="2783" spans="1:213" s="145" customFormat="1" x14ac:dyDescent="0.35">
      <c r="A2783" s="260"/>
      <c r="B2783" s="260"/>
      <c r="C2783" s="263"/>
      <c r="D2783" s="257"/>
      <c r="E2783" s="260"/>
      <c r="F2783" s="260"/>
      <c r="G2783" s="259" t="s">
        <v>76</v>
      </c>
      <c r="H2783" s="186" t="s">
        <v>635</v>
      </c>
      <c r="I2783" s="149">
        <f>D2782*K2783*0.7</f>
        <v>5563884.6900000004</v>
      </c>
      <c r="J2783" s="149">
        <f>I2783/D2782</f>
        <v>1883.7</v>
      </c>
      <c r="K2783" s="149">
        <v>2691</v>
      </c>
      <c r="L2783" s="123"/>
      <c r="M2783" s="123"/>
      <c r="N2783" s="123"/>
      <c r="O2783" s="123"/>
      <c r="P2783" s="123"/>
      <c r="Q2783" s="123"/>
      <c r="R2783" s="123"/>
      <c r="S2783" s="123"/>
      <c r="T2783" s="123"/>
      <c r="U2783" s="123"/>
      <c r="V2783" s="123"/>
      <c r="W2783" s="123"/>
      <c r="X2783" s="123"/>
      <c r="Y2783" s="123"/>
      <c r="Z2783" s="123"/>
      <c r="AA2783" s="123"/>
      <c r="AB2783" s="123"/>
      <c r="AC2783" s="123"/>
      <c r="AD2783" s="123"/>
      <c r="AE2783" s="123"/>
      <c r="AF2783" s="123"/>
      <c r="AG2783" s="123"/>
      <c r="AH2783" s="123"/>
      <c r="AI2783" s="123"/>
      <c r="AJ2783" s="123"/>
      <c r="AK2783" s="123"/>
      <c r="AL2783" s="123"/>
      <c r="AM2783" s="123"/>
      <c r="AN2783" s="123"/>
      <c r="AO2783" s="123"/>
      <c r="AP2783" s="123"/>
      <c r="AQ2783" s="123"/>
      <c r="AR2783" s="123"/>
      <c r="AS2783" s="123"/>
      <c r="AT2783" s="123"/>
      <c r="AU2783" s="123"/>
      <c r="AV2783" s="123"/>
      <c r="AW2783" s="123"/>
      <c r="AX2783" s="123"/>
      <c r="AY2783" s="123"/>
      <c r="AZ2783" s="123"/>
      <c r="BA2783" s="123"/>
      <c r="BB2783" s="123"/>
      <c r="BC2783" s="123"/>
      <c r="BD2783" s="123"/>
      <c r="BE2783" s="123"/>
      <c r="BF2783" s="123"/>
      <c r="BG2783" s="123"/>
      <c r="BH2783" s="123"/>
      <c r="BI2783" s="123"/>
      <c r="BJ2783" s="123"/>
      <c r="BK2783" s="123"/>
      <c r="BL2783" s="123"/>
      <c r="BM2783" s="123"/>
      <c r="BN2783" s="123"/>
      <c r="BO2783" s="123"/>
      <c r="BP2783" s="123"/>
      <c r="BQ2783" s="123"/>
      <c r="BR2783" s="123"/>
      <c r="BS2783" s="123"/>
      <c r="BT2783" s="123"/>
      <c r="BU2783" s="123"/>
      <c r="BV2783" s="123"/>
      <c r="BW2783" s="123"/>
      <c r="BX2783" s="123"/>
      <c r="BY2783" s="123"/>
      <c r="BZ2783" s="123"/>
      <c r="CA2783" s="123"/>
      <c r="CB2783" s="123"/>
      <c r="CC2783" s="123"/>
      <c r="CD2783" s="123"/>
      <c r="CE2783" s="123"/>
      <c r="CF2783" s="123"/>
      <c r="CG2783" s="123"/>
      <c r="CH2783" s="123"/>
      <c r="CI2783" s="123"/>
      <c r="CJ2783" s="123"/>
      <c r="CK2783" s="123"/>
      <c r="CL2783" s="123"/>
      <c r="CM2783" s="123"/>
      <c r="CN2783" s="123"/>
      <c r="CO2783" s="123"/>
      <c r="CP2783" s="123"/>
      <c r="CQ2783" s="123"/>
      <c r="CR2783" s="123"/>
      <c r="CS2783" s="123"/>
      <c r="CT2783" s="123"/>
      <c r="CU2783" s="123"/>
      <c r="CV2783" s="123"/>
      <c r="CW2783" s="123"/>
      <c r="CX2783" s="123"/>
      <c r="CY2783" s="123"/>
      <c r="CZ2783" s="123"/>
      <c r="DA2783" s="123"/>
      <c r="DB2783" s="123"/>
      <c r="DC2783" s="123"/>
      <c r="DD2783" s="123"/>
      <c r="DE2783" s="123"/>
      <c r="DF2783" s="123"/>
      <c r="DG2783" s="123"/>
      <c r="DH2783" s="123"/>
      <c r="DI2783" s="123"/>
      <c r="DJ2783" s="123"/>
      <c r="DK2783" s="123"/>
      <c r="DL2783" s="123"/>
      <c r="DM2783" s="123"/>
      <c r="DN2783" s="123"/>
      <c r="DO2783" s="123"/>
      <c r="DP2783" s="123"/>
      <c r="DQ2783" s="123"/>
      <c r="DR2783" s="123"/>
      <c r="DS2783" s="123"/>
      <c r="DT2783" s="123"/>
      <c r="DU2783" s="123"/>
      <c r="DV2783" s="123"/>
      <c r="DW2783" s="123"/>
      <c r="DX2783" s="123"/>
      <c r="DY2783" s="123"/>
      <c r="DZ2783" s="123"/>
      <c r="EA2783" s="123"/>
      <c r="EB2783" s="123"/>
      <c r="EC2783" s="123"/>
      <c r="ED2783" s="123"/>
      <c r="EE2783" s="123"/>
      <c r="EF2783" s="123"/>
      <c r="EG2783" s="123"/>
      <c r="EH2783" s="123"/>
      <c r="EI2783" s="123"/>
      <c r="EJ2783" s="123"/>
      <c r="EK2783" s="123"/>
      <c r="EL2783" s="123"/>
      <c r="EM2783" s="123"/>
      <c r="EN2783" s="123"/>
      <c r="EO2783" s="123"/>
      <c r="EP2783" s="123"/>
      <c r="EQ2783" s="123"/>
      <c r="ER2783" s="123"/>
      <c r="ES2783" s="123"/>
      <c r="ET2783" s="123"/>
      <c r="EU2783" s="123"/>
      <c r="EV2783" s="123"/>
      <c r="EW2783" s="123"/>
      <c r="EX2783" s="123"/>
      <c r="EY2783" s="123"/>
      <c r="EZ2783" s="123"/>
      <c r="FA2783" s="123"/>
      <c r="FB2783" s="123"/>
      <c r="FC2783" s="123"/>
      <c r="FD2783" s="123"/>
      <c r="FE2783" s="123"/>
      <c r="FF2783" s="123"/>
      <c r="FG2783" s="123"/>
      <c r="FH2783" s="123"/>
      <c r="FI2783" s="123"/>
      <c r="FJ2783" s="123"/>
      <c r="FK2783" s="123"/>
      <c r="FL2783" s="123"/>
      <c r="FM2783" s="123"/>
      <c r="FN2783" s="123"/>
      <c r="FO2783" s="123"/>
      <c r="FP2783" s="123"/>
      <c r="FQ2783" s="123"/>
      <c r="FR2783" s="123"/>
      <c r="FS2783" s="123"/>
      <c r="FT2783" s="123"/>
      <c r="FU2783" s="123"/>
      <c r="FV2783" s="123"/>
      <c r="FW2783" s="123"/>
      <c r="FX2783" s="123"/>
      <c r="FY2783" s="123"/>
      <c r="FZ2783" s="123"/>
      <c r="GA2783" s="123"/>
      <c r="GB2783" s="123"/>
      <c r="GC2783" s="123"/>
      <c r="GD2783" s="123"/>
      <c r="GE2783" s="123"/>
      <c r="GF2783" s="123"/>
      <c r="GG2783" s="123"/>
      <c r="GH2783" s="123"/>
      <c r="GI2783" s="123"/>
      <c r="GJ2783" s="123"/>
      <c r="GK2783" s="123"/>
      <c r="GL2783" s="123"/>
      <c r="GM2783" s="123"/>
      <c r="GN2783" s="123"/>
      <c r="GO2783" s="123"/>
      <c r="GP2783" s="123"/>
      <c r="GQ2783" s="123"/>
      <c r="GR2783" s="123"/>
      <c r="GS2783" s="123"/>
      <c r="GT2783" s="123"/>
      <c r="GU2783" s="123"/>
      <c r="GV2783" s="123"/>
      <c r="GW2783" s="123"/>
      <c r="GX2783" s="123"/>
      <c r="GY2783" s="123"/>
      <c r="GZ2783" s="123"/>
      <c r="HA2783" s="123"/>
      <c r="HB2783" s="123"/>
      <c r="HC2783" s="123"/>
      <c r="HD2783" s="123"/>
      <c r="HE2783" s="123"/>
    </row>
    <row r="2784" spans="1:213" s="145" customFormat="1" x14ac:dyDescent="0.35">
      <c r="A2784" s="260"/>
      <c r="B2784" s="260"/>
      <c r="C2784" s="263"/>
      <c r="D2784" s="257"/>
      <c r="E2784" s="260"/>
      <c r="F2784" s="260"/>
      <c r="G2784" s="261"/>
      <c r="H2784" s="186" t="s">
        <v>75</v>
      </c>
      <c r="I2784" s="149">
        <v>0</v>
      </c>
      <c r="J2784" s="149">
        <v>0</v>
      </c>
      <c r="K2784" s="149">
        <v>58</v>
      </c>
      <c r="L2784" s="123"/>
      <c r="M2784" s="123"/>
      <c r="N2784" s="123"/>
      <c r="O2784" s="123"/>
      <c r="P2784" s="123"/>
      <c r="Q2784" s="123"/>
      <c r="R2784" s="123"/>
      <c r="S2784" s="123"/>
      <c r="T2784" s="123"/>
      <c r="U2784" s="123"/>
      <c r="V2784" s="123"/>
      <c r="W2784" s="123"/>
      <c r="X2784" s="123"/>
      <c r="Y2784" s="123"/>
      <c r="Z2784" s="123"/>
      <c r="AA2784" s="123"/>
      <c r="AB2784" s="123"/>
      <c r="AC2784" s="123"/>
      <c r="AD2784" s="123"/>
      <c r="AE2784" s="123"/>
      <c r="AF2784" s="123"/>
      <c r="AG2784" s="123"/>
      <c r="AH2784" s="123"/>
      <c r="AI2784" s="123"/>
      <c r="AJ2784" s="123"/>
      <c r="AK2784" s="123"/>
      <c r="AL2784" s="123"/>
      <c r="AM2784" s="123"/>
      <c r="AN2784" s="123"/>
      <c r="AO2784" s="123"/>
      <c r="AP2784" s="123"/>
      <c r="AQ2784" s="123"/>
      <c r="AR2784" s="123"/>
      <c r="AS2784" s="123"/>
      <c r="AT2784" s="123"/>
      <c r="AU2784" s="123"/>
      <c r="AV2784" s="123"/>
      <c r="AW2784" s="123"/>
      <c r="AX2784" s="123"/>
      <c r="AY2784" s="123"/>
      <c r="AZ2784" s="123"/>
      <c r="BA2784" s="123"/>
      <c r="BB2784" s="123"/>
      <c r="BC2784" s="123"/>
      <c r="BD2784" s="123"/>
      <c r="BE2784" s="123"/>
      <c r="BF2784" s="123"/>
      <c r="BG2784" s="123"/>
      <c r="BH2784" s="123"/>
      <c r="BI2784" s="123"/>
      <c r="BJ2784" s="123"/>
      <c r="BK2784" s="123"/>
      <c r="BL2784" s="123"/>
      <c r="BM2784" s="123"/>
      <c r="BN2784" s="123"/>
      <c r="BO2784" s="123"/>
      <c r="BP2784" s="123"/>
      <c r="BQ2784" s="123"/>
      <c r="BR2784" s="123"/>
      <c r="BS2784" s="123"/>
      <c r="BT2784" s="123"/>
      <c r="BU2784" s="123"/>
      <c r="BV2784" s="123"/>
      <c r="BW2784" s="123"/>
      <c r="BX2784" s="123"/>
      <c r="BY2784" s="123"/>
      <c r="BZ2784" s="123"/>
      <c r="CA2784" s="123"/>
      <c r="CB2784" s="123"/>
      <c r="CC2784" s="123"/>
      <c r="CD2784" s="123"/>
      <c r="CE2784" s="123"/>
      <c r="CF2784" s="123"/>
      <c r="CG2784" s="123"/>
      <c r="CH2784" s="123"/>
      <c r="CI2784" s="123"/>
      <c r="CJ2784" s="123"/>
      <c r="CK2784" s="123"/>
      <c r="CL2784" s="123"/>
      <c r="CM2784" s="123"/>
      <c r="CN2784" s="123"/>
      <c r="CO2784" s="123"/>
      <c r="CP2784" s="123"/>
      <c r="CQ2784" s="123"/>
      <c r="CR2784" s="123"/>
      <c r="CS2784" s="123"/>
      <c r="CT2784" s="123"/>
      <c r="CU2784" s="123"/>
      <c r="CV2784" s="123"/>
      <c r="CW2784" s="123"/>
      <c r="CX2784" s="123"/>
      <c r="CY2784" s="123"/>
      <c r="CZ2784" s="123"/>
      <c r="DA2784" s="123"/>
      <c r="DB2784" s="123"/>
      <c r="DC2784" s="123"/>
      <c r="DD2784" s="123"/>
      <c r="DE2784" s="123"/>
      <c r="DF2784" s="123"/>
      <c r="DG2784" s="123"/>
      <c r="DH2784" s="123"/>
      <c r="DI2784" s="123"/>
      <c r="DJ2784" s="123"/>
      <c r="DK2784" s="123"/>
      <c r="DL2784" s="123"/>
      <c r="DM2784" s="123"/>
      <c r="DN2784" s="123"/>
      <c r="DO2784" s="123"/>
      <c r="DP2784" s="123"/>
      <c r="DQ2784" s="123"/>
      <c r="DR2784" s="123"/>
      <c r="DS2784" s="123"/>
      <c r="DT2784" s="123"/>
      <c r="DU2784" s="123"/>
      <c r="DV2784" s="123"/>
      <c r="DW2784" s="123"/>
      <c r="DX2784" s="123"/>
      <c r="DY2784" s="123"/>
      <c r="DZ2784" s="123"/>
      <c r="EA2784" s="123"/>
      <c r="EB2784" s="123"/>
      <c r="EC2784" s="123"/>
      <c r="ED2784" s="123"/>
      <c r="EE2784" s="123"/>
      <c r="EF2784" s="123"/>
      <c r="EG2784" s="123"/>
      <c r="EH2784" s="123"/>
      <c r="EI2784" s="123"/>
      <c r="EJ2784" s="123"/>
      <c r="EK2784" s="123"/>
      <c r="EL2784" s="123"/>
      <c r="EM2784" s="123"/>
      <c r="EN2784" s="123"/>
      <c r="EO2784" s="123"/>
      <c r="EP2784" s="123"/>
      <c r="EQ2784" s="123"/>
      <c r="ER2784" s="123"/>
      <c r="ES2784" s="123"/>
      <c r="ET2784" s="123"/>
      <c r="EU2784" s="123"/>
      <c r="EV2784" s="123"/>
      <c r="EW2784" s="123"/>
      <c r="EX2784" s="123"/>
      <c r="EY2784" s="123"/>
      <c r="EZ2784" s="123"/>
      <c r="FA2784" s="123"/>
      <c r="FB2784" s="123"/>
      <c r="FC2784" s="123"/>
      <c r="FD2784" s="123"/>
      <c r="FE2784" s="123"/>
      <c r="FF2784" s="123"/>
      <c r="FG2784" s="123"/>
      <c r="FH2784" s="123"/>
      <c r="FI2784" s="123"/>
      <c r="FJ2784" s="123"/>
      <c r="FK2784" s="123"/>
      <c r="FL2784" s="123"/>
      <c r="FM2784" s="123"/>
      <c r="FN2784" s="123"/>
      <c r="FO2784" s="123"/>
      <c r="FP2784" s="123"/>
      <c r="FQ2784" s="123"/>
      <c r="FR2784" s="123"/>
      <c r="FS2784" s="123"/>
      <c r="FT2784" s="123"/>
      <c r="FU2784" s="123"/>
      <c r="FV2784" s="123"/>
      <c r="FW2784" s="123"/>
      <c r="FX2784" s="123"/>
      <c r="FY2784" s="123"/>
      <c r="FZ2784" s="123"/>
      <c r="GA2784" s="123"/>
      <c r="GB2784" s="123"/>
      <c r="GC2784" s="123"/>
      <c r="GD2784" s="123"/>
      <c r="GE2784" s="123"/>
      <c r="GF2784" s="123"/>
      <c r="GG2784" s="123"/>
      <c r="GH2784" s="123"/>
      <c r="GI2784" s="123"/>
      <c r="GJ2784" s="123"/>
      <c r="GK2784" s="123"/>
      <c r="GL2784" s="123"/>
      <c r="GM2784" s="123"/>
      <c r="GN2784" s="123"/>
      <c r="GO2784" s="123"/>
      <c r="GP2784" s="123"/>
      <c r="GQ2784" s="123"/>
      <c r="GR2784" s="123"/>
      <c r="GS2784" s="123"/>
      <c r="GT2784" s="123"/>
      <c r="GU2784" s="123"/>
      <c r="GV2784" s="123"/>
      <c r="GW2784" s="123"/>
      <c r="GX2784" s="123"/>
      <c r="GY2784" s="123"/>
      <c r="GZ2784" s="123"/>
      <c r="HA2784" s="123"/>
      <c r="HB2784" s="123"/>
      <c r="HC2784" s="123"/>
      <c r="HD2784" s="123"/>
      <c r="HE2784" s="123"/>
    </row>
    <row r="2785" spans="1:213" s="145" customFormat="1" x14ac:dyDescent="0.35">
      <c r="A2785" s="260"/>
      <c r="B2785" s="260"/>
      <c r="C2785" s="263"/>
      <c r="D2785" s="257"/>
      <c r="E2785" s="260"/>
      <c r="F2785" s="260"/>
      <c r="G2785" s="259" t="s">
        <v>77</v>
      </c>
      <c r="H2785" s="186" t="s">
        <v>635</v>
      </c>
      <c r="I2785" s="149">
        <f>D2782*K2785*0.7</f>
        <v>957294.17</v>
      </c>
      <c r="J2785" s="149">
        <f>I2785/D2782</f>
        <v>324.10000000000002</v>
      </c>
      <c r="K2785" s="149">
        <v>463</v>
      </c>
      <c r="L2785" s="123"/>
      <c r="M2785" s="123"/>
      <c r="N2785" s="123"/>
      <c r="O2785" s="123"/>
      <c r="P2785" s="123"/>
      <c r="Q2785" s="123"/>
      <c r="R2785" s="123"/>
      <c r="S2785" s="123"/>
      <c r="T2785" s="123"/>
      <c r="U2785" s="123"/>
      <c r="V2785" s="123"/>
      <c r="W2785" s="123"/>
      <c r="X2785" s="123"/>
      <c r="Y2785" s="123"/>
      <c r="Z2785" s="123"/>
      <c r="AA2785" s="123"/>
      <c r="AB2785" s="123"/>
      <c r="AC2785" s="123"/>
      <c r="AD2785" s="123"/>
      <c r="AE2785" s="123"/>
      <c r="AF2785" s="123"/>
      <c r="AG2785" s="123"/>
      <c r="AH2785" s="123"/>
      <c r="AI2785" s="123"/>
      <c r="AJ2785" s="123"/>
      <c r="AK2785" s="123"/>
      <c r="AL2785" s="123"/>
      <c r="AM2785" s="123"/>
      <c r="AN2785" s="123"/>
      <c r="AO2785" s="123"/>
      <c r="AP2785" s="123"/>
      <c r="AQ2785" s="123"/>
      <c r="AR2785" s="123"/>
      <c r="AS2785" s="123"/>
      <c r="AT2785" s="123"/>
      <c r="AU2785" s="123"/>
      <c r="AV2785" s="123"/>
      <c r="AW2785" s="123"/>
      <c r="AX2785" s="123"/>
      <c r="AY2785" s="123"/>
      <c r="AZ2785" s="123"/>
      <c r="BA2785" s="123"/>
      <c r="BB2785" s="123"/>
      <c r="BC2785" s="123"/>
      <c r="BD2785" s="123"/>
      <c r="BE2785" s="123"/>
      <c r="BF2785" s="123"/>
      <c r="BG2785" s="123"/>
      <c r="BH2785" s="123"/>
      <c r="BI2785" s="123"/>
      <c r="BJ2785" s="123"/>
      <c r="BK2785" s="123"/>
      <c r="BL2785" s="123"/>
      <c r="BM2785" s="123"/>
      <c r="BN2785" s="123"/>
      <c r="BO2785" s="123"/>
      <c r="BP2785" s="123"/>
      <c r="BQ2785" s="123"/>
      <c r="BR2785" s="123"/>
      <c r="BS2785" s="123"/>
      <c r="BT2785" s="123"/>
      <c r="BU2785" s="123"/>
      <c r="BV2785" s="123"/>
      <c r="BW2785" s="123"/>
      <c r="BX2785" s="123"/>
      <c r="BY2785" s="123"/>
      <c r="BZ2785" s="123"/>
      <c r="CA2785" s="123"/>
      <c r="CB2785" s="123"/>
      <c r="CC2785" s="123"/>
      <c r="CD2785" s="123"/>
      <c r="CE2785" s="123"/>
      <c r="CF2785" s="123"/>
      <c r="CG2785" s="123"/>
      <c r="CH2785" s="123"/>
      <c r="CI2785" s="123"/>
      <c r="CJ2785" s="123"/>
      <c r="CK2785" s="123"/>
      <c r="CL2785" s="123"/>
      <c r="CM2785" s="123"/>
      <c r="CN2785" s="123"/>
      <c r="CO2785" s="123"/>
      <c r="CP2785" s="123"/>
      <c r="CQ2785" s="123"/>
      <c r="CR2785" s="123"/>
      <c r="CS2785" s="123"/>
      <c r="CT2785" s="123"/>
      <c r="CU2785" s="123"/>
      <c r="CV2785" s="123"/>
      <c r="CW2785" s="123"/>
      <c r="CX2785" s="123"/>
      <c r="CY2785" s="123"/>
      <c r="CZ2785" s="123"/>
      <c r="DA2785" s="123"/>
      <c r="DB2785" s="123"/>
      <c r="DC2785" s="123"/>
      <c r="DD2785" s="123"/>
      <c r="DE2785" s="123"/>
      <c r="DF2785" s="123"/>
      <c r="DG2785" s="123"/>
      <c r="DH2785" s="123"/>
      <c r="DI2785" s="123"/>
      <c r="DJ2785" s="123"/>
      <c r="DK2785" s="123"/>
      <c r="DL2785" s="123"/>
      <c r="DM2785" s="123"/>
      <c r="DN2785" s="123"/>
      <c r="DO2785" s="123"/>
      <c r="DP2785" s="123"/>
      <c r="DQ2785" s="123"/>
      <c r="DR2785" s="123"/>
      <c r="DS2785" s="123"/>
      <c r="DT2785" s="123"/>
      <c r="DU2785" s="123"/>
      <c r="DV2785" s="123"/>
      <c r="DW2785" s="123"/>
      <c r="DX2785" s="123"/>
      <c r="DY2785" s="123"/>
      <c r="DZ2785" s="123"/>
      <c r="EA2785" s="123"/>
      <c r="EB2785" s="123"/>
      <c r="EC2785" s="123"/>
      <c r="ED2785" s="123"/>
      <c r="EE2785" s="123"/>
      <c r="EF2785" s="123"/>
      <c r="EG2785" s="123"/>
      <c r="EH2785" s="123"/>
      <c r="EI2785" s="123"/>
      <c r="EJ2785" s="123"/>
      <c r="EK2785" s="123"/>
      <c r="EL2785" s="123"/>
      <c r="EM2785" s="123"/>
      <c r="EN2785" s="123"/>
      <c r="EO2785" s="123"/>
      <c r="EP2785" s="123"/>
      <c r="EQ2785" s="123"/>
      <c r="ER2785" s="123"/>
      <c r="ES2785" s="123"/>
      <c r="ET2785" s="123"/>
      <c r="EU2785" s="123"/>
      <c r="EV2785" s="123"/>
      <c r="EW2785" s="123"/>
      <c r="EX2785" s="123"/>
      <c r="EY2785" s="123"/>
      <c r="EZ2785" s="123"/>
      <c r="FA2785" s="123"/>
      <c r="FB2785" s="123"/>
      <c r="FC2785" s="123"/>
      <c r="FD2785" s="123"/>
      <c r="FE2785" s="123"/>
      <c r="FF2785" s="123"/>
      <c r="FG2785" s="123"/>
      <c r="FH2785" s="123"/>
      <c r="FI2785" s="123"/>
      <c r="FJ2785" s="123"/>
      <c r="FK2785" s="123"/>
      <c r="FL2785" s="123"/>
      <c r="FM2785" s="123"/>
      <c r="FN2785" s="123"/>
      <c r="FO2785" s="123"/>
      <c r="FP2785" s="123"/>
      <c r="FQ2785" s="123"/>
      <c r="FR2785" s="123"/>
      <c r="FS2785" s="123"/>
      <c r="FT2785" s="123"/>
      <c r="FU2785" s="123"/>
      <c r="FV2785" s="123"/>
      <c r="FW2785" s="123"/>
      <c r="FX2785" s="123"/>
      <c r="FY2785" s="123"/>
      <c r="FZ2785" s="123"/>
      <c r="GA2785" s="123"/>
      <c r="GB2785" s="123"/>
      <c r="GC2785" s="123"/>
      <c r="GD2785" s="123"/>
      <c r="GE2785" s="123"/>
      <c r="GF2785" s="123"/>
      <c r="GG2785" s="123"/>
      <c r="GH2785" s="123"/>
      <c r="GI2785" s="123"/>
      <c r="GJ2785" s="123"/>
      <c r="GK2785" s="123"/>
      <c r="GL2785" s="123"/>
      <c r="GM2785" s="123"/>
      <c r="GN2785" s="123"/>
      <c r="GO2785" s="123"/>
      <c r="GP2785" s="123"/>
      <c r="GQ2785" s="123"/>
      <c r="GR2785" s="123"/>
      <c r="GS2785" s="123"/>
      <c r="GT2785" s="123"/>
      <c r="GU2785" s="123"/>
      <c r="GV2785" s="123"/>
      <c r="GW2785" s="123"/>
      <c r="GX2785" s="123"/>
      <c r="GY2785" s="123"/>
      <c r="GZ2785" s="123"/>
      <c r="HA2785" s="123"/>
      <c r="HB2785" s="123"/>
      <c r="HC2785" s="123"/>
      <c r="HD2785" s="123"/>
      <c r="HE2785" s="123"/>
    </row>
    <row r="2786" spans="1:213" x14ac:dyDescent="0.35">
      <c r="A2786" s="260"/>
      <c r="B2786" s="260"/>
      <c r="C2786" s="263"/>
      <c r="D2786" s="257"/>
      <c r="E2786" s="260"/>
      <c r="F2786" s="260"/>
      <c r="G2786" s="260"/>
      <c r="H2786" s="186" t="s">
        <v>75</v>
      </c>
      <c r="I2786" s="149">
        <v>0</v>
      </c>
      <c r="J2786" s="149">
        <v>0</v>
      </c>
      <c r="K2786" s="149">
        <v>10</v>
      </c>
    </row>
    <row r="2787" spans="1:213" x14ac:dyDescent="0.35">
      <c r="A2787" s="260"/>
      <c r="B2787" s="260"/>
      <c r="C2787" s="263"/>
      <c r="D2787" s="257"/>
      <c r="E2787" s="260"/>
      <c r="F2787" s="260"/>
      <c r="G2787" s="259" t="s">
        <v>78</v>
      </c>
      <c r="H2787" s="186" t="s">
        <v>635</v>
      </c>
      <c r="I2787" s="149">
        <f>D2782*K2787*0.7</f>
        <v>845644.31</v>
      </c>
      <c r="J2787" s="149">
        <f>I2787/D2782</f>
        <v>286.3</v>
      </c>
      <c r="K2787" s="149">
        <v>409</v>
      </c>
    </row>
    <row r="2788" spans="1:213" x14ac:dyDescent="0.35">
      <c r="A2788" s="261"/>
      <c r="B2788" s="261"/>
      <c r="C2788" s="264"/>
      <c r="D2788" s="258"/>
      <c r="E2788" s="261"/>
      <c r="F2788" s="206"/>
      <c r="G2788" s="260"/>
      <c r="H2788" s="186" t="s">
        <v>75</v>
      </c>
      <c r="I2788" s="149">
        <v>0</v>
      </c>
      <c r="J2788" s="149">
        <v>0</v>
      </c>
      <c r="K2788" s="149">
        <v>9</v>
      </c>
    </row>
    <row r="2789" spans="1:213" x14ac:dyDescent="0.35">
      <c r="A2789" s="259">
        <f>A2782+1</f>
        <v>21</v>
      </c>
      <c r="B2789" s="259">
        <v>6394</v>
      </c>
      <c r="C2789" s="262" t="s">
        <v>514</v>
      </c>
      <c r="D2789" s="256">
        <v>2015.8</v>
      </c>
      <c r="E2789" s="259" t="s">
        <v>74</v>
      </c>
      <c r="F2789" s="259">
        <v>4</v>
      </c>
      <c r="G2789" s="259" t="s">
        <v>71</v>
      </c>
      <c r="H2789" s="151" t="s">
        <v>72</v>
      </c>
      <c r="I2789" s="149">
        <f>I2790+I2791</f>
        <v>6531796.7400000002</v>
      </c>
      <c r="J2789" s="149">
        <f>J2790+J2791</f>
        <v>3240.3</v>
      </c>
      <c r="K2789" s="149">
        <f>K2790+K2791</f>
        <v>4728</v>
      </c>
    </row>
    <row r="2790" spans="1:213" x14ac:dyDescent="0.35">
      <c r="A2790" s="260"/>
      <c r="B2790" s="260"/>
      <c r="C2790" s="263"/>
      <c r="D2790" s="257"/>
      <c r="E2790" s="260"/>
      <c r="F2790" s="260"/>
      <c r="G2790" s="260"/>
      <c r="H2790" s="151" t="s">
        <v>635</v>
      </c>
      <c r="I2790" s="149">
        <f>D2789*K2790*0.7</f>
        <v>6531796.7400000002</v>
      </c>
      <c r="J2790" s="149">
        <f>I2790/D2789</f>
        <v>3240.3</v>
      </c>
      <c r="K2790" s="149">
        <v>4629</v>
      </c>
    </row>
    <row r="2791" spans="1:213" x14ac:dyDescent="0.35">
      <c r="A2791" s="261"/>
      <c r="B2791" s="261"/>
      <c r="C2791" s="264"/>
      <c r="D2791" s="258"/>
      <c r="E2791" s="261"/>
      <c r="F2791" s="261"/>
      <c r="G2791" s="261"/>
      <c r="H2791" s="151" t="s">
        <v>75</v>
      </c>
      <c r="I2791" s="149">
        <v>0</v>
      </c>
      <c r="J2791" s="149">
        <v>0</v>
      </c>
      <c r="K2791" s="149">
        <v>99</v>
      </c>
    </row>
    <row r="2792" spans="1:213" x14ac:dyDescent="0.35">
      <c r="A2792" s="265">
        <f>A2789+1</f>
        <v>22</v>
      </c>
      <c r="B2792" s="265">
        <v>6407</v>
      </c>
      <c r="C2792" s="266" t="s">
        <v>705</v>
      </c>
      <c r="D2792" s="295">
        <v>2722</v>
      </c>
      <c r="E2792" s="295" t="s">
        <v>70</v>
      </c>
      <c r="F2792" s="296">
        <v>5</v>
      </c>
      <c r="G2792" s="265" t="s">
        <v>71</v>
      </c>
      <c r="H2792" s="151" t="s">
        <v>72</v>
      </c>
      <c r="I2792" s="149">
        <f>I2793</f>
        <v>460018</v>
      </c>
      <c r="J2792" s="149">
        <f>J2793</f>
        <v>169</v>
      </c>
      <c r="K2792" s="149">
        <f>K2793</f>
        <v>169</v>
      </c>
    </row>
    <row r="2793" spans="1:213" ht="46.5" x14ac:dyDescent="0.35">
      <c r="A2793" s="265">
        <v>65</v>
      </c>
      <c r="B2793" s="265"/>
      <c r="C2793" s="266"/>
      <c r="D2793" s="295"/>
      <c r="E2793" s="295"/>
      <c r="F2793" s="296"/>
      <c r="G2793" s="265"/>
      <c r="H2793" s="136" t="s">
        <v>673</v>
      </c>
      <c r="I2793" s="149">
        <f>D2792*K2793</f>
        <v>460018</v>
      </c>
      <c r="J2793" s="149">
        <f>I2793/D2792</f>
        <v>169</v>
      </c>
      <c r="K2793" s="149">
        <f>151+18</f>
        <v>169</v>
      </c>
    </row>
    <row r="2794" spans="1:213" ht="15.5" customHeight="1" x14ac:dyDescent="0.35">
      <c r="A2794" s="259">
        <f>A2792+1</f>
        <v>23</v>
      </c>
      <c r="B2794" s="259">
        <v>6412</v>
      </c>
      <c r="C2794" s="262" t="s">
        <v>830</v>
      </c>
      <c r="D2794" s="256">
        <v>11904.4</v>
      </c>
      <c r="E2794" s="259" t="s">
        <v>70</v>
      </c>
      <c r="F2794" s="259">
        <v>10</v>
      </c>
      <c r="G2794" s="155"/>
      <c r="H2794" s="186" t="s">
        <v>72</v>
      </c>
      <c r="I2794" s="149">
        <f>SUM(I2795:I2812)</f>
        <v>10446624</v>
      </c>
      <c r="J2794" s="149">
        <f>SUM(J2795:J2812)</f>
        <v>877.54</v>
      </c>
      <c r="K2794" s="149">
        <f>SUM(K2795:K2812)</f>
        <v>895.98</v>
      </c>
    </row>
    <row r="2795" spans="1:213" ht="46.5" x14ac:dyDescent="0.35">
      <c r="A2795" s="260"/>
      <c r="B2795" s="260"/>
      <c r="C2795" s="263"/>
      <c r="D2795" s="257"/>
      <c r="E2795" s="260"/>
      <c r="F2795" s="260"/>
      <c r="G2795" s="259" t="s">
        <v>641</v>
      </c>
      <c r="H2795" s="186" t="s">
        <v>634</v>
      </c>
      <c r="I2795" s="149">
        <v>32281</v>
      </c>
      <c r="J2795" s="149">
        <f>I2795/D2794</f>
        <v>2.71</v>
      </c>
      <c r="K2795" s="149">
        <f>(22681+9600)/D2794</f>
        <v>2.71</v>
      </c>
    </row>
    <row r="2796" spans="1:213" x14ac:dyDescent="0.35">
      <c r="A2796" s="260"/>
      <c r="B2796" s="260"/>
      <c r="C2796" s="263"/>
      <c r="D2796" s="257"/>
      <c r="E2796" s="260"/>
      <c r="F2796" s="260"/>
      <c r="G2796" s="260"/>
      <c r="H2796" s="186" t="s">
        <v>642</v>
      </c>
      <c r="I2796" s="149">
        <v>1708823</v>
      </c>
      <c r="J2796" s="149">
        <f>I2796/D2794-0.01</f>
        <v>143.54</v>
      </c>
      <c r="K2796" s="149">
        <f>1708823/D2794</f>
        <v>143.55000000000001</v>
      </c>
    </row>
    <row r="2797" spans="1:213" x14ac:dyDescent="0.35">
      <c r="A2797" s="260"/>
      <c r="B2797" s="260"/>
      <c r="C2797" s="263"/>
      <c r="D2797" s="257"/>
      <c r="E2797" s="260"/>
      <c r="F2797" s="260"/>
      <c r="G2797" s="261"/>
      <c r="H2797" s="186" t="s">
        <v>75</v>
      </c>
      <c r="I2797" s="149">
        <v>0</v>
      </c>
      <c r="J2797" s="149">
        <f>I2797/D2794</f>
        <v>0</v>
      </c>
      <c r="K2797" s="149">
        <f>36569/D2794</f>
        <v>3.07</v>
      </c>
    </row>
    <row r="2798" spans="1:213" ht="46.5" x14ac:dyDescent="0.35">
      <c r="A2798" s="260"/>
      <c r="B2798" s="260"/>
      <c r="C2798" s="263"/>
      <c r="D2798" s="257"/>
      <c r="E2798" s="260"/>
      <c r="F2798" s="260"/>
      <c r="G2798" s="259" t="s">
        <v>647</v>
      </c>
      <c r="H2798" s="186" t="s">
        <v>634</v>
      </c>
      <c r="I2798" s="149">
        <v>32281</v>
      </c>
      <c r="J2798" s="149">
        <f>I2798/D2794</f>
        <v>2.71</v>
      </c>
      <c r="K2798" s="149">
        <f>(22681+9600)/D2794</f>
        <v>2.71</v>
      </c>
    </row>
    <row r="2799" spans="1:213" x14ac:dyDescent="0.35">
      <c r="A2799" s="260"/>
      <c r="B2799" s="260"/>
      <c r="C2799" s="263"/>
      <c r="D2799" s="257"/>
      <c r="E2799" s="260"/>
      <c r="F2799" s="260"/>
      <c r="G2799" s="260"/>
      <c r="H2799" s="186" t="s">
        <v>642</v>
      </c>
      <c r="I2799" s="149">
        <v>1708823</v>
      </c>
      <c r="J2799" s="149">
        <f>I2799/D2794-0.01</f>
        <v>143.54</v>
      </c>
      <c r="K2799" s="149">
        <f>1708823/D2794</f>
        <v>143.55000000000001</v>
      </c>
    </row>
    <row r="2800" spans="1:213" x14ac:dyDescent="0.35">
      <c r="A2800" s="260"/>
      <c r="B2800" s="260"/>
      <c r="C2800" s="263"/>
      <c r="D2800" s="257"/>
      <c r="E2800" s="260"/>
      <c r="F2800" s="260"/>
      <c r="G2800" s="261"/>
      <c r="H2800" s="186" t="s">
        <v>75</v>
      </c>
      <c r="I2800" s="149">
        <v>0</v>
      </c>
      <c r="J2800" s="149">
        <f>I2800/D2794</f>
        <v>0</v>
      </c>
      <c r="K2800" s="149">
        <f>36569/D2794</f>
        <v>3.07</v>
      </c>
    </row>
    <row r="2801" spans="1:11" ht="46.5" x14ac:dyDescent="0.35">
      <c r="A2801" s="260"/>
      <c r="B2801" s="260"/>
      <c r="C2801" s="263"/>
      <c r="D2801" s="257"/>
      <c r="E2801" s="260"/>
      <c r="F2801" s="260"/>
      <c r="G2801" s="259" t="s">
        <v>648</v>
      </c>
      <c r="H2801" s="186" t="s">
        <v>634</v>
      </c>
      <c r="I2801" s="149">
        <v>32281</v>
      </c>
      <c r="J2801" s="149">
        <f>I2801/D2794</f>
        <v>2.71</v>
      </c>
      <c r="K2801" s="149">
        <f>(22681+9600)/D2794</f>
        <v>2.71</v>
      </c>
    </row>
    <row r="2802" spans="1:11" x14ac:dyDescent="0.35">
      <c r="A2802" s="260"/>
      <c r="B2802" s="260"/>
      <c r="C2802" s="263"/>
      <c r="D2802" s="257"/>
      <c r="E2802" s="260"/>
      <c r="F2802" s="260"/>
      <c r="G2802" s="260"/>
      <c r="H2802" s="186" t="s">
        <v>642</v>
      </c>
      <c r="I2802" s="149">
        <v>1708823</v>
      </c>
      <c r="J2802" s="149">
        <f>I2802/D2794</f>
        <v>143.55000000000001</v>
      </c>
      <c r="K2802" s="149">
        <f>1708823/D2794</f>
        <v>143.55000000000001</v>
      </c>
    </row>
    <row r="2803" spans="1:11" x14ac:dyDescent="0.35">
      <c r="A2803" s="260"/>
      <c r="B2803" s="260"/>
      <c r="C2803" s="263"/>
      <c r="D2803" s="257"/>
      <c r="E2803" s="260"/>
      <c r="F2803" s="260"/>
      <c r="G2803" s="261"/>
      <c r="H2803" s="186" t="s">
        <v>75</v>
      </c>
      <c r="I2803" s="149">
        <v>0</v>
      </c>
      <c r="J2803" s="149">
        <f>I2803/D2794</f>
        <v>0</v>
      </c>
      <c r="K2803" s="149">
        <f>36569/D2794</f>
        <v>3.07</v>
      </c>
    </row>
    <row r="2804" spans="1:11" ht="46.5" x14ac:dyDescent="0.35">
      <c r="A2804" s="260"/>
      <c r="B2804" s="260"/>
      <c r="C2804" s="263"/>
      <c r="D2804" s="257"/>
      <c r="E2804" s="260"/>
      <c r="F2804" s="260"/>
      <c r="G2804" s="259" t="s">
        <v>649</v>
      </c>
      <c r="H2804" s="186" t="s">
        <v>634</v>
      </c>
      <c r="I2804" s="149">
        <v>32281</v>
      </c>
      <c r="J2804" s="149">
        <f>I2804/D2794</f>
        <v>2.71</v>
      </c>
      <c r="K2804" s="149">
        <f>(22681+9600)/D2794</f>
        <v>2.71</v>
      </c>
    </row>
    <row r="2805" spans="1:11" x14ac:dyDescent="0.35">
      <c r="A2805" s="260"/>
      <c r="B2805" s="260"/>
      <c r="C2805" s="263"/>
      <c r="D2805" s="257"/>
      <c r="E2805" s="260"/>
      <c r="F2805" s="260"/>
      <c r="G2805" s="260"/>
      <c r="H2805" s="186" t="s">
        <v>642</v>
      </c>
      <c r="I2805" s="149">
        <v>1708823</v>
      </c>
      <c r="J2805" s="149">
        <f>I2805/D2794</f>
        <v>143.55000000000001</v>
      </c>
      <c r="K2805" s="149">
        <f>1708823/D2794</f>
        <v>143.55000000000001</v>
      </c>
    </row>
    <row r="2806" spans="1:11" x14ac:dyDescent="0.35">
      <c r="A2806" s="260"/>
      <c r="B2806" s="260"/>
      <c r="C2806" s="263"/>
      <c r="D2806" s="257"/>
      <c r="E2806" s="260"/>
      <c r="F2806" s="260"/>
      <c r="G2806" s="261"/>
      <c r="H2806" s="186" t="s">
        <v>75</v>
      </c>
      <c r="I2806" s="149">
        <v>0</v>
      </c>
      <c r="J2806" s="149">
        <f>I2806/D2794</f>
        <v>0</v>
      </c>
      <c r="K2806" s="149">
        <f>36569/D2794</f>
        <v>3.07</v>
      </c>
    </row>
    <row r="2807" spans="1:11" ht="46.5" x14ac:dyDescent="0.35">
      <c r="A2807" s="260"/>
      <c r="B2807" s="260"/>
      <c r="C2807" s="263"/>
      <c r="D2807" s="257"/>
      <c r="E2807" s="260"/>
      <c r="F2807" s="260"/>
      <c r="G2807" s="259" t="s">
        <v>646</v>
      </c>
      <c r="H2807" s="186" t="s">
        <v>634</v>
      </c>
      <c r="I2807" s="149">
        <v>32281</v>
      </c>
      <c r="J2807" s="149">
        <f>I2807/D2794</f>
        <v>2.71</v>
      </c>
      <c r="K2807" s="149">
        <f>(22681+9600)/D2794</f>
        <v>2.71</v>
      </c>
    </row>
    <row r="2808" spans="1:11" x14ac:dyDescent="0.35">
      <c r="A2808" s="260"/>
      <c r="B2808" s="260"/>
      <c r="C2808" s="263"/>
      <c r="D2808" s="257"/>
      <c r="E2808" s="260"/>
      <c r="F2808" s="260"/>
      <c r="G2808" s="260"/>
      <c r="H2808" s="186" t="s">
        <v>642</v>
      </c>
      <c r="I2808" s="149">
        <v>1708823</v>
      </c>
      <c r="J2808" s="149">
        <f>I2808/D2794</f>
        <v>143.55000000000001</v>
      </c>
      <c r="K2808" s="149">
        <f>1708823/D2794</f>
        <v>143.55000000000001</v>
      </c>
    </row>
    <row r="2809" spans="1:11" x14ac:dyDescent="0.35">
      <c r="A2809" s="260"/>
      <c r="B2809" s="260"/>
      <c r="C2809" s="263"/>
      <c r="D2809" s="257"/>
      <c r="E2809" s="260"/>
      <c r="F2809" s="260"/>
      <c r="G2809" s="261"/>
      <c r="H2809" s="186" t="s">
        <v>75</v>
      </c>
      <c r="I2809" s="149">
        <v>0</v>
      </c>
      <c r="J2809" s="149">
        <f>I2809/D2794</f>
        <v>0</v>
      </c>
      <c r="K2809" s="149">
        <f>36569/D2794</f>
        <v>3.07</v>
      </c>
    </row>
    <row r="2810" spans="1:11" ht="60" customHeight="1" x14ac:dyDescent="0.35">
      <c r="A2810" s="260"/>
      <c r="B2810" s="260"/>
      <c r="C2810" s="263"/>
      <c r="D2810" s="257"/>
      <c r="E2810" s="260"/>
      <c r="F2810" s="260"/>
      <c r="G2810" s="259" t="s">
        <v>650</v>
      </c>
      <c r="H2810" s="186" t="s">
        <v>634</v>
      </c>
      <c r="I2810" s="149">
        <v>32281</v>
      </c>
      <c r="J2810" s="149">
        <f>I2810/D2794</f>
        <v>2.71</v>
      </c>
      <c r="K2810" s="149">
        <f>(22681+9600)/D2794</f>
        <v>2.71</v>
      </c>
    </row>
    <row r="2811" spans="1:11" x14ac:dyDescent="0.35">
      <c r="A2811" s="260"/>
      <c r="B2811" s="260"/>
      <c r="C2811" s="263"/>
      <c r="D2811" s="257"/>
      <c r="E2811" s="260"/>
      <c r="F2811" s="260"/>
      <c r="G2811" s="260"/>
      <c r="H2811" s="186" t="s">
        <v>642</v>
      </c>
      <c r="I2811" s="149">
        <v>1708823</v>
      </c>
      <c r="J2811" s="149">
        <f>I2811/D2794</f>
        <v>143.55000000000001</v>
      </c>
      <c r="K2811" s="149">
        <f>1708823/D2794</f>
        <v>143.55000000000001</v>
      </c>
    </row>
    <row r="2812" spans="1:11" x14ac:dyDescent="0.35">
      <c r="A2812" s="261"/>
      <c r="B2812" s="261"/>
      <c r="C2812" s="264"/>
      <c r="D2812" s="258"/>
      <c r="E2812" s="261"/>
      <c r="F2812" s="261"/>
      <c r="G2812" s="261"/>
      <c r="H2812" s="186" t="s">
        <v>75</v>
      </c>
      <c r="I2812" s="149">
        <v>0</v>
      </c>
      <c r="J2812" s="149">
        <f>I2812/D2794</f>
        <v>0</v>
      </c>
      <c r="K2812" s="149">
        <f>36569/D2794</f>
        <v>3.07</v>
      </c>
    </row>
    <row r="2813" spans="1:11" x14ac:dyDescent="0.35">
      <c r="A2813" s="265">
        <f>A2794+1</f>
        <v>24</v>
      </c>
      <c r="B2813" s="265">
        <v>6413</v>
      </c>
      <c r="C2813" s="266" t="s">
        <v>706</v>
      </c>
      <c r="D2813" s="295">
        <v>8338.86</v>
      </c>
      <c r="E2813" s="295" t="s">
        <v>70</v>
      </c>
      <c r="F2813" s="296">
        <v>5</v>
      </c>
      <c r="G2813" s="265" t="s">
        <v>71</v>
      </c>
      <c r="H2813" s="151" t="s">
        <v>72</v>
      </c>
      <c r="I2813" s="149">
        <f>I2814</f>
        <v>1409267.34</v>
      </c>
      <c r="J2813" s="149">
        <f>J2814</f>
        <v>169</v>
      </c>
      <c r="K2813" s="149">
        <f>K2814</f>
        <v>169</v>
      </c>
    </row>
    <row r="2814" spans="1:11" ht="46.5" x14ac:dyDescent="0.35">
      <c r="A2814" s="265">
        <v>65</v>
      </c>
      <c r="B2814" s="265"/>
      <c r="C2814" s="266"/>
      <c r="D2814" s="295"/>
      <c r="E2814" s="295"/>
      <c r="F2814" s="296"/>
      <c r="G2814" s="265"/>
      <c r="H2814" s="136" t="s">
        <v>673</v>
      </c>
      <c r="I2814" s="149">
        <f>D2813*K2814</f>
        <v>1409267.34</v>
      </c>
      <c r="J2814" s="149">
        <f>I2814/D2813</f>
        <v>169</v>
      </c>
      <c r="K2814" s="149">
        <f>151+18</f>
        <v>169</v>
      </c>
    </row>
    <row r="2815" spans="1:11" ht="15.5" customHeight="1" x14ac:dyDescent="0.35">
      <c r="A2815" s="259">
        <f>A2813+1</f>
        <v>25</v>
      </c>
      <c r="B2815" s="259">
        <v>6414</v>
      </c>
      <c r="C2815" s="262" t="s">
        <v>831</v>
      </c>
      <c r="D2815" s="256">
        <v>3909.1</v>
      </c>
      <c r="E2815" s="256" t="s">
        <v>74</v>
      </c>
      <c r="F2815" s="300">
        <v>12</v>
      </c>
      <c r="G2815" s="155"/>
      <c r="H2815" s="186" t="s">
        <v>72</v>
      </c>
      <c r="I2815" s="149">
        <f>I2816+I2817+I2818+I2819+I2820+I2821</f>
        <v>5304678</v>
      </c>
      <c r="J2815" s="149">
        <f>J2816+J2817+J2818+J2819+J2820+J2821</f>
        <v>1357.01</v>
      </c>
      <c r="K2815" s="149">
        <f>K2816+K2817+K2818+K2819+K2820+K2821</f>
        <v>1385.69</v>
      </c>
    </row>
    <row r="2816" spans="1:11" ht="57" customHeight="1" x14ac:dyDescent="0.35">
      <c r="A2816" s="260"/>
      <c r="B2816" s="260"/>
      <c r="C2816" s="263"/>
      <c r="D2816" s="257"/>
      <c r="E2816" s="257"/>
      <c r="F2816" s="301"/>
      <c r="G2816" s="259" t="s">
        <v>641</v>
      </c>
      <c r="H2816" s="186" t="s">
        <v>634</v>
      </c>
      <c r="I2816" s="149">
        <f>(22681+9600)</f>
        <v>32281</v>
      </c>
      <c r="J2816" s="149">
        <f>I2816/D2815</f>
        <v>8.26</v>
      </c>
      <c r="K2816" s="149">
        <f>(22681+9600)/3909.1</f>
        <v>8.26</v>
      </c>
    </row>
    <row r="2817" spans="1:11" x14ac:dyDescent="0.35">
      <c r="A2817" s="260"/>
      <c r="B2817" s="260"/>
      <c r="C2817" s="263"/>
      <c r="D2817" s="257"/>
      <c r="E2817" s="257"/>
      <c r="F2817" s="301"/>
      <c r="G2817" s="260"/>
      <c r="H2817" s="186" t="s">
        <v>642</v>
      </c>
      <c r="I2817" s="149">
        <f>2329716</f>
        <v>2329716</v>
      </c>
      <c r="J2817" s="149">
        <f>I2817/D2815</f>
        <v>595.97</v>
      </c>
      <c r="K2817" s="149">
        <f>2329716/3909.1</f>
        <v>595.97</v>
      </c>
    </row>
    <row r="2818" spans="1:11" x14ac:dyDescent="0.35">
      <c r="A2818" s="260"/>
      <c r="B2818" s="260"/>
      <c r="C2818" s="263"/>
      <c r="D2818" s="257"/>
      <c r="E2818" s="257"/>
      <c r="F2818" s="301"/>
      <c r="G2818" s="261"/>
      <c r="H2818" s="186" t="s">
        <v>75</v>
      </c>
      <c r="I2818" s="149">
        <v>0</v>
      </c>
      <c r="J2818" s="149">
        <f>I2818/D2815</f>
        <v>0</v>
      </c>
      <c r="K2818" s="149">
        <f>49856/3909.1</f>
        <v>12.75</v>
      </c>
    </row>
    <row r="2819" spans="1:11" ht="46.5" x14ac:dyDescent="0.35">
      <c r="A2819" s="260"/>
      <c r="B2819" s="260"/>
      <c r="C2819" s="263"/>
      <c r="D2819" s="257"/>
      <c r="E2819" s="257"/>
      <c r="F2819" s="301"/>
      <c r="G2819" s="259" t="s">
        <v>641</v>
      </c>
      <c r="H2819" s="186" t="s">
        <v>634</v>
      </c>
      <c r="I2819" s="149">
        <f>(22681+9600)</f>
        <v>32281</v>
      </c>
      <c r="J2819" s="149">
        <f>I2819/D2815</f>
        <v>8.26</v>
      </c>
      <c r="K2819" s="149">
        <f>(22681+9600)/3909.1</f>
        <v>8.26</v>
      </c>
    </row>
    <row r="2820" spans="1:11" x14ac:dyDescent="0.35">
      <c r="A2820" s="260"/>
      <c r="B2820" s="260"/>
      <c r="C2820" s="263"/>
      <c r="D2820" s="257"/>
      <c r="E2820" s="257"/>
      <c r="F2820" s="301"/>
      <c r="G2820" s="260"/>
      <c r="H2820" s="186" t="s">
        <v>642</v>
      </c>
      <c r="I2820" s="149">
        <f>2910400</f>
        <v>2910400</v>
      </c>
      <c r="J2820" s="149">
        <f>I2820/D2815</f>
        <v>744.52</v>
      </c>
      <c r="K2820" s="149">
        <f>2910400/3909.1</f>
        <v>744.52</v>
      </c>
    </row>
    <row r="2821" spans="1:11" x14ac:dyDescent="0.35">
      <c r="A2821" s="261"/>
      <c r="B2821" s="261"/>
      <c r="C2821" s="264"/>
      <c r="D2821" s="258"/>
      <c r="E2821" s="258"/>
      <c r="F2821" s="302"/>
      <c r="G2821" s="261"/>
      <c r="H2821" s="186" t="s">
        <v>75</v>
      </c>
      <c r="I2821" s="149">
        <v>0</v>
      </c>
      <c r="J2821" s="149">
        <f>I2821/D2815</f>
        <v>0</v>
      </c>
      <c r="K2821" s="149">
        <f>62283/3909.1</f>
        <v>15.93</v>
      </c>
    </row>
    <row r="2822" spans="1:11" x14ac:dyDescent="0.35">
      <c r="A2822" s="259">
        <f>A2815+1</f>
        <v>26</v>
      </c>
      <c r="B2822" s="259">
        <v>6447</v>
      </c>
      <c r="C2822" s="262" t="s">
        <v>518</v>
      </c>
      <c r="D2822" s="256">
        <v>4297.8</v>
      </c>
      <c r="E2822" s="259" t="s">
        <v>74</v>
      </c>
      <c r="F2822" s="259">
        <v>4</v>
      </c>
      <c r="G2822" s="259" t="s">
        <v>71</v>
      </c>
      <c r="H2822" s="151" t="s">
        <v>72</v>
      </c>
      <c r="I2822" s="149">
        <f>I2823+I2824</f>
        <v>19894516.199999999</v>
      </c>
      <c r="J2822" s="149">
        <f>J2823+J2824</f>
        <v>4629</v>
      </c>
      <c r="K2822" s="149">
        <f>K2823+K2824</f>
        <v>4728</v>
      </c>
    </row>
    <row r="2823" spans="1:11" x14ac:dyDescent="0.35">
      <c r="A2823" s="260"/>
      <c r="B2823" s="260"/>
      <c r="C2823" s="263"/>
      <c r="D2823" s="257"/>
      <c r="E2823" s="260"/>
      <c r="F2823" s="260"/>
      <c r="G2823" s="260"/>
      <c r="H2823" s="151" t="s">
        <v>635</v>
      </c>
      <c r="I2823" s="149">
        <f>K2823*D2822</f>
        <v>19894516.199999999</v>
      </c>
      <c r="J2823" s="149">
        <f>I2823/D2822</f>
        <v>4629</v>
      </c>
      <c r="K2823" s="149">
        <v>4629</v>
      </c>
    </row>
    <row r="2824" spans="1:11" x14ac:dyDescent="0.35">
      <c r="A2824" s="261"/>
      <c r="B2824" s="261"/>
      <c r="C2824" s="264"/>
      <c r="D2824" s="258"/>
      <c r="E2824" s="261"/>
      <c r="F2824" s="261"/>
      <c r="G2824" s="261"/>
      <c r="H2824" s="151" t="s">
        <v>75</v>
      </c>
      <c r="I2824" s="149">
        <v>0</v>
      </c>
      <c r="J2824" s="149">
        <v>0</v>
      </c>
      <c r="K2824" s="149">
        <v>99</v>
      </c>
    </row>
    <row r="2825" spans="1:11" x14ac:dyDescent="0.35">
      <c r="A2825" s="259">
        <f>A2822+1</f>
        <v>27</v>
      </c>
      <c r="B2825" s="259">
        <v>6453</v>
      </c>
      <c r="C2825" s="262" t="s">
        <v>520</v>
      </c>
      <c r="D2825" s="256">
        <v>2955.7</v>
      </c>
      <c r="E2825" s="259" t="s">
        <v>74</v>
      </c>
      <c r="F2825" s="259">
        <v>4</v>
      </c>
      <c r="G2825" s="259" t="s">
        <v>71</v>
      </c>
      <c r="H2825" s="151" t="s">
        <v>72</v>
      </c>
      <c r="I2825" s="149">
        <f>I2826+I2827</f>
        <v>13681935.300000001</v>
      </c>
      <c r="J2825" s="149">
        <f>J2826+J2827</f>
        <v>4629</v>
      </c>
      <c r="K2825" s="149">
        <f>K2826+K2827</f>
        <v>4728</v>
      </c>
    </row>
    <row r="2826" spans="1:11" x14ac:dyDescent="0.35">
      <c r="A2826" s="260"/>
      <c r="B2826" s="260"/>
      <c r="C2826" s="263"/>
      <c r="D2826" s="257"/>
      <c r="E2826" s="260"/>
      <c r="F2826" s="260"/>
      <c r="G2826" s="260"/>
      <c r="H2826" s="151" t="s">
        <v>635</v>
      </c>
      <c r="I2826" s="149">
        <f>D2825*K2826</f>
        <v>13681935.300000001</v>
      </c>
      <c r="J2826" s="149">
        <f>I2826/D2825</f>
        <v>4629</v>
      </c>
      <c r="K2826" s="149">
        <v>4629</v>
      </c>
    </row>
    <row r="2827" spans="1:11" x14ac:dyDescent="0.35">
      <c r="A2827" s="261"/>
      <c r="B2827" s="261"/>
      <c r="C2827" s="264"/>
      <c r="D2827" s="258"/>
      <c r="E2827" s="261"/>
      <c r="F2827" s="261"/>
      <c r="G2827" s="261"/>
      <c r="H2827" s="151" t="s">
        <v>75</v>
      </c>
      <c r="I2827" s="149">
        <v>0</v>
      </c>
      <c r="J2827" s="149">
        <v>0</v>
      </c>
      <c r="K2827" s="149">
        <v>99</v>
      </c>
    </row>
    <row r="2828" spans="1:11" x14ac:dyDescent="0.35">
      <c r="A2828" s="259">
        <f>A2825+1</f>
        <v>28</v>
      </c>
      <c r="B2828" s="259">
        <v>6461</v>
      </c>
      <c r="C2828" s="262" t="s">
        <v>521</v>
      </c>
      <c r="D2828" s="256">
        <v>483.4</v>
      </c>
      <c r="E2828" s="259" t="s">
        <v>633</v>
      </c>
      <c r="F2828" s="259">
        <v>2</v>
      </c>
      <c r="G2828" s="259" t="s">
        <v>71</v>
      </c>
      <c r="H2828" s="151" t="s">
        <v>72</v>
      </c>
      <c r="I2828" s="149">
        <f>I2829+I2830</f>
        <v>3344161.2</v>
      </c>
      <c r="J2828" s="149">
        <f>J2829+J2830</f>
        <v>6918</v>
      </c>
      <c r="K2828" s="149">
        <f>K2829+K2830</f>
        <v>7066</v>
      </c>
    </row>
    <row r="2829" spans="1:11" x14ac:dyDescent="0.35">
      <c r="A2829" s="260"/>
      <c r="B2829" s="260"/>
      <c r="C2829" s="263"/>
      <c r="D2829" s="257"/>
      <c r="E2829" s="260"/>
      <c r="F2829" s="260"/>
      <c r="G2829" s="260"/>
      <c r="H2829" s="151" t="s">
        <v>635</v>
      </c>
      <c r="I2829" s="149">
        <f>D2828*K2829</f>
        <v>3344161.2</v>
      </c>
      <c r="J2829" s="149">
        <f>I2829/D2828</f>
        <v>6918</v>
      </c>
      <c r="K2829" s="149">
        <v>6918</v>
      </c>
    </row>
    <row r="2830" spans="1:11" x14ac:dyDescent="0.35">
      <c r="A2830" s="261"/>
      <c r="B2830" s="261"/>
      <c r="C2830" s="264"/>
      <c r="D2830" s="258"/>
      <c r="E2830" s="261"/>
      <c r="F2830" s="261"/>
      <c r="G2830" s="261"/>
      <c r="H2830" s="151" t="s">
        <v>75</v>
      </c>
      <c r="I2830" s="149">
        <v>0</v>
      </c>
      <c r="J2830" s="149">
        <v>0</v>
      </c>
      <c r="K2830" s="149">
        <v>148</v>
      </c>
    </row>
    <row r="2831" spans="1:11" x14ac:dyDescent="0.35">
      <c r="A2831" s="265">
        <f>A2828+1</f>
        <v>29</v>
      </c>
      <c r="B2831" s="265">
        <v>6490</v>
      </c>
      <c r="C2831" s="266" t="s">
        <v>628</v>
      </c>
      <c r="D2831" s="295">
        <v>3518.3</v>
      </c>
      <c r="E2831" s="295" t="s">
        <v>70</v>
      </c>
      <c r="F2831" s="296">
        <v>5</v>
      </c>
      <c r="G2831" s="265" t="s">
        <v>71</v>
      </c>
      <c r="H2831" s="151" t="s">
        <v>72</v>
      </c>
      <c r="I2831" s="149">
        <f>I2832</f>
        <v>594592.69999999995</v>
      </c>
      <c r="J2831" s="149">
        <f>J2832</f>
        <v>169</v>
      </c>
      <c r="K2831" s="149">
        <f>K2832</f>
        <v>169</v>
      </c>
    </row>
    <row r="2832" spans="1:11" ht="46.5" x14ac:dyDescent="0.35">
      <c r="A2832" s="265">
        <v>65</v>
      </c>
      <c r="B2832" s="265"/>
      <c r="C2832" s="266"/>
      <c r="D2832" s="295"/>
      <c r="E2832" s="295"/>
      <c r="F2832" s="296"/>
      <c r="G2832" s="265"/>
      <c r="H2832" s="136" t="s">
        <v>673</v>
      </c>
      <c r="I2832" s="149">
        <f>D2831*K2832</f>
        <v>594592.69999999995</v>
      </c>
      <c r="J2832" s="149">
        <f>I2832/D2831</f>
        <v>169</v>
      </c>
      <c r="K2832" s="149">
        <f>151+18</f>
        <v>169</v>
      </c>
    </row>
    <row r="2833" spans="1:11" x14ac:dyDescent="0.35">
      <c r="A2833" s="280">
        <f>A2831+1</f>
        <v>30</v>
      </c>
      <c r="B2833" s="280">
        <v>6550</v>
      </c>
      <c r="C2833" s="297" t="s">
        <v>229</v>
      </c>
      <c r="D2833" s="256">
        <v>485.6</v>
      </c>
      <c r="E2833" s="280" t="s">
        <v>633</v>
      </c>
      <c r="F2833" s="280">
        <v>2</v>
      </c>
      <c r="G2833" s="259" t="s">
        <v>81</v>
      </c>
      <c r="H2833" s="151" t="s">
        <v>72</v>
      </c>
      <c r="I2833" s="149">
        <f>I2834+I2835</f>
        <v>1740730.32</v>
      </c>
      <c r="J2833" s="149">
        <f>J2834+J2835</f>
        <v>3584.7</v>
      </c>
      <c r="K2833" s="149">
        <f>K2834+K2835</f>
        <v>5231</v>
      </c>
    </row>
    <row r="2834" spans="1:11" x14ac:dyDescent="0.35">
      <c r="A2834" s="281"/>
      <c r="B2834" s="281"/>
      <c r="C2834" s="298"/>
      <c r="D2834" s="257"/>
      <c r="E2834" s="281"/>
      <c r="F2834" s="281"/>
      <c r="G2834" s="260"/>
      <c r="H2834" s="151" t="s">
        <v>635</v>
      </c>
      <c r="I2834" s="149">
        <f>D2833*K2834*70/100</f>
        <v>1740730.32</v>
      </c>
      <c r="J2834" s="149">
        <f>I2834/D2833</f>
        <v>3584.7</v>
      </c>
      <c r="K2834" s="149">
        <v>5121</v>
      </c>
    </row>
    <row r="2835" spans="1:11" x14ac:dyDescent="0.35">
      <c r="A2835" s="294"/>
      <c r="B2835" s="294"/>
      <c r="C2835" s="299"/>
      <c r="D2835" s="258"/>
      <c r="E2835" s="294"/>
      <c r="F2835" s="294"/>
      <c r="G2835" s="261"/>
      <c r="H2835" s="151" t="s">
        <v>75</v>
      </c>
      <c r="I2835" s="149">
        <v>0</v>
      </c>
      <c r="J2835" s="149">
        <v>0</v>
      </c>
      <c r="K2835" s="149">
        <v>110</v>
      </c>
    </row>
    <row r="2836" spans="1:11" x14ac:dyDescent="0.35">
      <c r="A2836" s="168" t="s">
        <v>46</v>
      </c>
      <c r="B2836" s="189"/>
      <c r="C2836" s="144"/>
      <c r="D2836" s="166">
        <f>D2837+D2842+D2847+D2858+D2869+D2872+D2881+D2884+D2887+D2889+D2892+D2895</f>
        <v>36727.660000000003</v>
      </c>
      <c r="E2836" s="166"/>
      <c r="F2836" s="166"/>
      <c r="G2836" s="166"/>
      <c r="H2836" s="137"/>
      <c r="I2836" s="166">
        <f>I2837+I2842+I2847+I2858+I2869+I2872+I2881+I2884+I2887+I2889+I2892+I2895</f>
        <v>51630796.640000001</v>
      </c>
      <c r="J2836" s="146"/>
      <c r="K2836" s="146"/>
    </row>
    <row r="2837" spans="1:11" x14ac:dyDescent="0.35">
      <c r="A2837" s="277">
        <v>1</v>
      </c>
      <c r="B2837" s="277">
        <v>5086</v>
      </c>
      <c r="C2837" s="325" t="s">
        <v>814</v>
      </c>
      <c r="D2837" s="287">
        <v>3129.5</v>
      </c>
      <c r="E2837" s="287" t="s">
        <v>74</v>
      </c>
      <c r="F2837" s="304">
        <v>5</v>
      </c>
      <c r="G2837" s="165"/>
      <c r="H2837" s="136" t="s">
        <v>72</v>
      </c>
      <c r="I2837" s="181">
        <f>I2838+I2839+I2840+I2841</f>
        <v>553921.5</v>
      </c>
      <c r="J2837" s="181">
        <f>J2838+J2839+J2840+J2841</f>
        <v>177</v>
      </c>
      <c r="K2837" s="181">
        <f>K2838+K2839+K2840+K2841</f>
        <v>177</v>
      </c>
    </row>
    <row r="2838" spans="1:11" ht="46.5" x14ac:dyDescent="0.35">
      <c r="A2838" s="277"/>
      <c r="B2838" s="277"/>
      <c r="C2838" s="325"/>
      <c r="D2838" s="287"/>
      <c r="E2838" s="287"/>
      <c r="F2838" s="304"/>
      <c r="G2838" s="146" t="s">
        <v>76</v>
      </c>
      <c r="H2838" s="136" t="s">
        <v>634</v>
      </c>
      <c r="I2838" s="181">
        <f>K2838*D2837</f>
        <v>287914</v>
      </c>
      <c r="J2838" s="181">
        <f>I2838/D2837</f>
        <v>92</v>
      </c>
      <c r="K2838" s="181">
        <f>86+6</f>
        <v>92</v>
      </c>
    </row>
    <row r="2839" spans="1:11" ht="46.5" x14ac:dyDescent="0.35">
      <c r="A2839" s="277"/>
      <c r="B2839" s="277"/>
      <c r="C2839" s="325"/>
      <c r="D2839" s="287"/>
      <c r="E2839" s="287"/>
      <c r="F2839" s="304"/>
      <c r="G2839" s="146" t="s">
        <v>77</v>
      </c>
      <c r="H2839" s="136" t="s">
        <v>634</v>
      </c>
      <c r="I2839" s="181">
        <f>K2839*D2837</f>
        <v>90755.5</v>
      </c>
      <c r="J2839" s="181">
        <f>I2839/D2837</f>
        <v>29</v>
      </c>
      <c r="K2839" s="181">
        <f>21+8</f>
        <v>29</v>
      </c>
    </row>
    <row r="2840" spans="1:11" ht="46.5" x14ac:dyDescent="0.35">
      <c r="A2840" s="277"/>
      <c r="B2840" s="277"/>
      <c r="C2840" s="325"/>
      <c r="D2840" s="287"/>
      <c r="E2840" s="287"/>
      <c r="F2840" s="304"/>
      <c r="G2840" s="146" t="s">
        <v>78</v>
      </c>
      <c r="H2840" s="136" t="s">
        <v>634</v>
      </c>
      <c r="I2840" s="181">
        <f>K2840*D2837</f>
        <v>87626</v>
      </c>
      <c r="J2840" s="181">
        <f>I2840/D2837</f>
        <v>28</v>
      </c>
      <c r="K2840" s="181">
        <f>21+7</f>
        <v>28</v>
      </c>
    </row>
    <row r="2841" spans="1:11" ht="46.5" x14ac:dyDescent="0.35">
      <c r="A2841" s="277"/>
      <c r="B2841" s="277"/>
      <c r="C2841" s="325"/>
      <c r="D2841" s="287"/>
      <c r="E2841" s="287"/>
      <c r="F2841" s="304"/>
      <c r="G2841" s="146" t="s">
        <v>89</v>
      </c>
      <c r="H2841" s="136" t="s">
        <v>634</v>
      </c>
      <c r="I2841" s="181">
        <f>K2841*D2837</f>
        <v>87626</v>
      </c>
      <c r="J2841" s="181">
        <f>I2841/D2837</f>
        <v>28</v>
      </c>
      <c r="K2841" s="181">
        <f>19+9</f>
        <v>28</v>
      </c>
    </row>
    <row r="2842" spans="1:11" x14ac:dyDescent="0.35">
      <c r="A2842" s="277">
        <f>A2837+1</f>
        <v>2</v>
      </c>
      <c r="B2842" s="277">
        <v>5087</v>
      </c>
      <c r="C2842" s="325" t="s">
        <v>815</v>
      </c>
      <c r="D2842" s="287">
        <v>2620.1999999999998</v>
      </c>
      <c r="E2842" s="287" t="s">
        <v>70</v>
      </c>
      <c r="F2842" s="304">
        <v>5</v>
      </c>
      <c r="G2842" s="165"/>
      <c r="H2842" s="136" t="s">
        <v>72</v>
      </c>
      <c r="I2842" s="181">
        <f>I2843+I2844+I2845+I2846</f>
        <v>565963.19999999995</v>
      </c>
      <c r="J2842" s="181">
        <f>J2843+J2844+J2845+J2846</f>
        <v>216</v>
      </c>
      <c r="K2842" s="181">
        <f>K2843+K2844+K2845+K2846</f>
        <v>216</v>
      </c>
    </row>
    <row r="2843" spans="1:11" ht="46.5" x14ac:dyDescent="0.35">
      <c r="A2843" s="277"/>
      <c r="B2843" s="277"/>
      <c r="C2843" s="325"/>
      <c r="D2843" s="287"/>
      <c r="E2843" s="287"/>
      <c r="F2843" s="304"/>
      <c r="G2843" s="146" t="s">
        <v>76</v>
      </c>
      <c r="H2843" s="136" t="s">
        <v>634</v>
      </c>
      <c r="I2843" s="181">
        <f>K2843*D2842</f>
        <v>343246.2</v>
      </c>
      <c r="J2843" s="181">
        <f>I2843/D2842</f>
        <v>131</v>
      </c>
      <c r="K2843" s="181">
        <f>110+21</f>
        <v>131</v>
      </c>
    </row>
    <row r="2844" spans="1:11" ht="46.5" x14ac:dyDescent="0.35">
      <c r="A2844" s="277"/>
      <c r="B2844" s="277"/>
      <c r="C2844" s="325"/>
      <c r="D2844" s="287"/>
      <c r="E2844" s="287"/>
      <c r="F2844" s="304"/>
      <c r="G2844" s="146" t="s">
        <v>77</v>
      </c>
      <c r="H2844" s="136" t="s">
        <v>634</v>
      </c>
      <c r="I2844" s="181">
        <f>K2844*D2842</f>
        <v>75985.8</v>
      </c>
      <c r="J2844" s="181">
        <f>I2844/D2842</f>
        <v>29</v>
      </c>
      <c r="K2844" s="181">
        <f>21+8</f>
        <v>29</v>
      </c>
    </row>
    <row r="2845" spans="1:11" ht="46.5" x14ac:dyDescent="0.35">
      <c r="A2845" s="277"/>
      <c r="B2845" s="277"/>
      <c r="C2845" s="325"/>
      <c r="D2845" s="287"/>
      <c r="E2845" s="287"/>
      <c r="F2845" s="304"/>
      <c r="G2845" s="146" t="s">
        <v>78</v>
      </c>
      <c r="H2845" s="136" t="s">
        <v>634</v>
      </c>
      <c r="I2845" s="181">
        <f>K2845*D2842</f>
        <v>73365.600000000006</v>
      </c>
      <c r="J2845" s="181">
        <f>I2845/D2842</f>
        <v>28</v>
      </c>
      <c r="K2845" s="181">
        <f>21+7</f>
        <v>28</v>
      </c>
    </row>
    <row r="2846" spans="1:11" ht="46.5" x14ac:dyDescent="0.35">
      <c r="A2846" s="277"/>
      <c r="B2846" s="277"/>
      <c r="C2846" s="325"/>
      <c r="D2846" s="287"/>
      <c r="E2846" s="287"/>
      <c r="F2846" s="304"/>
      <c r="G2846" s="146" t="s">
        <v>89</v>
      </c>
      <c r="H2846" s="136" t="s">
        <v>634</v>
      </c>
      <c r="I2846" s="181">
        <f>K2846*D2842</f>
        <v>73365.600000000006</v>
      </c>
      <c r="J2846" s="181">
        <f>I2846/D2842</f>
        <v>28</v>
      </c>
      <c r="K2846" s="181">
        <f>19+9</f>
        <v>28</v>
      </c>
    </row>
    <row r="2847" spans="1:11" x14ac:dyDescent="0.35">
      <c r="A2847" s="270">
        <f>A2842+1</f>
        <v>3</v>
      </c>
      <c r="B2847" s="270">
        <v>5098</v>
      </c>
      <c r="C2847" s="308" t="s">
        <v>795</v>
      </c>
      <c r="D2847" s="256">
        <v>374.5</v>
      </c>
      <c r="E2847" s="256" t="s">
        <v>70</v>
      </c>
      <c r="F2847" s="300">
        <v>2</v>
      </c>
      <c r="G2847" s="165"/>
      <c r="H2847" s="136" t="s">
        <v>72</v>
      </c>
      <c r="I2847" s="181">
        <f>I2848+I2849+I2850+I2851+I2852+I2853+I2854+I2855+I2856+I2857</f>
        <v>2319662.9300000002</v>
      </c>
      <c r="J2847" s="181">
        <f>J2848+J2849+J2850+J2851+J2852+J2853+J2854+J2855+J2856+J2857</f>
        <v>6194.03</v>
      </c>
      <c r="K2847" s="181">
        <f>K2848+K2849+K2850+K2851+K2852+K2853+K2854+K2855+K2856+K2857</f>
        <v>8007</v>
      </c>
    </row>
    <row r="2848" spans="1:11" x14ac:dyDescent="0.35">
      <c r="A2848" s="271"/>
      <c r="B2848" s="271"/>
      <c r="C2848" s="309"/>
      <c r="D2848" s="257"/>
      <c r="E2848" s="257"/>
      <c r="F2848" s="301"/>
      <c r="G2848" s="277" t="s">
        <v>76</v>
      </c>
      <c r="H2848" s="207" t="s">
        <v>73</v>
      </c>
      <c r="I2848" s="181">
        <f>D2847*K2848</f>
        <v>1027253.5</v>
      </c>
      <c r="J2848" s="181">
        <f>I2848/D2847</f>
        <v>2743</v>
      </c>
      <c r="K2848" s="181">
        <v>2743</v>
      </c>
    </row>
    <row r="2849" spans="1:11" x14ac:dyDescent="0.35">
      <c r="A2849" s="271"/>
      <c r="B2849" s="271"/>
      <c r="C2849" s="309"/>
      <c r="D2849" s="257"/>
      <c r="E2849" s="257"/>
      <c r="F2849" s="301"/>
      <c r="G2849" s="277"/>
      <c r="H2849" s="207" t="s">
        <v>75</v>
      </c>
      <c r="I2849" s="181">
        <f>D2847*K2849</f>
        <v>22095.5</v>
      </c>
      <c r="J2849" s="181">
        <f>I2849/D2847</f>
        <v>59</v>
      </c>
      <c r="K2849" s="181">
        <v>59</v>
      </c>
    </row>
    <row r="2850" spans="1:11" x14ac:dyDescent="0.35">
      <c r="A2850" s="271"/>
      <c r="B2850" s="271"/>
      <c r="C2850" s="309"/>
      <c r="D2850" s="257"/>
      <c r="E2850" s="257"/>
      <c r="F2850" s="301"/>
      <c r="G2850" s="277" t="s">
        <v>77</v>
      </c>
      <c r="H2850" s="207" t="s">
        <v>73</v>
      </c>
      <c r="I2850" s="181">
        <f>D2847*K2850</f>
        <v>198485</v>
      </c>
      <c r="J2850" s="181">
        <f>I2850/D2847</f>
        <v>530</v>
      </c>
      <c r="K2850" s="181">
        <v>530</v>
      </c>
    </row>
    <row r="2851" spans="1:11" x14ac:dyDescent="0.35">
      <c r="A2851" s="271"/>
      <c r="B2851" s="271"/>
      <c r="C2851" s="309"/>
      <c r="D2851" s="257"/>
      <c r="E2851" s="257"/>
      <c r="F2851" s="301"/>
      <c r="G2851" s="277"/>
      <c r="H2851" s="207" t="s">
        <v>75</v>
      </c>
      <c r="I2851" s="181">
        <f>D2847*K2851</f>
        <v>4119.5</v>
      </c>
      <c r="J2851" s="181">
        <f>I2851/D2847</f>
        <v>11</v>
      </c>
      <c r="K2851" s="181">
        <v>11</v>
      </c>
    </row>
    <row r="2852" spans="1:11" x14ac:dyDescent="0.35">
      <c r="A2852" s="271"/>
      <c r="B2852" s="271"/>
      <c r="C2852" s="309"/>
      <c r="D2852" s="257"/>
      <c r="E2852" s="257"/>
      <c r="F2852" s="301"/>
      <c r="G2852" s="277" t="s">
        <v>78</v>
      </c>
      <c r="H2852" s="207" t="s">
        <v>73</v>
      </c>
      <c r="I2852" s="181">
        <f>D2847*K2852</f>
        <v>194740</v>
      </c>
      <c r="J2852" s="181">
        <f>I2852/D2847</f>
        <v>520</v>
      </c>
      <c r="K2852" s="181">
        <v>520</v>
      </c>
    </row>
    <row r="2853" spans="1:11" x14ac:dyDescent="0.35">
      <c r="A2853" s="271"/>
      <c r="B2853" s="271"/>
      <c r="C2853" s="309"/>
      <c r="D2853" s="257"/>
      <c r="E2853" s="257"/>
      <c r="F2853" s="301"/>
      <c r="G2853" s="277"/>
      <c r="H2853" s="207" t="s">
        <v>75</v>
      </c>
      <c r="I2853" s="181">
        <f>D2847*K2853</f>
        <v>4119.5</v>
      </c>
      <c r="J2853" s="181">
        <f>I2853/D2847</f>
        <v>11</v>
      </c>
      <c r="K2853" s="181">
        <v>11</v>
      </c>
    </row>
    <row r="2854" spans="1:11" x14ac:dyDescent="0.35">
      <c r="A2854" s="271"/>
      <c r="B2854" s="271"/>
      <c r="C2854" s="309"/>
      <c r="D2854" s="257"/>
      <c r="E2854" s="257"/>
      <c r="F2854" s="301"/>
      <c r="G2854" s="277" t="s">
        <v>89</v>
      </c>
      <c r="H2854" s="207" t="s">
        <v>73</v>
      </c>
      <c r="I2854" s="181">
        <f>D2847*K2854</f>
        <v>182381.5</v>
      </c>
      <c r="J2854" s="181">
        <f>I2854/D2847</f>
        <v>487</v>
      </c>
      <c r="K2854" s="181">
        <v>487</v>
      </c>
    </row>
    <row r="2855" spans="1:11" x14ac:dyDescent="0.35">
      <c r="A2855" s="271"/>
      <c r="B2855" s="271"/>
      <c r="C2855" s="309"/>
      <c r="D2855" s="257"/>
      <c r="E2855" s="257"/>
      <c r="F2855" s="301"/>
      <c r="G2855" s="277"/>
      <c r="H2855" s="207" t="s">
        <v>75</v>
      </c>
      <c r="I2855" s="181">
        <f>D2847*K2855</f>
        <v>3745</v>
      </c>
      <c r="J2855" s="181">
        <f>I2855/D2847</f>
        <v>10</v>
      </c>
      <c r="K2855" s="181">
        <v>10</v>
      </c>
    </row>
    <row r="2856" spans="1:11" x14ac:dyDescent="0.35">
      <c r="A2856" s="271"/>
      <c r="B2856" s="271"/>
      <c r="C2856" s="309"/>
      <c r="D2856" s="257"/>
      <c r="E2856" s="257"/>
      <c r="F2856" s="301"/>
      <c r="G2856" s="270" t="s">
        <v>663</v>
      </c>
      <c r="H2856" s="207" t="s">
        <v>656</v>
      </c>
      <c r="I2856" s="181">
        <f>654635.93</f>
        <v>654635.93000000005</v>
      </c>
      <c r="J2856" s="181">
        <f>I2856/D2847</f>
        <v>1748.03</v>
      </c>
      <c r="K2856" s="181">
        <f>1187*3</f>
        <v>3561</v>
      </c>
    </row>
    <row r="2857" spans="1:11" ht="214.5" customHeight="1" x14ac:dyDescent="0.35">
      <c r="A2857" s="272"/>
      <c r="B2857" s="272"/>
      <c r="C2857" s="310"/>
      <c r="D2857" s="258"/>
      <c r="E2857" s="258"/>
      <c r="F2857" s="302"/>
      <c r="G2857" s="272"/>
      <c r="H2857" s="207" t="s">
        <v>75</v>
      </c>
      <c r="I2857" s="181">
        <f>D2847*K2857</f>
        <v>28087.5</v>
      </c>
      <c r="J2857" s="181">
        <f>I2857/D2847</f>
        <v>75</v>
      </c>
      <c r="K2857" s="181">
        <f>25*3</f>
        <v>75</v>
      </c>
    </row>
    <row r="2858" spans="1:11" x14ac:dyDescent="0.35">
      <c r="A2858" s="270">
        <f>A2847+1</f>
        <v>4</v>
      </c>
      <c r="B2858" s="270">
        <v>5099</v>
      </c>
      <c r="C2858" s="308" t="s">
        <v>796</v>
      </c>
      <c r="D2858" s="256">
        <v>368.8</v>
      </c>
      <c r="E2858" s="256" t="s">
        <v>70</v>
      </c>
      <c r="F2858" s="300">
        <v>2</v>
      </c>
      <c r="G2858" s="165"/>
      <c r="H2858" s="136" t="s">
        <v>72</v>
      </c>
      <c r="I2858" s="181">
        <f>I2859+I2860+I2861+I2862+I2863+I2864+I2865+I2866+I2867+I2868</f>
        <v>2294320.73</v>
      </c>
      <c r="J2858" s="181">
        <f>J2859+J2860+J2861+J2862+J2863+J2864+J2865+J2866+J2867+J2868</f>
        <v>6221.04</v>
      </c>
      <c r="K2858" s="181">
        <f>K2859+K2860+K2861+K2862+K2863+K2864+K2865+K2866+K2867+K2868</f>
        <v>8007</v>
      </c>
    </row>
    <row r="2859" spans="1:11" x14ac:dyDescent="0.35">
      <c r="A2859" s="271"/>
      <c r="B2859" s="271"/>
      <c r="C2859" s="309"/>
      <c r="D2859" s="257"/>
      <c r="E2859" s="257"/>
      <c r="F2859" s="301"/>
      <c r="G2859" s="277" t="s">
        <v>76</v>
      </c>
      <c r="H2859" s="207" t="s">
        <v>73</v>
      </c>
      <c r="I2859" s="181">
        <f>D2858*K2859</f>
        <v>1011618.4</v>
      </c>
      <c r="J2859" s="181">
        <f>I2859/D2858</f>
        <v>2743</v>
      </c>
      <c r="K2859" s="181">
        <v>2743</v>
      </c>
    </row>
    <row r="2860" spans="1:11" x14ac:dyDescent="0.35">
      <c r="A2860" s="271"/>
      <c r="B2860" s="271"/>
      <c r="C2860" s="309"/>
      <c r="D2860" s="257"/>
      <c r="E2860" s="257"/>
      <c r="F2860" s="301"/>
      <c r="G2860" s="277"/>
      <c r="H2860" s="207" t="s">
        <v>75</v>
      </c>
      <c r="I2860" s="181">
        <f>D2858*K2860</f>
        <v>21759.200000000001</v>
      </c>
      <c r="J2860" s="181">
        <f>I2860/D2858</f>
        <v>59</v>
      </c>
      <c r="K2860" s="181">
        <v>59</v>
      </c>
    </row>
    <row r="2861" spans="1:11" x14ac:dyDescent="0.35">
      <c r="A2861" s="271"/>
      <c r="B2861" s="271"/>
      <c r="C2861" s="309"/>
      <c r="D2861" s="257"/>
      <c r="E2861" s="257"/>
      <c r="F2861" s="301"/>
      <c r="G2861" s="277" t="s">
        <v>77</v>
      </c>
      <c r="H2861" s="207" t="s">
        <v>73</v>
      </c>
      <c r="I2861" s="181">
        <f>D2858*K2861</f>
        <v>195464</v>
      </c>
      <c r="J2861" s="181">
        <f>I2861/D2858</f>
        <v>530</v>
      </c>
      <c r="K2861" s="181">
        <v>530</v>
      </c>
    </row>
    <row r="2862" spans="1:11" x14ac:dyDescent="0.35">
      <c r="A2862" s="271"/>
      <c r="B2862" s="271"/>
      <c r="C2862" s="309"/>
      <c r="D2862" s="257"/>
      <c r="E2862" s="257"/>
      <c r="F2862" s="301"/>
      <c r="G2862" s="277"/>
      <c r="H2862" s="207" t="s">
        <v>75</v>
      </c>
      <c r="I2862" s="181">
        <f>D2858*K2862</f>
        <v>4056.8</v>
      </c>
      <c r="J2862" s="181">
        <f>I2862/D2858</f>
        <v>11</v>
      </c>
      <c r="K2862" s="181">
        <v>11</v>
      </c>
    </row>
    <row r="2863" spans="1:11" x14ac:dyDescent="0.35">
      <c r="A2863" s="271"/>
      <c r="B2863" s="271"/>
      <c r="C2863" s="309"/>
      <c r="D2863" s="257"/>
      <c r="E2863" s="257"/>
      <c r="F2863" s="301"/>
      <c r="G2863" s="277" t="s">
        <v>78</v>
      </c>
      <c r="H2863" s="207" t="s">
        <v>73</v>
      </c>
      <c r="I2863" s="181">
        <f>D2858*K2863</f>
        <v>191776</v>
      </c>
      <c r="J2863" s="181">
        <f>I2863/D2858</f>
        <v>520</v>
      </c>
      <c r="K2863" s="181">
        <v>520</v>
      </c>
    </row>
    <row r="2864" spans="1:11" x14ac:dyDescent="0.35">
      <c r="A2864" s="271"/>
      <c r="B2864" s="271"/>
      <c r="C2864" s="309"/>
      <c r="D2864" s="257"/>
      <c r="E2864" s="257"/>
      <c r="F2864" s="301"/>
      <c r="G2864" s="277"/>
      <c r="H2864" s="207" t="s">
        <v>75</v>
      </c>
      <c r="I2864" s="181">
        <f>D2858*K2864</f>
        <v>4056.8</v>
      </c>
      <c r="J2864" s="181">
        <f>I2864/D2858</f>
        <v>11</v>
      </c>
      <c r="K2864" s="181">
        <v>11</v>
      </c>
    </row>
    <row r="2865" spans="1:11" x14ac:dyDescent="0.35">
      <c r="A2865" s="271"/>
      <c r="B2865" s="271"/>
      <c r="C2865" s="309"/>
      <c r="D2865" s="257"/>
      <c r="E2865" s="257"/>
      <c r="F2865" s="301"/>
      <c r="G2865" s="277" t="s">
        <v>89</v>
      </c>
      <c r="H2865" s="207" t="s">
        <v>73</v>
      </c>
      <c r="I2865" s="181">
        <f>D2858*K2865</f>
        <v>179605.6</v>
      </c>
      <c r="J2865" s="181">
        <f>I2865/D2858</f>
        <v>487</v>
      </c>
      <c r="K2865" s="181">
        <v>487</v>
      </c>
    </row>
    <row r="2866" spans="1:11" x14ac:dyDescent="0.35">
      <c r="A2866" s="271"/>
      <c r="B2866" s="271"/>
      <c r="C2866" s="309"/>
      <c r="D2866" s="257"/>
      <c r="E2866" s="257"/>
      <c r="F2866" s="301"/>
      <c r="G2866" s="277"/>
      <c r="H2866" s="207" t="s">
        <v>75</v>
      </c>
      <c r="I2866" s="181">
        <f>D2858*K2866</f>
        <v>3688</v>
      </c>
      <c r="J2866" s="181">
        <f>I2866/D2858</f>
        <v>10</v>
      </c>
      <c r="K2866" s="181">
        <v>10</v>
      </c>
    </row>
    <row r="2867" spans="1:11" x14ac:dyDescent="0.35">
      <c r="A2867" s="271"/>
      <c r="B2867" s="271"/>
      <c r="C2867" s="309"/>
      <c r="D2867" s="257"/>
      <c r="E2867" s="257"/>
      <c r="F2867" s="301"/>
      <c r="G2867" s="270" t="s">
        <v>663</v>
      </c>
      <c r="H2867" s="207" t="s">
        <v>656</v>
      </c>
      <c r="I2867" s="181">
        <f>654635.93</f>
        <v>654635.93000000005</v>
      </c>
      <c r="J2867" s="181">
        <f>I2867/D2858</f>
        <v>1775.04</v>
      </c>
      <c r="K2867" s="181">
        <f>1187*3</f>
        <v>3561</v>
      </c>
    </row>
    <row r="2868" spans="1:11" ht="219" customHeight="1" x14ac:dyDescent="0.35">
      <c r="A2868" s="272"/>
      <c r="B2868" s="272"/>
      <c r="C2868" s="310"/>
      <c r="D2868" s="258"/>
      <c r="E2868" s="258"/>
      <c r="F2868" s="302"/>
      <c r="G2868" s="272"/>
      <c r="H2868" s="207" t="s">
        <v>75</v>
      </c>
      <c r="I2868" s="181">
        <f>D2858*K2868</f>
        <v>27660</v>
      </c>
      <c r="J2868" s="181">
        <f>I2868/D2858</f>
        <v>75</v>
      </c>
      <c r="K2868" s="181">
        <f>25*3</f>
        <v>75</v>
      </c>
    </row>
    <row r="2869" spans="1:11" x14ac:dyDescent="0.35">
      <c r="A2869" s="277">
        <f>A2858+1</f>
        <v>5</v>
      </c>
      <c r="B2869" s="277">
        <v>5100</v>
      </c>
      <c r="C2869" s="315" t="s">
        <v>797</v>
      </c>
      <c r="D2869" s="287">
        <v>2705.3</v>
      </c>
      <c r="E2869" s="287" t="s">
        <v>70</v>
      </c>
      <c r="F2869" s="304">
        <v>5</v>
      </c>
      <c r="G2869" s="277" t="s">
        <v>71</v>
      </c>
      <c r="H2869" s="136" t="s">
        <v>72</v>
      </c>
      <c r="I2869" s="181">
        <f>SUM(I2870:I2871)</f>
        <v>5859950.3300000001</v>
      </c>
      <c r="J2869" s="181">
        <f>SUM(J2870:J2871)</f>
        <v>2166.1</v>
      </c>
      <c r="K2869" s="181">
        <f>SUM(K2870:K2871)</f>
        <v>3067</v>
      </c>
    </row>
    <row r="2870" spans="1:11" x14ac:dyDescent="0.35">
      <c r="A2870" s="277">
        <v>275</v>
      </c>
      <c r="B2870" s="277"/>
      <c r="C2870" s="316"/>
      <c r="D2870" s="287"/>
      <c r="E2870" s="287"/>
      <c r="F2870" s="304"/>
      <c r="G2870" s="277"/>
      <c r="H2870" s="136" t="s">
        <v>73</v>
      </c>
      <c r="I2870" s="181">
        <f>K2870*D2869*0.7</f>
        <v>5686811.1299999999</v>
      </c>
      <c r="J2870" s="181">
        <f>I2870/D2869</f>
        <v>2102.1</v>
      </c>
      <c r="K2870" s="181">
        <v>3003</v>
      </c>
    </row>
    <row r="2871" spans="1:11" x14ac:dyDescent="0.35">
      <c r="A2871" s="277">
        <v>276</v>
      </c>
      <c r="B2871" s="277"/>
      <c r="C2871" s="316"/>
      <c r="D2871" s="287"/>
      <c r="E2871" s="287"/>
      <c r="F2871" s="304"/>
      <c r="G2871" s="277"/>
      <c r="H2871" s="136" t="s">
        <v>75</v>
      </c>
      <c r="I2871" s="181">
        <f>K2871*D2869</f>
        <v>173139.20000000001</v>
      </c>
      <c r="J2871" s="181">
        <f>I2871/D2869</f>
        <v>64</v>
      </c>
      <c r="K2871" s="181">
        <v>64</v>
      </c>
    </row>
    <row r="2872" spans="1:11" x14ac:dyDescent="0.35">
      <c r="A2872" s="277">
        <f>A2869+1</f>
        <v>6</v>
      </c>
      <c r="B2872" s="277">
        <v>5102</v>
      </c>
      <c r="C2872" s="343" t="s">
        <v>798</v>
      </c>
      <c r="D2872" s="295">
        <v>3535.3</v>
      </c>
      <c r="E2872" s="295" t="s">
        <v>70</v>
      </c>
      <c r="F2872" s="344">
        <v>5</v>
      </c>
      <c r="G2872" s="165"/>
      <c r="H2872" s="136" t="s">
        <v>72</v>
      </c>
      <c r="I2872" s="181">
        <f>SUM(I2873:I2880)</f>
        <v>8584802.5500000007</v>
      </c>
      <c r="J2872" s="181">
        <f>SUM(J2873:J2880)</f>
        <v>2428.31</v>
      </c>
      <c r="K2872" s="181">
        <f>SUM(K2873:K2880)</f>
        <v>3767</v>
      </c>
    </row>
    <row r="2873" spans="1:11" x14ac:dyDescent="0.35">
      <c r="A2873" s="277"/>
      <c r="B2873" s="277"/>
      <c r="C2873" s="343"/>
      <c r="D2873" s="295"/>
      <c r="E2873" s="295"/>
      <c r="F2873" s="344"/>
      <c r="G2873" s="277" t="s">
        <v>76</v>
      </c>
      <c r="H2873" s="207" t="s">
        <v>73</v>
      </c>
      <c r="I2873" s="181">
        <f>D2872*K2873*0.7</f>
        <v>5325575.92</v>
      </c>
      <c r="J2873" s="181">
        <f>I2873/D2872</f>
        <v>1506.4</v>
      </c>
      <c r="K2873" s="181">
        <v>2152</v>
      </c>
    </row>
    <row r="2874" spans="1:11" x14ac:dyDescent="0.35">
      <c r="A2874" s="277"/>
      <c r="B2874" s="277"/>
      <c r="C2874" s="343"/>
      <c r="D2874" s="295"/>
      <c r="E2874" s="295"/>
      <c r="F2874" s="344"/>
      <c r="G2874" s="277"/>
      <c r="H2874" s="207" t="s">
        <v>75</v>
      </c>
      <c r="I2874" s="181">
        <f>D2872*K2874</f>
        <v>162623.79999999999</v>
      </c>
      <c r="J2874" s="181">
        <f>I2874/D2872</f>
        <v>46</v>
      </c>
      <c r="K2874" s="181">
        <v>46</v>
      </c>
    </row>
    <row r="2875" spans="1:11" x14ac:dyDescent="0.35">
      <c r="A2875" s="277"/>
      <c r="B2875" s="277"/>
      <c r="C2875" s="343"/>
      <c r="D2875" s="295"/>
      <c r="E2875" s="295"/>
      <c r="F2875" s="344"/>
      <c r="G2875" s="277" t="s">
        <v>77</v>
      </c>
      <c r="H2875" s="207" t="s">
        <v>73</v>
      </c>
      <c r="I2875" s="181">
        <f>735138.02*0.7</f>
        <v>514596.61</v>
      </c>
      <c r="J2875" s="181">
        <f>I2875/D2872</f>
        <v>145.56</v>
      </c>
      <c r="K2875" s="181">
        <v>530</v>
      </c>
    </row>
    <row r="2876" spans="1:11" x14ac:dyDescent="0.35">
      <c r="A2876" s="277"/>
      <c r="B2876" s="277"/>
      <c r="C2876" s="343"/>
      <c r="D2876" s="295"/>
      <c r="E2876" s="295"/>
      <c r="F2876" s="344"/>
      <c r="G2876" s="277"/>
      <c r="H2876" s="207" t="s">
        <v>75</v>
      </c>
      <c r="I2876" s="181">
        <f>735138.02*0.0214</f>
        <v>15731.95</v>
      </c>
      <c r="J2876" s="181">
        <f>I2876/D2872</f>
        <v>4.45</v>
      </c>
      <c r="K2876" s="181">
        <v>11</v>
      </c>
    </row>
    <row r="2877" spans="1:11" x14ac:dyDescent="0.35">
      <c r="A2877" s="277"/>
      <c r="B2877" s="277"/>
      <c r="C2877" s="343"/>
      <c r="D2877" s="295"/>
      <c r="E2877" s="295"/>
      <c r="F2877" s="344"/>
      <c r="G2877" s="277" t="s">
        <v>78</v>
      </c>
      <c r="H2877" s="207" t="s">
        <v>73</v>
      </c>
      <c r="I2877" s="181">
        <f>D2872*K2877*0.7</f>
        <v>1286849.2</v>
      </c>
      <c r="J2877" s="181">
        <f>I2877/D2872</f>
        <v>364</v>
      </c>
      <c r="K2877" s="181">
        <v>520</v>
      </c>
    </row>
    <row r="2878" spans="1:11" x14ac:dyDescent="0.35">
      <c r="A2878" s="277"/>
      <c r="B2878" s="277"/>
      <c r="C2878" s="343"/>
      <c r="D2878" s="295"/>
      <c r="E2878" s="295"/>
      <c r="F2878" s="344"/>
      <c r="G2878" s="277"/>
      <c r="H2878" s="207" t="s">
        <v>75</v>
      </c>
      <c r="I2878" s="181">
        <f>D2872*K2878</f>
        <v>38888.300000000003</v>
      </c>
      <c r="J2878" s="181">
        <f>I2878/D2872</f>
        <v>11</v>
      </c>
      <c r="K2878" s="181">
        <v>11</v>
      </c>
    </row>
    <row r="2879" spans="1:11" x14ac:dyDescent="0.35">
      <c r="A2879" s="277"/>
      <c r="B2879" s="277"/>
      <c r="C2879" s="343"/>
      <c r="D2879" s="295"/>
      <c r="E2879" s="295"/>
      <c r="F2879" s="344"/>
      <c r="G2879" s="277" t="s">
        <v>89</v>
      </c>
      <c r="H2879" s="207" t="s">
        <v>73</v>
      </c>
      <c r="I2879" s="181">
        <f>D2872*K2879*0.7</f>
        <v>1205183.77</v>
      </c>
      <c r="J2879" s="181">
        <f>I2879/D2872</f>
        <v>340.9</v>
      </c>
      <c r="K2879" s="181">
        <v>487</v>
      </c>
    </row>
    <row r="2880" spans="1:11" x14ac:dyDescent="0.35">
      <c r="A2880" s="277"/>
      <c r="B2880" s="277"/>
      <c r="C2880" s="343"/>
      <c r="D2880" s="295"/>
      <c r="E2880" s="295"/>
      <c r="F2880" s="344"/>
      <c r="G2880" s="277"/>
      <c r="H2880" s="207" t="s">
        <v>75</v>
      </c>
      <c r="I2880" s="181">
        <f>D2872*K2880</f>
        <v>35353</v>
      </c>
      <c r="J2880" s="181">
        <f>I2880/D2872</f>
        <v>10</v>
      </c>
      <c r="K2880" s="181">
        <v>10</v>
      </c>
    </row>
    <row r="2881" spans="1:11" x14ac:dyDescent="0.35">
      <c r="A2881" s="277">
        <f>A2872+1</f>
        <v>7</v>
      </c>
      <c r="B2881" s="277">
        <v>5107</v>
      </c>
      <c r="C2881" s="328" t="s">
        <v>799</v>
      </c>
      <c r="D2881" s="287">
        <v>743</v>
      </c>
      <c r="E2881" s="287" t="s">
        <v>74</v>
      </c>
      <c r="F2881" s="304">
        <v>2</v>
      </c>
      <c r="G2881" s="277" t="s">
        <v>71</v>
      </c>
      <c r="H2881" s="136" t="s">
        <v>72</v>
      </c>
      <c r="I2881" s="181">
        <f>I2882+I2883</f>
        <v>5440966.1500000004</v>
      </c>
      <c r="J2881" s="181">
        <f>J2882+J2883</f>
        <v>7322.97</v>
      </c>
      <c r="K2881" s="181">
        <f>K2882+K2883</f>
        <v>7539</v>
      </c>
    </row>
    <row r="2882" spans="1:11" x14ac:dyDescent="0.35">
      <c r="A2882" s="277">
        <v>275</v>
      </c>
      <c r="B2882" s="277"/>
      <c r="C2882" s="328"/>
      <c r="D2882" s="287"/>
      <c r="E2882" s="287"/>
      <c r="F2882" s="304"/>
      <c r="G2882" s="277"/>
      <c r="H2882" s="136" t="s">
        <v>73</v>
      </c>
      <c r="I2882" s="181">
        <v>5323572.1500000004</v>
      </c>
      <c r="J2882" s="181">
        <f>I2882/D2881</f>
        <v>7164.97</v>
      </c>
      <c r="K2882" s="181">
        <v>7381</v>
      </c>
    </row>
    <row r="2883" spans="1:11" x14ac:dyDescent="0.35">
      <c r="A2883" s="277">
        <v>276</v>
      </c>
      <c r="B2883" s="277"/>
      <c r="C2883" s="328"/>
      <c r="D2883" s="287"/>
      <c r="E2883" s="287"/>
      <c r="F2883" s="304"/>
      <c r="G2883" s="277"/>
      <c r="H2883" s="136" t="s">
        <v>75</v>
      </c>
      <c r="I2883" s="181">
        <f>K2883*D2881</f>
        <v>117394</v>
      </c>
      <c r="J2883" s="181">
        <f>I2883/D2881</f>
        <v>158</v>
      </c>
      <c r="K2883" s="181">
        <v>158</v>
      </c>
    </row>
    <row r="2884" spans="1:11" x14ac:dyDescent="0.35">
      <c r="A2884" s="277">
        <f>A2881+1</f>
        <v>8</v>
      </c>
      <c r="B2884" s="277">
        <v>5109</v>
      </c>
      <c r="C2884" s="328" t="s">
        <v>801</v>
      </c>
      <c r="D2884" s="287">
        <v>901.46</v>
      </c>
      <c r="E2884" s="287" t="s">
        <v>74</v>
      </c>
      <c r="F2884" s="304">
        <v>2</v>
      </c>
      <c r="G2884" s="277" t="s">
        <v>71</v>
      </c>
      <c r="H2884" s="136" t="s">
        <v>72</v>
      </c>
      <c r="I2884" s="181">
        <f>I2885+I2886</f>
        <v>4800004.0599999996</v>
      </c>
      <c r="J2884" s="181">
        <f>J2885+J2886</f>
        <v>5324.7</v>
      </c>
      <c r="K2884" s="181">
        <f>K2885+K2886</f>
        <v>7539</v>
      </c>
    </row>
    <row r="2885" spans="1:11" x14ac:dyDescent="0.35">
      <c r="A2885" s="277">
        <v>275</v>
      </c>
      <c r="B2885" s="277"/>
      <c r="C2885" s="328"/>
      <c r="D2885" s="287"/>
      <c r="E2885" s="287"/>
      <c r="F2885" s="304"/>
      <c r="G2885" s="277"/>
      <c r="H2885" s="136" t="s">
        <v>73</v>
      </c>
      <c r="I2885" s="181">
        <f>K2885*D2884*0.7</f>
        <v>4657573.38</v>
      </c>
      <c r="J2885" s="181">
        <f>I2885/D2884</f>
        <v>5166.7</v>
      </c>
      <c r="K2885" s="181">
        <v>7381</v>
      </c>
    </row>
    <row r="2886" spans="1:11" x14ac:dyDescent="0.35">
      <c r="A2886" s="277">
        <v>276</v>
      </c>
      <c r="B2886" s="277"/>
      <c r="C2886" s="328"/>
      <c r="D2886" s="287"/>
      <c r="E2886" s="287"/>
      <c r="F2886" s="304"/>
      <c r="G2886" s="277"/>
      <c r="H2886" s="136" t="s">
        <v>75</v>
      </c>
      <c r="I2886" s="181">
        <f>K2886*D2884</f>
        <v>142430.68</v>
      </c>
      <c r="J2886" s="181">
        <f>I2886/D2884</f>
        <v>158</v>
      </c>
      <c r="K2886" s="181">
        <v>158</v>
      </c>
    </row>
    <row r="2887" spans="1:11" x14ac:dyDescent="0.35">
      <c r="A2887" s="270">
        <f>A2884+1</f>
        <v>9</v>
      </c>
      <c r="B2887" s="270">
        <v>5134</v>
      </c>
      <c r="C2887" s="315" t="s">
        <v>816</v>
      </c>
      <c r="D2887" s="273">
        <v>7548.1</v>
      </c>
      <c r="E2887" s="273" t="s">
        <v>74</v>
      </c>
      <c r="F2887" s="282">
        <v>9</v>
      </c>
      <c r="G2887" s="270" t="s">
        <v>71</v>
      </c>
      <c r="H2887" s="136" t="s">
        <v>72</v>
      </c>
      <c r="I2887" s="181">
        <f>I2888</f>
        <v>1260532.7</v>
      </c>
      <c r="J2887" s="181">
        <f>J2888</f>
        <v>167</v>
      </c>
      <c r="K2887" s="181">
        <f>K2888</f>
        <v>167</v>
      </c>
    </row>
    <row r="2888" spans="1:11" ht="46.5" x14ac:dyDescent="0.35">
      <c r="A2888" s="271"/>
      <c r="B2888" s="271"/>
      <c r="C2888" s="316"/>
      <c r="D2888" s="274"/>
      <c r="E2888" s="274"/>
      <c r="F2888" s="283"/>
      <c r="G2888" s="271"/>
      <c r="H2888" s="136" t="s">
        <v>673</v>
      </c>
      <c r="I2888" s="181">
        <f>K2888*D2887</f>
        <v>1260532.7</v>
      </c>
      <c r="J2888" s="181">
        <f>I2888/D2887</f>
        <v>167</v>
      </c>
      <c r="K2888" s="208">
        <f>154+13</f>
        <v>167</v>
      </c>
    </row>
    <row r="2889" spans="1:11" x14ac:dyDescent="0.35">
      <c r="A2889" s="277">
        <f>A2887+1</f>
        <v>10</v>
      </c>
      <c r="B2889" s="277">
        <v>5140</v>
      </c>
      <c r="C2889" s="328" t="s">
        <v>808</v>
      </c>
      <c r="D2889" s="287">
        <v>8292.2000000000007</v>
      </c>
      <c r="E2889" s="287" t="s">
        <v>74</v>
      </c>
      <c r="F2889" s="304">
        <v>9</v>
      </c>
      <c r="G2889" s="277" t="s">
        <v>71</v>
      </c>
      <c r="H2889" s="136" t="s">
        <v>72</v>
      </c>
      <c r="I2889" s="181">
        <f>I2890+I2891</f>
        <v>11526119.390000001</v>
      </c>
      <c r="J2889" s="181">
        <f>J2890+J2891</f>
        <v>1390</v>
      </c>
      <c r="K2889" s="181">
        <f>K2890+K2891</f>
        <v>2679</v>
      </c>
    </row>
    <row r="2890" spans="1:11" x14ac:dyDescent="0.35">
      <c r="A2890" s="277">
        <v>275</v>
      </c>
      <c r="B2890" s="277"/>
      <c r="C2890" s="328"/>
      <c r="D2890" s="287"/>
      <c r="E2890" s="287"/>
      <c r="F2890" s="304"/>
      <c r="G2890" s="277"/>
      <c r="H2890" s="136" t="s">
        <v>73</v>
      </c>
      <c r="I2890" s="181">
        <f>15906652.38*0.7</f>
        <v>11134656.67</v>
      </c>
      <c r="J2890" s="181">
        <f>I2890/D2889</f>
        <v>1342.79</v>
      </c>
      <c r="K2890" s="181">
        <v>2623</v>
      </c>
    </row>
    <row r="2891" spans="1:11" x14ac:dyDescent="0.35">
      <c r="A2891" s="277">
        <v>276</v>
      </c>
      <c r="B2891" s="277"/>
      <c r="C2891" s="328"/>
      <c r="D2891" s="287"/>
      <c r="E2891" s="287"/>
      <c r="F2891" s="304"/>
      <c r="G2891" s="277"/>
      <c r="H2891" s="136" t="s">
        <v>75</v>
      </c>
      <c r="I2891" s="181">
        <f>15906652.38*1.15*0.0214</f>
        <v>391462.72</v>
      </c>
      <c r="J2891" s="181">
        <f>I2891/D2889</f>
        <v>47.21</v>
      </c>
      <c r="K2891" s="181">
        <v>56</v>
      </c>
    </row>
    <row r="2892" spans="1:11" ht="13.5" customHeight="1" x14ac:dyDescent="0.35">
      <c r="A2892" s="277">
        <f>A2889+1</f>
        <v>11</v>
      </c>
      <c r="B2892" s="277">
        <v>5164</v>
      </c>
      <c r="C2892" s="328" t="s">
        <v>809</v>
      </c>
      <c r="D2892" s="287">
        <v>2523.3000000000002</v>
      </c>
      <c r="E2892" s="287" t="s">
        <v>74</v>
      </c>
      <c r="F2892" s="304">
        <v>5</v>
      </c>
      <c r="G2892" s="277" t="s">
        <v>71</v>
      </c>
      <c r="H2892" s="136" t="s">
        <v>72</v>
      </c>
      <c r="I2892" s="181">
        <f>I2893+I2894</f>
        <v>7738961.0999999996</v>
      </c>
      <c r="J2892" s="181">
        <f>J2893+J2894</f>
        <v>3067</v>
      </c>
      <c r="K2892" s="181">
        <f>K2893+K2894</f>
        <v>3067</v>
      </c>
    </row>
    <row r="2893" spans="1:11" x14ac:dyDescent="0.35">
      <c r="A2893" s="277">
        <v>275</v>
      </c>
      <c r="B2893" s="277"/>
      <c r="C2893" s="328"/>
      <c r="D2893" s="287"/>
      <c r="E2893" s="287"/>
      <c r="F2893" s="304"/>
      <c r="G2893" s="277"/>
      <c r="H2893" s="136" t="s">
        <v>73</v>
      </c>
      <c r="I2893" s="181">
        <f>K2893*D2892</f>
        <v>7577469.9000000004</v>
      </c>
      <c r="J2893" s="181">
        <f>I2893/D2892</f>
        <v>3003</v>
      </c>
      <c r="K2893" s="181">
        <v>3003</v>
      </c>
    </row>
    <row r="2894" spans="1:11" x14ac:dyDescent="0.35">
      <c r="A2894" s="277">
        <v>276</v>
      </c>
      <c r="B2894" s="277"/>
      <c r="C2894" s="328"/>
      <c r="D2894" s="287"/>
      <c r="E2894" s="287"/>
      <c r="F2894" s="304"/>
      <c r="G2894" s="277"/>
      <c r="H2894" s="136" t="s">
        <v>75</v>
      </c>
      <c r="I2894" s="181">
        <f>K2894*D2892</f>
        <v>161491.20000000001</v>
      </c>
      <c r="J2894" s="181">
        <f>I2894/D2892</f>
        <v>64</v>
      </c>
      <c r="K2894" s="181">
        <v>64</v>
      </c>
    </row>
    <row r="2895" spans="1:11" ht="13.5" customHeight="1" x14ac:dyDescent="0.35">
      <c r="A2895" s="277">
        <f>A2892+1</f>
        <v>12</v>
      </c>
      <c r="B2895" s="277">
        <v>5172</v>
      </c>
      <c r="C2895" s="328" t="s">
        <v>817</v>
      </c>
      <c r="D2895" s="287">
        <v>3986</v>
      </c>
      <c r="E2895" s="287" t="s">
        <v>70</v>
      </c>
      <c r="F2895" s="304">
        <v>5</v>
      </c>
      <c r="G2895" s="277" t="s">
        <v>71</v>
      </c>
      <c r="H2895" s="136" t="s">
        <v>72</v>
      </c>
      <c r="I2895" s="181">
        <f>I2896</f>
        <v>685592</v>
      </c>
      <c r="J2895" s="181">
        <f>J2896</f>
        <v>172</v>
      </c>
      <c r="K2895" s="181">
        <f>K2896</f>
        <v>172</v>
      </c>
    </row>
    <row r="2896" spans="1:11" ht="46.5" x14ac:dyDescent="0.35">
      <c r="A2896" s="277"/>
      <c r="B2896" s="277"/>
      <c r="C2896" s="328"/>
      <c r="D2896" s="287"/>
      <c r="E2896" s="287"/>
      <c r="F2896" s="304"/>
      <c r="G2896" s="277"/>
      <c r="H2896" s="136" t="s">
        <v>673</v>
      </c>
      <c r="I2896" s="181">
        <f>K2896*D2895</f>
        <v>685592</v>
      </c>
      <c r="J2896" s="181">
        <f>I2896/D2895</f>
        <v>172</v>
      </c>
      <c r="K2896" s="208">
        <f>154+18</f>
        <v>172</v>
      </c>
    </row>
    <row r="2897" spans="1:11" x14ac:dyDescent="0.35">
      <c r="A2897" s="168" t="s">
        <v>47</v>
      </c>
      <c r="B2897" s="168"/>
      <c r="C2897" s="169"/>
      <c r="D2897" s="181">
        <f>D2898+D2901+D2904+D2911+D2914+D2917+D2922+D2927+D2930+D2933+D2936+D2939+D2942+D2951+D2954+D2959+D2964+D2971+D2974+D2977+D2980+D2985+D2988+D2991+D2994+D2997+D3000+D3007+D3010+D3013+D3018+D3021+D3024+D3027+D3030+D3033+D3036+D3039+D3042+D3045+D3048+D3051+D3054+D3057+D3060+D3063+D3066+D3069+D3072+D3075+D3082+D3085+D3088+D3093+D3096+D3099+D3102+D3105+D3108+D3111+D3114+D3117+D3120+D3125+D3128+D3131+D3134+D3137+D3140+D3143+D3146</f>
        <v>172996.13</v>
      </c>
      <c r="E2897" s="135"/>
      <c r="F2897" s="135"/>
      <c r="G2897" s="146"/>
      <c r="H2897" s="136"/>
      <c r="I2897" s="181">
        <f>I2898+I2901+I2904+I2911+I2914+I2917+I2922+I2927+I2930+I2933+I2936+I2939+I2942+I2951+I2954+I2959+I2964+I2971+I2974+I2977+I2980+I2985+I2988+I2991+I2994+I2997+I3000+I3007+I3010+I3013+I3018+I3021+I3024+I3027+I3030+I3033+I3036+I3039+I3042+I3045+I3048+I3051+I3054+I3057+I3060+I3063+I3066+I3069+I3072+I3075+I3082+I3085+I3088+I3093+I3096+I3099+I3102+I3105+I3108+I3111+I3114+I3117+I3120+I3125+I3128+I3131+I3134+I3137+I3140+I3143+I3146</f>
        <v>567571100.49000001</v>
      </c>
      <c r="J2897" s="181"/>
      <c r="K2897" s="181"/>
    </row>
    <row r="2898" spans="1:11" ht="13.5" customHeight="1" x14ac:dyDescent="0.35">
      <c r="A2898" s="270">
        <v>1</v>
      </c>
      <c r="B2898" s="270">
        <v>122</v>
      </c>
      <c r="C2898" s="262" t="s">
        <v>90</v>
      </c>
      <c r="D2898" s="273">
        <v>821.3</v>
      </c>
      <c r="E2898" s="267" t="s">
        <v>79</v>
      </c>
      <c r="F2898" s="267">
        <v>3</v>
      </c>
      <c r="G2898" s="270" t="s">
        <v>84</v>
      </c>
      <c r="H2898" s="136" t="s">
        <v>72</v>
      </c>
      <c r="I2898" s="181">
        <f>I2899+I2900</f>
        <v>4102393.5</v>
      </c>
      <c r="J2898" s="181">
        <f>J2899+J2900</f>
        <v>4995</v>
      </c>
      <c r="K2898" s="181">
        <f>K2899+K2900</f>
        <v>4995</v>
      </c>
    </row>
    <row r="2899" spans="1:11" x14ac:dyDescent="0.35">
      <c r="A2899" s="271"/>
      <c r="B2899" s="271"/>
      <c r="C2899" s="263"/>
      <c r="D2899" s="274"/>
      <c r="E2899" s="268"/>
      <c r="F2899" s="268"/>
      <c r="G2899" s="271"/>
      <c r="H2899" s="136" t="s">
        <v>73</v>
      </c>
      <c r="I2899" s="181">
        <f>D2898*K2899</f>
        <v>4016157</v>
      </c>
      <c r="J2899" s="181">
        <f>I2899/D2898</f>
        <v>4890</v>
      </c>
      <c r="K2899" s="181">
        <v>4890</v>
      </c>
    </row>
    <row r="2900" spans="1:11" x14ac:dyDescent="0.35">
      <c r="A2900" s="271"/>
      <c r="B2900" s="271"/>
      <c r="C2900" s="263"/>
      <c r="D2900" s="274"/>
      <c r="E2900" s="268"/>
      <c r="F2900" s="268"/>
      <c r="G2900" s="272"/>
      <c r="H2900" s="136" t="s">
        <v>75</v>
      </c>
      <c r="I2900" s="181">
        <f>D2898*K2900</f>
        <v>86236.5</v>
      </c>
      <c r="J2900" s="181">
        <f>I2900/D2898</f>
        <v>105</v>
      </c>
      <c r="K2900" s="181">
        <v>105</v>
      </c>
    </row>
    <row r="2901" spans="1:11" ht="14" customHeight="1" x14ac:dyDescent="0.35">
      <c r="A2901" s="277">
        <f>A2898+1</f>
        <v>2</v>
      </c>
      <c r="B2901" s="277">
        <v>347</v>
      </c>
      <c r="C2901" s="266" t="s">
        <v>91</v>
      </c>
      <c r="D2901" s="287">
        <v>3127.4</v>
      </c>
      <c r="E2901" s="276" t="s">
        <v>74</v>
      </c>
      <c r="F2901" s="276">
        <v>5</v>
      </c>
      <c r="G2901" s="277" t="s">
        <v>71</v>
      </c>
      <c r="H2901" s="136" t="s">
        <v>72</v>
      </c>
      <c r="I2901" s="181">
        <f>I2902+I2903</f>
        <v>10139030.800000001</v>
      </c>
      <c r="J2901" s="181">
        <f>J2902+J2903</f>
        <v>3242</v>
      </c>
      <c r="K2901" s="181">
        <f>K2902+K2903</f>
        <v>3242</v>
      </c>
    </row>
    <row r="2902" spans="1:11" x14ac:dyDescent="0.35">
      <c r="A2902" s="277">
        <v>75</v>
      </c>
      <c r="B2902" s="277"/>
      <c r="C2902" s="266"/>
      <c r="D2902" s="287"/>
      <c r="E2902" s="276"/>
      <c r="F2902" s="276"/>
      <c r="G2902" s="277"/>
      <c r="H2902" s="136" t="s">
        <v>73</v>
      </c>
      <c r="I2902" s="181">
        <f>D2901*K2902</f>
        <v>9926367.5999999996</v>
      </c>
      <c r="J2902" s="181">
        <f>I2902/D2901</f>
        <v>3174</v>
      </c>
      <c r="K2902" s="181">
        <v>3174</v>
      </c>
    </row>
    <row r="2903" spans="1:11" x14ac:dyDescent="0.35">
      <c r="A2903" s="277">
        <v>76</v>
      </c>
      <c r="B2903" s="277"/>
      <c r="C2903" s="266"/>
      <c r="D2903" s="287"/>
      <c r="E2903" s="276"/>
      <c r="F2903" s="276"/>
      <c r="G2903" s="277"/>
      <c r="H2903" s="136" t="s">
        <v>75</v>
      </c>
      <c r="I2903" s="181">
        <f>D2901*K2903</f>
        <v>212663.2</v>
      </c>
      <c r="J2903" s="181">
        <f>I2903/D2901</f>
        <v>68</v>
      </c>
      <c r="K2903" s="181">
        <v>68</v>
      </c>
    </row>
    <row r="2904" spans="1:11" ht="15" customHeight="1" x14ac:dyDescent="0.35">
      <c r="A2904" s="270">
        <f>A2901+1</f>
        <v>3</v>
      </c>
      <c r="B2904" s="270">
        <v>367</v>
      </c>
      <c r="C2904" s="262" t="s">
        <v>92</v>
      </c>
      <c r="D2904" s="273">
        <v>3136</v>
      </c>
      <c r="E2904" s="267" t="s">
        <v>74</v>
      </c>
      <c r="F2904" s="267">
        <v>5</v>
      </c>
      <c r="G2904" s="167"/>
      <c r="H2904" s="136" t="s">
        <v>72</v>
      </c>
      <c r="I2904" s="181">
        <f>I2905+I2906+I2907+I2908+I2909+I2910</f>
        <v>27703424</v>
      </c>
      <c r="J2904" s="181">
        <f>J2905+J2906+J2907+J2908+J2909+J2910</f>
        <v>8834</v>
      </c>
      <c r="K2904" s="181">
        <f>K2905+K2906+K2907+K2908+K2909+K2910</f>
        <v>8834</v>
      </c>
    </row>
    <row r="2905" spans="1:11" x14ac:dyDescent="0.35">
      <c r="A2905" s="271"/>
      <c r="B2905" s="271"/>
      <c r="C2905" s="263"/>
      <c r="D2905" s="274"/>
      <c r="E2905" s="268"/>
      <c r="F2905" s="268"/>
      <c r="G2905" s="270" t="s">
        <v>84</v>
      </c>
      <c r="H2905" s="136" t="s">
        <v>73</v>
      </c>
      <c r="I2905" s="181">
        <f>D2904*K2905</f>
        <v>4910976</v>
      </c>
      <c r="J2905" s="181">
        <f>I2905/D2904</f>
        <v>1566</v>
      </c>
      <c r="K2905" s="181">
        <v>1566</v>
      </c>
    </row>
    <row r="2906" spans="1:11" x14ac:dyDescent="0.35">
      <c r="A2906" s="271"/>
      <c r="B2906" s="271"/>
      <c r="C2906" s="263"/>
      <c r="D2906" s="274"/>
      <c r="E2906" s="268"/>
      <c r="F2906" s="268"/>
      <c r="G2906" s="271"/>
      <c r="H2906" s="136" t="s">
        <v>75</v>
      </c>
      <c r="I2906" s="181">
        <f>D2904*K2906</f>
        <v>106624</v>
      </c>
      <c r="J2906" s="181">
        <f>I2906/D2904</f>
        <v>34</v>
      </c>
      <c r="K2906" s="181">
        <v>34</v>
      </c>
    </row>
    <row r="2907" spans="1:11" x14ac:dyDescent="0.35">
      <c r="A2907" s="271"/>
      <c r="B2907" s="271"/>
      <c r="C2907" s="263"/>
      <c r="D2907" s="274"/>
      <c r="E2907" s="268"/>
      <c r="F2907" s="268"/>
      <c r="G2907" s="271"/>
      <c r="H2907" s="182" t="s">
        <v>676</v>
      </c>
      <c r="I2907" s="181">
        <f>D2904*K2907</f>
        <v>12255488</v>
      </c>
      <c r="J2907" s="181">
        <f>I2907/D2904</f>
        <v>3908</v>
      </c>
      <c r="K2907" s="181">
        <v>3908</v>
      </c>
    </row>
    <row r="2908" spans="1:11" s="145" customFormat="1" x14ac:dyDescent="0.35">
      <c r="A2908" s="271"/>
      <c r="B2908" s="271"/>
      <c r="C2908" s="263"/>
      <c r="D2908" s="274"/>
      <c r="E2908" s="268"/>
      <c r="F2908" s="268"/>
      <c r="G2908" s="272"/>
      <c r="H2908" s="182" t="s">
        <v>75</v>
      </c>
      <c r="I2908" s="181">
        <f>D2904*K2908</f>
        <v>263424</v>
      </c>
      <c r="J2908" s="181">
        <f>I2908/D2904</f>
        <v>84</v>
      </c>
      <c r="K2908" s="181">
        <v>84</v>
      </c>
    </row>
    <row r="2909" spans="1:11" s="145" customFormat="1" x14ac:dyDescent="0.35">
      <c r="A2909" s="271"/>
      <c r="B2909" s="271"/>
      <c r="C2909" s="263"/>
      <c r="D2909" s="274"/>
      <c r="E2909" s="268"/>
      <c r="F2909" s="268"/>
      <c r="G2909" s="270" t="s">
        <v>71</v>
      </c>
      <c r="H2909" s="136" t="s">
        <v>73</v>
      </c>
      <c r="I2909" s="181">
        <f>D2904*K2909</f>
        <v>9953664</v>
      </c>
      <c r="J2909" s="181">
        <f>I2909/D2904</f>
        <v>3174</v>
      </c>
      <c r="K2909" s="181">
        <v>3174</v>
      </c>
    </row>
    <row r="2910" spans="1:11" x14ac:dyDescent="0.35">
      <c r="A2910" s="272"/>
      <c r="B2910" s="272"/>
      <c r="C2910" s="264"/>
      <c r="D2910" s="275"/>
      <c r="E2910" s="269"/>
      <c r="F2910" s="269"/>
      <c r="G2910" s="272"/>
      <c r="H2910" s="136" t="s">
        <v>75</v>
      </c>
      <c r="I2910" s="181">
        <f>D2904*K2910</f>
        <v>213248</v>
      </c>
      <c r="J2910" s="181">
        <f>I2910/D2904</f>
        <v>68</v>
      </c>
      <c r="K2910" s="181">
        <v>68</v>
      </c>
    </row>
    <row r="2911" spans="1:11" ht="14" customHeight="1" x14ac:dyDescent="0.35">
      <c r="A2911" s="277">
        <f>A2904+1</f>
        <v>4</v>
      </c>
      <c r="B2911" s="277">
        <v>518</v>
      </c>
      <c r="C2911" s="266" t="s">
        <v>93</v>
      </c>
      <c r="D2911" s="287">
        <v>2925.19</v>
      </c>
      <c r="E2911" s="276" t="s">
        <v>74</v>
      </c>
      <c r="F2911" s="276">
        <v>5</v>
      </c>
      <c r="G2911" s="277" t="s">
        <v>71</v>
      </c>
      <c r="H2911" s="136" t="s">
        <v>72</v>
      </c>
      <c r="I2911" s="181">
        <f>I2912+I2913</f>
        <v>9483465.9800000004</v>
      </c>
      <c r="J2911" s="181">
        <f>J2912+J2913</f>
        <v>3242</v>
      </c>
      <c r="K2911" s="181">
        <f>K2912+K2913</f>
        <v>3242</v>
      </c>
    </row>
    <row r="2912" spans="1:11" x14ac:dyDescent="0.35">
      <c r="A2912" s="277">
        <v>75</v>
      </c>
      <c r="B2912" s="277"/>
      <c r="C2912" s="266"/>
      <c r="D2912" s="287"/>
      <c r="E2912" s="276"/>
      <c r="F2912" s="276"/>
      <c r="G2912" s="277"/>
      <c r="H2912" s="136" t="s">
        <v>73</v>
      </c>
      <c r="I2912" s="181">
        <f>D2911*K2912</f>
        <v>9284553.0600000005</v>
      </c>
      <c r="J2912" s="181">
        <f>I2912/D2911</f>
        <v>3174</v>
      </c>
      <c r="K2912" s="181">
        <v>3174</v>
      </c>
    </row>
    <row r="2913" spans="1:11" x14ac:dyDescent="0.35">
      <c r="A2913" s="277">
        <v>76</v>
      </c>
      <c r="B2913" s="277"/>
      <c r="C2913" s="266"/>
      <c r="D2913" s="287"/>
      <c r="E2913" s="276"/>
      <c r="F2913" s="276"/>
      <c r="G2913" s="277"/>
      <c r="H2913" s="136" t="s">
        <v>75</v>
      </c>
      <c r="I2913" s="181">
        <f>D2911*K2913</f>
        <v>198912.92</v>
      </c>
      <c r="J2913" s="181">
        <f>I2913/D2911</f>
        <v>68</v>
      </c>
      <c r="K2913" s="181">
        <v>68</v>
      </c>
    </row>
    <row r="2914" spans="1:11" ht="13.5" customHeight="1" x14ac:dyDescent="0.35">
      <c r="A2914" s="270">
        <f>A2911+1</f>
        <v>5</v>
      </c>
      <c r="B2914" s="270">
        <v>401</v>
      </c>
      <c r="C2914" s="262" t="s">
        <v>80</v>
      </c>
      <c r="D2914" s="273">
        <v>1277.0999999999999</v>
      </c>
      <c r="E2914" s="267" t="s">
        <v>74</v>
      </c>
      <c r="F2914" s="267">
        <v>4</v>
      </c>
      <c r="G2914" s="167"/>
      <c r="H2914" s="136" t="s">
        <v>72</v>
      </c>
      <c r="I2914" s="181">
        <f>I2915+I2916</f>
        <v>1089366.3</v>
      </c>
      <c r="J2914" s="181">
        <f>J2915+J2916</f>
        <v>853</v>
      </c>
      <c r="K2914" s="181">
        <f>K2915+K2916</f>
        <v>853</v>
      </c>
    </row>
    <row r="2915" spans="1:11" x14ac:dyDescent="0.35">
      <c r="A2915" s="271"/>
      <c r="B2915" s="271"/>
      <c r="C2915" s="263"/>
      <c r="D2915" s="274"/>
      <c r="E2915" s="268"/>
      <c r="F2915" s="268"/>
      <c r="G2915" s="270" t="s">
        <v>81</v>
      </c>
      <c r="H2915" s="136" t="s">
        <v>73</v>
      </c>
      <c r="I2915" s="181">
        <f>D2914*K2915</f>
        <v>1066378.5</v>
      </c>
      <c r="J2915" s="181">
        <f>I2915/D2914</f>
        <v>835</v>
      </c>
      <c r="K2915" s="181">
        <v>835</v>
      </c>
    </row>
    <row r="2916" spans="1:11" x14ac:dyDescent="0.35">
      <c r="A2916" s="271"/>
      <c r="B2916" s="271"/>
      <c r="C2916" s="263"/>
      <c r="D2916" s="274"/>
      <c r="E2916" s="268"/>
      <c r="F2916" s="268"/>
      <c r="G2916" s="272"/>
      <c r="H2916" s="136" t="s">
        <v>75</v>
      </c>
      <c r="I2916" s="181">
        <f>D2914*K2916</f>
        <v>22987.8</v>
      </c>
      <c r="J2916" s="181">
        <f>I2916/D2914</f>
        <v>18</v>
      </c>
      <c r="K2916" s="181">
        <v>18</v>
      </c>
    </row>
    <row r="2917" spans="1:11" ht="13.5" customHeight="1" x14ac:dyDescent="0.35">
      <c r="A2917" s="270">
        <f>A2914+1</f>
        <v>6</v>
      </c>
      <c r="B2917" s="270">
        <v>203</v>
      </c>
      <c r="C2917" s="262" t="s">
        <v>94</v>
      </c>
      <c r="D2917" s="273">
        <v>408.23</v>
      </c>
      <c r="E2917" s="267" t="s">
        <v>74</v>
      </c>
      <c r="F2917" s="267">
        <v>2</v>
      </c>
      <c r="G2917" s="167"/>
      <c r="H2917" s="136" t="s">
        <v>72</v>
      </c>
      <c r="I2917" s="181">
        <f>I2918+I2919+I2920+I2921</f>
        <v>3032726.05</v>
      </c>
      <c r="J2917" s="181">
        <f>J2918+J2919+J2920+J2921</f>
        <v>7428.96</v>
      </c>
      <c r="K2917" s="181">
        <f>K2918+K2919+K2920+K2921</f>
        <v>8109</v>
      </c>
    </row>
    <row r="2918" spans="1:11" x14ac:dyDescent="0.35">
      <c r="A2918" s="271"/>
      <c r="B2918" s="271"/>
      <c r="C2918" s="263"/>
      <c r="D2918" s="274"/>
      <c r="E2918" s="268"/>
      <c r="F2918" s="268"/>
      <c r="G2918" s="270" t="s">
        <v>84</v>
      </c>
      <c r="H2918" s="136" t="s">
        <v>73</v>
      </c>
      <c r="I2918" s="181">
        <f>D2917*K2918</f>
        <v>416802.83</v>
      </c>
      <c r="J2918" s="181">
        <f>I2918/D2917</f>
        <v>1021</v>
      </c>
      <c r="K2918" s="181">
        <v>1021</v>
      </c>
    </row>
    <row r="2919" spans="1:11" x14ac:dyDescent="0.35">
      <c r="A2919" s="271"/>
      <c r="B2919" s="271"/>
      <c r="C2919" s="263"/>
      <c r="D2919" s="274"/>
      <c r="E2919" s="268"/>
      <c r="F2919" s="268"/>
      <c r="G2919" s="272"/>
      <c r="H2919" s="136" t="s">
        <v>75</v>
      </c>
      <c r="I2919" s="181">
        <f>D2917*K2919</f>
        <v>8981.06</v>
      </c>
      <c r="J2919" s="181">
        <f>I2919/D2917</f>
        <v>22</v>
      </c>
      <c r="K2919" s="181">
        <v>22</v>
      </c>
    </row>
    <row r="2920" spans="1:11" x14ac:dyDescent="0.35">
      <c r="A2920" s="271"/>
      <c r="B2920" s="271"/>
      <c r="C2920" s="263"/>
      <c r="D2920" s="274"/>
      <c r="E2920" s="268"/>
      <c r="F2920" s="268"/>
      <c r="G2920" s="270" t="s">
        <v>71</v>
      </c>
      <c r="H2920" s="136" t="s">
        <v>73</v>
      </c>
      <c r="I2920" s="181">
        <f>(2090819+29754.66)*1.02*1.18</f>
        <v>2552322.46</v>
      </c>
      <c r="J2920" s="181">
        <f>I2920/D2917-0.01</f>
        <v>6252.16</v>
      </c>
      <c r="K2920" s="181">
        <v>6918</v>
      </c>
    </row>
    <row r="2921" spans="1:11" x14ac:dyDescent="0.35">
      <c r="A2921" s="272"/>
      <c r="B2921" s="272"/>
      <c r="C2921" s="264"/>
      <c r="D2921" s="275"/>
      <c r="E2921" s="269"/>
      <c r="F2921" s="269"/>
      <c r="G2921" s="272"/>
      <c r="H2921" s="136" t="s">
        <v>75</v>
      </c>
      <c r="I2921" s="181">
        <f>I2920*0.0214</f>
        <v>54619.7</v>
      </c>
      <c r="J2921" s="181">
        <f>I2921/D2917</f>
        <v>133.80000000000001</v>
      </c>
      <c r="K2921" s="181">
        <v>148</v>
      </c>
    </row>
    <row r="2922" spans="1:11" ht="13.5" customHeight="1" x14ac:dyDescent="0.35">
      <c r="A2922" s="270">
        <f>A2917+1</f>
        <v>7</v>
      </c>
      <c r="B2922" s="270">
        <v>204</v>
      </c>
      <c r="C2922" s="262" t="s">
        <v>95</v>
      </c>
      <c r="D2922" s="273">
        <v>405.9</v>
      </c>
      <c r="E2922" s="267" t="s">
        <v>74</v>
      </c>
      <c r="F2922" s="267">
        <v>2</v>
      </c>
      <c r="G2922" s="165"/>
      <c r="H2922" s="136" t="s">
        <v>72</v>
      </c>
      <c r="I2922" s="181">
        <f>I2923+I2924+I2925+I2926</f>
        <v>3291443.1</v>
      </c>
      <c r="J2922" s="181">
        <f>J2923+J2924+J2925+J2926</f>
        <v>8109</v>
      </c>
      <c r="K2922" s="181">
        <f>K2923+K2924+K2925+K2926</f>
        <v>8109</v>
      </c>
    </row>
    <row r="2923" spans="1:11" x14ac:dyDescent="0.35">
      <c r="A2923" s="271"/>
      <c r="B2923" s="271"/>
      <c r="C2923" s="263"/>
      <c r="D2923" s="274"/>
      <c r="E2923" s="268"/>
      <c r="F2923" s="268"/>
      <c r="G2923" s="270" t="s">
        <v>71</v>
      </c>
      <c r="H2923" s="136" t="s">
        <v>73</v>
      </c>
      <c r="I2923" s="181">
        <f>D2922*K2923</f>
        <v>2808016.2</v>
      </c>
      <c r="J2923" s="181">
        <f>I2923/D2922</f>
        <v>6918</v>
      </c>
      <c r="K2923" s="181">
        <v>6918</v>
      </c>
    </row>
    <row r="2924" spans="1:11" x14ac:dyDescent="0.35">
      <c r="A2924" s="271"/>
      <c r="B2924" s="271"/>
      <c r="C2924" s="263"/>
      <c r="D2924" s="274"/>
      <c r="E2924" s="268"/>
      <c r="F2924" s="268"/>
      <c r="G2924" s="272"/>
      <c r="H2924" s="136" t="s">
        <v>75</v>
      </c>
      <c r="I2924" s="181">
        <f>D2922*K2924</f>
        <v>60073.2</v>
      </c>
      <c r="J2924" s="181">
        <f>I2924/D2922</f>
        <v>148</v>
      </c>
      <c r="K2924" s="181">
        <v>148</v>
      </c>
    </row>
    <row r="2925" spans="1:11" x14ac:dyDescent="0.35">
      <c r="A2925" s="271"/>
      <c r="B2925" s="271"/>
      <c r="C2925" s="263"/>
      <c r="D2925" s="274"/>
      <c r="E2925" s="268"/>
      <c r="F2925" s="268"/>
      <c r="G2925" s="270" t="s">
        <v>84</v>
      </c>
      <c r="H2925" s="136" t="s">
        <v>73</v>
      </c>
      <c r="I2925" s="181">
        <f>D2922*K2925</f>
        <v>414423.9</v>
      </c>
      <c r="J2925" s="181">
        <f>I2925/D2922</f>
        <v>1021</v>
      </c>
      <c r="K2925" s="181">
        <v>1021</v>
      </c>
    </row>
    <row r="2926" spans="1:11" x14ac:dyDescent="0.35">
      <c r="A2926" s="271"/>
      <c r="B2926" s="271"/>
      <c r="C2926" s="263"/>
      <c r="D2926" s="274"/>
      <c r="E2926" s="268"/>
      <c r="F2926" s="268"/>
      <c r="G2926" s="272"/>
      <c r="H2926" s="136" t="s">
        <v>75</v>
      </c>
      <c r="I2926" s="181">
        <f>D2922*K2926</f>
        <v>8929.7999999999993</v>
      </c>
      <c r="J2926" s="181">
        <f>I2926/D2922</f>
        <v>22</v>
      </c>
      <c r="K2926" s="181">
        <v>22</v>
      </c>
    </row>
    <row r="2927" spans="1:11" ht="14.5" customHeight="1" x14ac:dyDescent="0.35">
      <c r="A2927" s="277">
        <f>A2922+1</f>
        <v>8</v>
      </c>
      <c r="B2927" s="277">
        <v>521</v>
      </c>
      <c r="C2927" s="266" t="s">
        <v>96</v>
      </c>
      <c r="D2927" s="287">
        <v>2828.7</v>
      </c>
      <c r="E2927" s="276" t="s">
        <v>74</v>
      </c>
      <c r="F2927" s="276">
        <v>5</v>
      </c>
      <c r="G2927" s="277" t="s">
        <v>71</v>
      </c>
      <c r="H2927" s="136" t="s">
        <v>72</v>
      </c>
      <c r="I2927" s="181">
        <f>I2928+I2929</f>
        <v>9170645.4000000004</v>
      </c>
      <c r="J2927" s="181">
        <f>J2928+J2929</f>
        <v>3242</v>
      </c>
      <c r="K2927" s="181">
        <f>K2928+K2929</f>
        <v>3242</v>
      </c>
    </row>
    <row r="2928" spans="1:11" x14ac:dyDescent="0.35">
      <c r="A2928" s="277">
        <v>75</v>
      </c>
      <c r="B2928" s="277"/>
      <c r="C2928" s="266"/>
      <c r="D2928" s="287"/>
      <c r="E2928" s="276"/>
      <c r="F2928" s="276"/>
      <c r="G2928" s="277"/>
      <c r="H2928" s="136" t="s">
        <v>73</v>
      </c>
      <c r="I2928" s="181">
        <f>D2927*K2928</f>
        <v>8978293.8000000007</v>
      </c>
      <c r="J2928" s="181">
        <f>I2928/D2927</f>
        <v>3174</v>
      </c>
      <c r="K2928" s="181">
        <v>3174</v>
      </c>
    </row>
    <row r="2929" spans="1:11" x14ac:dyDescent="0.35">
      <c r="A2929" s="277">
        <v>76</v>
      </c>
      <c r="B2929" s="277"/>
      <c r="C2929" s="266"/>
      <c r="D2929" s="287"/>
      <c r="E2929" s="276"/>
      <c r="F2929" s="276"/>
      <c r="G2929" s="277"/>
      <c r="H2929" s="136" t="s">
        <v>75</v>
      </c>
      <c r="I2929" s="181">
        <f>D2927*K2929</f>
        <v>192351.6</v>
      </c>
      <c r="J2929" s="181">
        <f>I2929/D2927</f>
        <v>68</v>
      </c>
      <c r="K2929" s="181">
        <v>68</v>
      </c>
    </row>
    <row r="2930" spans="1:11" x14ac:dyDescent="0.35">
      <c r="A2930" s="277">
        <f>A2927+1</f>
        <v>9</v>
      </c>
      <c r="B2930" s="277">
        <v>479</v>
      </c>
      <c r="C2930" s="266" t="s">
        <v>97</v>
      </c>
      <c r="D2930" s="287">
        <v>1986.2</v>
      </c>
      <c r="E2930" s="276" t="s">
        <v>74</v>
      </c>
      <c r="F2930" s="276">
        <v>5</v>
      </c>
      <c r="G2930" s="277" t="s">
        <v>71</v>
      </c>
      <c r="H2930" s="136" t="s">
        <v>72</v>
      </c>
      <c r="I2930" s="181">
        <f>I2931+I2932</f>
        <v>6439260.4000000004</v>
      </c>
      <c r="J2930" s="181">
        <f>J2931+J2932</f>
        <v>3242</v>
      </c>
      <c r="K2930" s="181">
        <f>K2931+K2932</f>
        <v>3242</v>
      </c>
    </row>
    <row r="2931" spans="1:11" x14ac:dyDescent="0.35">
      <c r="A2931" s="277">
        <v>75</v>
      </c>
      <c r="B2931" s="277"/>
      <c r="C2931" s="266"/>
      <c r="D2931" s="287"/>
      <c r="E2931" s="276"/>
      <c r="F2931" s="276"/>
      <c r="G2931" s="277"/>
      <c r="H2931" s="136" t="s">
        <v>73</v>
      </c>
      <c r="I2931" s="181">
        <f>D2930*K2931</f>
        <v>6304198.7999999998</v>
      </c>
      <c r="J2931" s="181">
        <f>I2931/D2930</f>
        <v>3174</v>
      </c>
      <c r="K2931" s="181">
        <v>3174</v>
      </c>
    </row>
    <row r="2932" spans="1:11" x14ac:dyDescent="0.35">
      <c r="A2932" s="277">
        <v>76</v>
      </c>
      <c r="B2932" s="277"/>
      <c r="C2932" s="266"/>
      <c r="D2932" s="287"/>
      <c r="E2932" s="276"/>
      <c r="F2932" s="276"/>
      <c r="G2932" s="277"/>
      <c r="H2932" s="136" t="s">
        <v>75</v>
      </c>
      <c r="I2932" s="181">
        <f>D2930*K2932</f>
        <v>135061.6</v>
      </c>
      <c r="J2932" s="181">
        <f>I2932/D2930</f>
        <v>68</v>
      </c>
      <c r="K2932" s="181">
        <v>68</v>
      </c>
    </row>
    <row r="2933" spans="1:11" x14ac:dyDescent="0.35">
      <c r="A2933" s="270">
        <f>A2930+1</f>
        <v>10</v>
      </c>
      <c r="B2933" s="270">
        <v>512</v>
      </c>
      <c r="C2933" s="278" t="s">
        <v>288</v>
      </c>
      <c r="D2933" s="273">
        <v>1615.9</v>
      </c>
      <c r="E2933" s="267" t="s">
        <v>74</v>
      </c>
      <c r="F2933" s="267">
        <v>5</v>
      </c>
      <c r="G2933" s="270" t="s">
        <v>83</v>
      </c>
      <c r="H2933" s="136" t="s">
        <v>72</v>
      </c>
      <c r="I2933" s="181">
        <f>I2934+I2935</f>
        <v>316231.63</v>
      </c>
      <c r="J2933" s="181">
        <f>J2934+J2935</f>
        <v>195.7</v>
      </c>
      <c r="K2933" s="181">
        <f>K2934+K2935</f>
        <v>277</v>
      </c>
    </row>
    <row r="2934" spans="1:11" x14ac:dyDescent="0.35">
      <c r="A2934" s="271"/>
      <c r="B2934" s="271"/>
      <c r="C2934" s="279"/>
      <c r="D2934" s="274"/>
      <c r="E2934" s="268"/>
      <c r="F2934" s="268"/>
      <c r="G2934" s="271"/>
      <c r="H2934" s="136" t="s">
        <v>73</v>
      </c>
      <c r="I2934" s="181">
        <f>K2934*D2933*0.7</f>
        <v>306536.23</v>
      </c>
      <c r="J2934" s="181">
        <f>I2934/D2933</f>
        <v>189.7</v>
      </c>
      <c r="K2934" s="181">
        <v>271</v>
      </c>
    </row>
    <row r="2935" spans="1:11" x14ac:dyDescent="0.35">
      <c r="A2935" s="272"/>
      <c r="B2935" s="272"/>
      <c r="C2935" s="285"/>
      <c r="D2935" s="275"/>
      <c r="E2935" s="269"/>
      <c r="F2935" s="269"/>
      <c r="G2935" s="272"/>
      <c r="H2935" s="136" t="s">
        <v>75</v>
      </c>
      <c r="I2935" s="181">
        <f>K2935*D2933</f>
        <v>9695.4</v>
      </c>
      <c r="J2935" s="181">
        <f>I2935/D2933</f>
        <v>6</v>
      </c>
      <c r="K2935" s="181">
        <v>6</v>
      </c>
    </row>
    <row r="2936" spans="1:11" x14ac:dyDescent="0.35">
      <c r="A2936" s="277">
        <f>A2933+1</f>
        <v>11</v>
      </c>
      <c r="B2936" s="277">
        <v>565</v>
      </c>
      <c r="C2936" s="266" t="s">
        <v>98</v>
      </c>
      <c r="D2936" s="287">
        <v>2692.2</v>
      </c>
      <c r="E2936" s="276" t="s">
        <v>74</v>
      </c>
      <c r="F2936" s="276">
        <v>5</v>
      </c>
      <c r="G2936" s="277" t="s">
        <v>71</v>
      </c>
      <c r="H2936" s="136" t="s">
        <v>72</v>
      </c>
      <c r="I2936" s="181">
        <f>I2937+I2938</f>
        <v>8728112.4000000004</v>
      </c>
      <c r="J2936" s="181">
        <f>J2937+J2938</f>
        <v>3242</v>
      </c>
      <c r="K2936" s="181">
        <f>K2937+K2938</f>
        <v>3242</v>
      </c>
    </row>
    <row r="2937" spans="1:11" x14ac:dyDescent="0.35">
      <c r="A2937" s="277">
        <v>75</v>
      </c>
      <c r="B2937" s="277"/>
      <c r="C2937" s="266"/>
      <c r="D2937" s="287"/>
      <c r="E2937" s="276"/>
      <c r="F2937" s="276"/>
      <c r="G2937" s="277"/>
      <c r="H2937" s="136" t="s">
        <v>73</v>
      </c>
      <c r="I2937" s="181">
        <f>D2936*K2937</f>
        <v>8545042.8000000007</v>
      </c>
      <c r="J2937" s="181">
        <f>I2937/D2936</f>
        <v>3174</v>
      </c>
      <c r="K2937" s="181">
        <v>3174</v>
      </c>
    </row>
    <row r="2938" spans="1:11" x14ac:dyDescent="0.35">
      <c r="A2938" s="277">
        <v>76</v>
      </c>
      <c r="B2938" s="277"/>
      <c r="C2938" s="266"/>
      <c r="D2938" s="287"/>
      <c r="E2938" s="276"/>
      <c r="F2938" s="276"/>
      <c r="G2938" s="277"/>
      <c r="H2938" s="136" t="s">
        <v>75</v>
      </c>
      <c r="I2938" s="181">
        <f>D2936*K2938</f>
        <v>183069.6</v>
      </c>
      <c r="J2938" s="181">
        <f>I2938/D2936</f>
        <v>68</v>
      </c>
      <c r="K2938" s="181">
        <v>68</v>
      </c>
    </row>
    <row r="2939" spans="1:11" x14ac:dyDescent="0.35">
      <c r="A2939" s="277">
        <f>A2936+1</f>
        <v>12</v>
      </c>
      <c r="B2939" s="277">
        <v>519</v>
      </c>
      <c r="C2939" s="266" t="s">
        <v>99</v>
      </c>
      <c r="D2939" s="287">
        <v>2547.1999999999998</v>
      </c>
      <c r="E2939" s="276" t="s">
        <v>74</v>
      </c>
      <c r="F2939" s="276">
        <v>5</v>
      </c>
      <c r="G2939" s="277" t="s">
        <v>71</v>
      </c>
      <c r="H2939" s="136" t="s">
        <v>72</v>
      </c>
      <c r="I2939" s="181">
        <f>I2940+I2941</f>
        <v>8258022.4000000004</v>
      </c>
      <c r="J2939" s="181">
        <f>J2940+J2941</f>
        <v>3242</v>
      </c>
      <c r="K2939" s="181">
        <f>K2940+K2941</f>
        <v>3242</v>
      </c>
    </row>
    <row r="2940" spans="1:11" x14ac:dyDescent="0.35">
      <c r="A2940" s="277">
        <v>75</v>
      </c>
      <c r="B2940" s="277"/>
      <c r="C2940" s="266"/>
      <c r="D2940" s="287"/>
      <c r="E2940" s="276"/>
      <c r="F2940" s="276"/>
      <c r="G2940" s="277"/>
      <c r="H2940" s="136" t="s">
        <v>73</v>
      </c>
      <c r="I2940" s="181">
        <f>D2939*K2940</f>
        <v>8084812.7999999998</v>
      </c>
      <c r="J2940" s="181">
        <f>I2940/D2939</f>
        <v>3174</v>
      </c>
      <c r="K2940" s="181">
        <v>3174</v>
      </c>
    </row>
    <row r="2941" spans="1:11" x14ac:dyDescent="0.35">
      <c r="A2941" s="277">
        <v>76</v>
      </c>
      <c r="B2941" s="277"/>
      <c r="C2941" s="266"/>
      <c r="D2941" s="287"/>
      <c r="E2941" s="276"/>
      <c r="F2941" s="276"/>
      <c r="G2941" s="277"/>
      <c r="H2941" s="136" t="s">
        <v>75</v>
      </c>
      <c r="I2941" s="181">
        <f>D2939*K2941</f>
        <v>173209.60000000001</v>
      </c>
      <c r="J2941" s="181">
        <f>I2941/D2939</f>
        <v>68</v>
      </c>
      <c r="K2941" s="181">
        <v>68</v>
      </c>
    </row>
    <row r="2942" spans="1:11" x14ac:dyDescent="0.35">
      <c r="A2942" s="270">
        <f>A2939+1</f>
        <v>13</v>
      </c>
      <c r="B2942" s="270">
        <v>283</v>
      </c>
      <c r="C2942" s="262" t="s">
        <v>100</v>
      </c>
      <c r="D2942" s="273">
        <v>2005.9</v>
      </c>
      <c r="E2942" s="267" t="s">
        <v>74</v>
      </c>
      <c r="F2942" s="267">
        <v>3</v>
      </c>
      <c r="G2942" s="167"/>
      <c r="H2942" s="136" t="s">
        <v>72</v>
      </c>
      <c r="I2942" s="181">
        <f>I2943+I2944+I2945+I2946+I2947+I2948+I2949+I2950</f>
        <v>26215107.100000001</v>
      </c>
      <c r="J2942" s="181">
        <f>J2943+J2944+J2945+J2946+J2947+J2948+J2949+J2950</f>
        <v>13069</v>
      </c>
      <c r="K2942" s="181">
        <f>K2943+K2944+K2945+K2946+K2947+K2948+K2949+K2950</f>
        <v>13069</v>
      </c>
    </row>
    <row r="2943" spans="1:11" x14ac:dyDescent="0.35">
      <c r="A2943" s="271"/>
      <c r="B2943" s="271"/>
      <c r="C2943" s="263"/>
      <c r="D2943" s="274"/>
      <c r="E2943" s="268"/>
      <c r="F2943" s="268"/>
      <c r="G2943" s="270" t="s">
        <v>84</v>
      </c>
      <c r="H2943" s="136" t="s">
        <v>73</v>
      </c>
      <c r="I2943" s="181">
        <f>D2942*K2943</f>
        <v>3141239.4</v>
      </c>
      <c r="J2943" s="181">
        <f>I2943/D2942</f>
        <v>1566</v>
      </c>
      <c r="K2943" s="181">
        <v>1566</v>
      </c>
    </row>
    <row r="2944" spans="1:11" x14ac:dyDescent="0.35">
      <c r="A2944" s="271"/>
      <c r="B2944" s="271"/>
      <c r="C2944" s="263"/>
      <c r="D2944" s="274"/>
      <c r="E2944" s="268"/>
      <c r="F2944" s="268"/>
      <c r="G2944" s="271"/>
      <c r="H2944" s="136" t="s">
        <v>75</v>
      </c>
      <c r="I2944" s="181">
        <f>D2942*K2944</f>
        <v>68200.600000000006</v>
      </c>
      <c r="J2944" s="181">
        <f>I2944/D2942</f>
        <v>34</v>
      </c>
      <c r="K2944" s="181">
        <v>34</v>
      </c>
    </row>
    <row r="2945" spans="1:11" x14ac:dyDescent="0.35">
      <c r="A2945" s="271"/>
      <c r="B2945" s="271"/>
      <c r="C2945" s="263"/>
      <c r="D2945" s="274"/>
      <c r="E2945" s="268"/>
      <c r="F2945" s="268"/>
      <c r="G2945" s="271"/>
      <c r="H2945" s="182" t="s">
        <v>676</v>
      </c>
      <c r="I2945" s="181">
        <f>D2942*K2945</f>
        <v>7839057.2000000002</v>
      </c>
      <c r="J2945" s="181">
        <f>I2945/D2942</f>
        <v>3908</v>
      </c>
      <c r="K2945" s="181">
        <v>3908</v>
      </c>
    </row>
    <row r="2946" spans="1:11" x14ac:dyDescent="0.35">
      <c r="A2946" s="271"/>
      <c r="B2946" s="271"/>
      <c r="C2946" s="263"/>
      <c r="D2946" s="274"/>
      <c r="E2946" s="268"/>
      <c r="F2946" s="268"/>
      <c r="G2946" s="272"/>
      <c r="H2946" s="182" t="s">
        <v>75</v>
      </c>
      <c r="I2946" s="181">
        <f>D2942*K2946</f>
        <v>168495.6</v>
      </c>
      <c r="J2946" s="181">
        <f>I2946/D2942</f>
        <v>84</v>
      </c>
      <c r="K2946" s="181">
        <v>84</v>
      </c>
    </row>
    <row r="2947" spans="1:11" x14ac:dyDescent="0.35">
      <c r="A2947" s="271"/>
      <c r="B2947" s="271"/>
      <c r="C2947" s="263"/>
      <c r="D2947" s="274"/>
      <c r="E2947" s="268"/>
      <c r="F2947" s="268"/>
      <c r="G2947" s="270" t="s">
        <v>71</v>
      </c>
      <c r="H2947" s="136" t="s">
        <v>73</v>
      </c>
      <c r="I2947" s="181">
        <f>D2942*K2947</f>
        <v>9285311.0999999996</v>
      </c>
      <c r="J2947" s="181">
        <f>I2947/D2942</f>
        <v>4629</v>
      </c>
      <c r="K2947" s="181">
        <v>4629</v>
      </c>
    </row>
    <row r="2948" spans="1:11" x14ac:dyDescent="0.35">
      <c r="A2948" s="271"/>
      <c r="B2948" s="271"/>
      <c r="C2948" s="263"/>
      <c r="D2948" s="274"/>
      <c r="E2948" s="268"/>
      <c r="F2948" s="268"/>
      <c r="G2948" s="272"/>
      <c r="H2948" s="136" t="s">
        <v>75</v>
      </c>
      <c r="I2948" s="181">
        <f>D2942*K2948</f>
        <v>198584.1</v>
      </c>
      <c r="J2948" s="181">
        <f>I2948/D2942</f>
        <v>99</v>
      </c>
      <c r="K2948" s="181">
        <v>99</v>
      </c>
    </row>
    <row r="2949" spans="1:11" x14ac:dyDescent="0.35">
      <c r="A2949" s="271"/>
      <c r="B2949" s="271"/>
      <c r="C2949" s="263"/>
      <c r="D2949" s="274"/>
      <c r="E2949" s="268"/>
      <c r="F2949" s="268"/>
      <c r="G2949" s="270" t="s">
        <v>76</v>
      </c>
      <c r="H2949" s="136" t="s">
        <v>73</v>
      </c>
      <c r="I2949" s="181">
        <f>D2942*K2949</f>
        <v>5397876.9000000004</v>
      </c>
      <c r="J2949" s="181">
        <f>I2949/D2942</f>
        <v>2691</v>
      </c>
      <c r="K2949" s="181">
        <v>2691</v>
      </c>
    </row>
    <row r="2950" spans="1:11" x14ac:dyDescent="0.35">
      <c r="A2950" s="272"/>
      <c r="B2950" s="272"/>
      <c r="C2950" s="264"/>
      <c r="D2950" s="275"/>
      <c r="E2950" s="269"/>
      <c r="F2950" s="269"/>
      <c r="G2950" s="272"/>
      <c r="H2950" s="136" t="s">
        <v>75</v>
      </c>
      <c r="I2950" s="181">
        <f>D2942*K2950</f>
        <v>116342.2</v>
      </c>
      <c r="J2950" s="181">
        <f>I2950/D2942</f>
        <v>58</v>
      </c>
      <c r="K2950" s="181">
        <v>58</v>
      </c>
    </row>
    <row r="2951" spans="1:11" ht="14" customHeight="1" x14ac:dyDescent="0.35">
      <c r="A2951" s="270">
        <f>A2942+1</f>
        <v>14</v>
      </c>
      <c r="B2951" s="270">
        <v>599</v>
      </c>
      <c r="C2951" s="278" t="s">
        <v>312</v>
      </c>
      <c r="D2951" s="273">
        <v>3148.6</v>
      </c>
      <c r="E2951" s="267" t="s">
        <v>74</v>
      </c>
      <c r="F2951" s="267">
        <v>5</v>
      </c>
      <c r="G2951" s="165"/>
      <c r="H2951" s="136" t="s">
        <v>72</v>
      </c>
      <c r="I2951" s="181">
        <f>I2952+I2953</f>
        <v>374053.68</v>
      </c>
      <c r="J2951" s="181">
        <f>J2952+J2953</f>
        <v>118.8</v>
      </c>
      <c r="K2951" s="181">
        <f>K2952+K2953</f>
        <v>168</v>
      </c>
    </row>
    <row r="2952" spans="1:11" x14ac:dyDescent="0.35">
      <c r="A2952" s="271"/>
      <c r="B2952" s="271"/>
      <c r="C2952" s="279"/>
      <c r="D2952" s="274"/>
      <c r="E2952" s="268"/>
      <c r="F2952" s="268"/>
      <c r="G2952" s="270" t="s">
        <v>83</v>
      </c>
      <c r="H2952" s="136" t="s">
        <v>73</v>
      </c>
      <c r="I2952" s="181">
        <f>K2952*D2951*0.7</f>
        <v>361459.28</v>
      </c>
      <c r="J2952" s="181">
        <f>I2952/D2951</f>
        <v>114.8</v>
      </c>
      <c r="K2952" s="181">
        <v>164</v>
      </c>
    </row>
    <row r="2953" spans="1:11" x14ac:dyDescent="0.35">
      <c r="A2953" s="272"/>
      <c r="B2953" s="272"/>
      <c r="C2953" s="285"/>
      <c r="D2953" s="275"/>
      <c r="E2953" s="269"/>
      <c r="F2953" s="269"/>
      <c r="G2953" s="272"/>
      <c r="H2953" s="136" t="s">
        <v>75</v>
      </c>
      <c r="I2953" s="181">
        <f>K2953*D2951</f>
        <v>12594.4</v>
      </c>
      <c r="J2953" s="181">
        <f>I2953/D2951</f>
        <v>4</v>
      </c>
      <c r="K2953" s="181">
        <v>4</v>
      </c>
    </row>
    <row r="2954" spans="1:11" ht="13.5" customHeight="1" x14ac:dyDescent="0.35">
      <c r="A2954" s="270">
        <f>A2951+1</f>
        <v>15</v>
      </c>
      <c r="B2954" s="270">
        <v>514</v>
      </c>
      <c r="C2954" s="262" t="s">
        <v>101</v>
      </c>
      <c r="D2954" s="273">
        <v>3096.4</v>
      </c>
      <c r="E2954" s="267" t="s">
        <v>74</v>
      </c>
      <c r="F2954" s="267">
        <v>5</v>
      </c>
      <c r="G2954" s="167"/>
      <c r="H2954" s="136" t="s">
        <v>72</v>
      </c>
      <c r="I2954" s="181">
        <f>I2955+I2956+I2957+I2958</f>
        <v>10558724</v>
      </c>
      <c r="J2954" s="181">
        <f>J2955+J2956+J2957+J2958</f>
        <v>3410</v>
      </c>
      <c r="K2954" s="181">
        <f>K2955+K2956+K2957+K2958</f>
        <v>3410</v>
      </c>
    </row>
    <row r="2955" spans="1:11" x14ac:dyDescent="0.35">
      <c r="A2955" s="271"/>
      <c r="B2955" s="271"/>
      <c r="C2955" s="263"/>
      <c r="D2955" s="274"/>
      <c r="E2955" s="268"/>
      <c r="F2955" s="268"/>
      <c r="G2955" s="270" t="s">
        <v>83</v>
      </c>
      <c r="H2955" s="136" t="s">
        <v>73</v>
      </c>
      <c r="I2955" s="181">
        <f>D2954*K2955</f>
        <v>507809.6</v>
      </c>
      <c r="J2955" s="181">
        <f>I2955/D2954</f>
        <v>164</v>
      </c>
      <c r="K2955" s="181">
        <v>164</v>
      </c>
    </row>
    <row r="2956" spans="1:11" x14ac:dyDescent="0.35">
      <c r="A2956" s="271"/>
      <c r="B2956" s="271"/>
      <c r="C2956" s="263"/>
      <c r="D2956" s="274"/>
      <c r="E2956" s="268"/>
      <c r="F2956" s="268"/>
      <c r="G2956" s="272"/>
      <c r="H2956" s="136" t="s">
        <v>75</v>
      </c>
      <c r="I2956" s="181">
        <f>D2954*K2956</f>
        <v>12385.6</v>
      </c>
      <c r="J2956" s="181">
        <f>I2956/D2954</f>
        <v>4</v>
      </c>
      <c r="K2956" s="181">
        <v>4</v>
      </c>
    </row>
    <row r="2957" spans="1:11" x14ac:dyDescent="0.35">
      <c r="A2957" s="271"/>
      <c r="B2957" s="271"/>
      <c r="C2957" s="263"/>
      <c r="D2957" s="274"/>
      <c r="E2957" s="268"/>
      <c r="F2957" s="268"/>
      <c r="G2957" s="270" t="s">
        <v>71</v>
      </c>
      <c r="H2957" s="136" t="s">
        <v>73</v>
      </c>
      <c r="I2957" s="181">
        <f>D2954*K2957</f>
        <v>9827973.5999999996</v>
      </c>
      <c r="J2957" s="181">
        <f>I2957/D2954</f>
        <v>3174</v>
      </c>
      <c r="K2957" s="181">
        <v>3174</v>
      </c>
    </row>
    <row r="2958" spans="1:11" x14ac:dyDescent="0.35">
      <c r="A2958" s="272"/>
      <c r="B2958" s="272"/>
      <c r="C2958" s="264"/>
      <c r="D2958" s="275"/>
      <c r="E2958" s="269"/>
      <c r="F2958" s="269"/>
      <c r="G2958" s="272"/>
      <c r="H2958" s="136" t="s">
        <v>75</v>
      </c>
      <c r="I2958" s="181">
        <f>D2954*K2958</f>
        <v>210555.2</v>
      </c>
      <c r="J2958" s="181">
        <f>I2958/D2954</f>
        <v>68</v>
      </c>
      <c r="K2958" s="181">
        <v>68</v>
      </c>
    </row>
    <row r="2959" spans="1:11" ht="14" customHeight="1" x14ac:dyDescent="0.35">
      <c r="A2959" s="270">
        <f>A2954+1</f>
        <v>16</v>
      </c>
      <c r="B2959" s="270">
        <v>159</v>
      </c>
      <c r="C2959" s="278" t="s">
        <v>102</v>
      </c>
      <c r="D2959" s="273">
        <v>1087.8</v>
      </c>
      <c r="E2959" s="273" t="s">
        <v>79</v>
      </c>
      <c r="F2959" s="282">
        <v>3</v>
      </c>
      <c r="G2959" s="146"/>
      <c r="H2959" s="136" t="s">
        <v>72</v>
      </c>
      <c r="I2959" s="181">
        <f>SUM(I2960:I2963)</f>
        <v>1740480</v>
      </c>
      <c r="J2959" s="181">
        <f>SUM(J2960:J2963)</f>
        <v>1600</v>
      </c>
      <c r="K2959" s="181">
        <f>SUM(K2960:K2963)</f>
        <v>1600</v>
      </c>
    </row>
    <row r="2960" spans="1:11" x14ac:dyDescent="0.35">
      <c r="A2960" s="271"/>
      <c r="B2960" s="271"/>
      <c r="C2960" s="279"/>
      <c r="D2960" s="274"/>
      <c r="E2960" s="274"/>
      <c r="F2960" s="283"/>
      <c r="G2960" s="270" t="s">
        <v>81</v>
      </c>
      <c r="H2960" s="136" t="s">
        <v>73</v>
      </c>
      <c r="I2960" s="181">
        <f>D2959*K2960</f>
        <v>1255321.2</v>
      </c>
      <c r="J2960" s="181">
        <f>I2960/D2959</f>
        <v>1154</v>
      </c>
      <c r="K2960" s="181">
        <v>1154</v>
      </c>
    </row>
    <row r="2961" spans="1:11" x14ac:dyDescent="0.35">
      <c r="A2961" s="271"/>
      <c r="B2961" s="271"/>
      <c r="C2961" s="279"/>
      <c r="D2961" s="274"/>
      <c r="E2961" s="274"/>
      <c r="F2961" s="283"/>
      <c r="G2961" s="272"/>
      <c r="H2961" s="136" t="s">
        <v>75</v>
      </c>
      <c r="I2961" s="181">
        <f>D2959*K2961</f>
        <v>27195</v>
      </c>
      <c r="J2961" s="181">
        <f>I2961/D2959</f>
        <v>25</v>
      </c>
      <c r="K2961" s="181">
        <v>25</v>
      </c>
    </row>
    <row r="2962" spans="1:11" x14ac:dyDescent="0.35">
      <c r="A2962" s="271"/>
      <c r="B2962" s="271"/>
      <c r="C2962" s="279"/>
      <c r="D2962" s="274"/>
      <c r="E2962" s="274"/>
      <c r="F2962" s="283"/>
      <c r="G2962" s="270" t="s">
        <v>82</v>
      </c>
      <c r="H2962" s="136" t="s">
        <v>73</v>
      </c>
      <c r="I2962" s="181">
        <f>D2959*K2962</f>
        <v>448173.6</v>
      </c>
      <c r="J2962" s="181">
        <f>I2962/D2959</f>
        <v>412</v>
      </c>
      <c r="K2962" s="181">
        <v>412</v>
      </c>
    </row>
    <row r="2963" spans="1:11" x14ac:dyDescent="0.35">
      <c r="A2963" s="272"/>
      <c r="B2963" s="272"/>
      <c r="C2963" s="285"/>
      <c r="D2963" s="275"/>
      <c r="E2963" s="275"/>
      <c r="F2963" s="284"/>
      <c r="G2963" s="272"/>
      <c r="H2963" s="136" t="s">
        <v>75</v>
      </c>
      <c r="I2963" s="181">
        <f>D2959*K2963</f>
        <v>9790.2000000000007</v>
      </c>
      <c r="J2963" s="181">
        <f>I2963/D2959</f>
        <v>9</v>
      </c>
      <c r="K2963" s="181">
        <v>9</v>
      </c>
    </row>
    <row r="2964" spans="1:11" ht="14" customHeight="1" x14ac:dyDescent="0.35">
      <c r="A2964" s="270">
        <f>A2959+1</f>
        <v>17</v>
      </c>
      <c r="B2964" s="270">
        <v>476</v>
      </c>
      <c r="C2964" s="262" t="s">
        <v>103</v>
      </c>
      <c r="D2964" s="273">
        <v>3176.66</v>
      </c>
      <c r="E2964" s="267" t="s">
        <v>74</v>
      </c>
      <c r="F2964" s="267">
        <v>5</v>
      </c>
      <c r="G2964" s="167"/>
      <c r="H2964" s="136" t="s">
        <v>72</v>
      </c>
      <c r="I2964" s="181">
        <f>I2965+I2966+I2967+I2968+I2969+I2970</f>
        <v>8708661.9499999993</v>
      </c>
      <c r="J2964" s="181">
        <f>J2965+J2966+J2967+J2968+J2969+J2970</f>
        <v>2741.45</v>
      </c>
      <c r="K2964" s="181">
        <f>K2965+K2966+K2967+K2968+K2969+K2970</f>
        <v>3055</v>
      </c>
    </row>
    <row r="2965" spans="1:11" x14ac:dyDescent="0.35">
      <c r="A2965" s="271"/>
      <c r="B2965" s="271"/>
      <c r="C2965" s="263"/>
      <c r="D2965" s="274"/>
      <c r="E2965" s="268"/>
      <c r="F2965" s="268"/>
      <c r="G2965" s="270" t="s">
        <v>76</v>
      </c>
      <c r="H2965" s="136" t="s">
        <v>73</v>
      </c>
      <c r="I2965" s="181">
        <f>(4524879+1174641+100053+37838)*1.02*1.18-294565.34</f>
        <v>6731342.54</v>
      </c>
      <c r="J2965" s="181">
        <f>I2965/D2964</f>
        <v>2119</v>
      </c>
      <c r="K2965" s="181">
        <v>2119</v>
      </c>
    </row>
    <row r="2966" spans="1:11" x14ac:dyDescent="0.35">
      <c r="A2966" s="271"/>
      <c r="B2966" s="271"/>
      <c r="C2966" s="263"/>
      <c r="D2966" s="274"/>
      <c r="E2966" s="268"/>
      <c r="F2966" s="268"/>
      <c r="G2966" s="272"/>
      <c r="H2966" s="136" t="s">
        <v>75</v>
      </c>
      <c r="I2966" s="181">
        <f>D2964*K2966</f>
        <v>142949.70000000001</v>
      </c>
      <c r="J2966" s="181">
        <f>I2966/D2964</f>
        <v>45</v>
      </c>
      <c r="K2966" s="181">
        <v>45</v>
      </c>
    </row>
    <row r="2967" spans="1:11" x14ac:dyDescent="0.35">
      <c r="A2967" s="271"/>
      <c r="B2967" s="271"/>
      <c r="C2967" s="263"/>
      <c r="D2967" s="274"/>
      <c r="E2967" s="268"/>
      <c r="F2967" s="268"/>
      <c r="G2967" s="270" t="s">
        <v>77</v>
      </c>
      <c r="H2967" s="136" t="s">
        <v>73</v>
      </c>
      <c r="I2967" s="181">
        <f>(412025)*1.02*1.18</f>
        <v>495913.29</v>
      </c>
      <c r="J2967" s="181">
        <f>I2967/D2964</f>
        <v>156.11000000000001</v>
      </c>
      <c r="K2967" s="181">
        <v>463</v>
      </c>
    </row>
    <row r="2968" spans="1:11" x14ac:dyDescent="0.35">
      <c r="A2968" s="271"/>
      <c r="B2968" s="271"/>
      <c r="C2968" s="263"/>
      <c r="D2968" s="274"/>
      <c r="E2968" s="268"/>
      <c r="F2968" s="268"/>
      <c r="G2968" s="272"/>
      <c r="H2968" s="136" t="s">
        <v>75</v>
      </c>
      <c r="I2968" s="181">
        <f>I2967*0.0214</f>
        <v>10612.54</v>
      </c>
      <c r="J2968" s="181">
        <f>I2968/D2964</f>
        <v>3.34</v>
      </c>
      <c r="K2968" s="181">
        <v>10</v>
      </c>
    </row>
    <row r="2969" spans="1:11" x14ac:dyDescent="0.35">
      <c r="A2969" s="271"/>
      <c r="B2969" s="271"/>
      <c r="C2969" s="263"/>
      <c r="D2969" s="274"/>
      <c r="E2969" s="268"/>
      <c r="F2969" s="268"/>
      <c r="G2969" s="270" t="s">
        <v>78</v>
      </c>
      <c r="H2969" s="136" t="s">
        <v>73</v>
      </c>
      <c r="I2969" s="181">
        <f>(1086943)*1.02*1.18-8990.65</f>
        <v>1299253.94</v>
      </c>
      <c r="J2969" s="181">
        <f>I2969/D2964</f>
        <v>409</v>
      </c>
      <c r="K2969" s="181">
        <v>409</v>
      </c>
    </row>
    <row r="2970" spans="1:11" x14ac:dyDescent="0.35">
      <c r="A2970" s="272"/>
      <c r="B2970" s="272"/>
      <c r="C2970" s="264"/>
      <c r="D2970" s="275"/>
      <c r="E2970" s="269"/>
      <c r="F2970" s="269"/>
      <c r="G2970" s="272"/>
      <c r="H2970" s="136" t="s">
        <v>75</v>
      </c>
      <c r="I2970" s="181">
        <f>D2964*K2970</f>
        <v>28589.94</v>
      </c>
      <c r="J2970" s="181">
        <f>I2970/D2964</f>
        <v>9</v>
      </c>
      <c r="K2970" s="181">
        <v>9</v>
      </c>
    </row>
    <row r="2971" spans="1:11" ht="13.5" customHeight="1" x14ac:dyDescent="0.35">
      <c r="A2971" s="270">
        <f>A2964+1</f>
        <v>18</v>
      </c>
      <c r="B2971" s="270">
        <v>119</v>
      </c>
      <c r="C2971" s="262" t="s">
        <v>104</v>
      </c>
      <c r="D2971" s="273">
        <v>811.7</v>
      </c>
      <c r="E2971" s="267" t="s">
        <v>79</v>
      </c>
      <c r="F2971" s="267">
        <v>3</v>
      </c>
      <c r="G2971" s="270" t="s">
        <v>71</v>
      </c>
      <c r="H2971" s="136" t="s">
        <v>72</v>
      </c>
      <c r="I2971" s="181">
        <f>I2972+I2973</f>
        <v>3837717.6</v>
      </c>
      <c r="J2971" s="181">
        <f>J2972+J2973</f>
        <v>4728</v>
      </c>
      <c r="K2971" s="181">
        <f>K2972+K2973</f>
        <v>4728</v>
      </c>
    </row>
    <row r="2972" spans="1:11" x14ac:dyDescent="0.35">
      <c r="A2972" s="271"/>
      <c r="B2972" s="271"/>
      <c r="C2972" s="263"/>
      <c r="D2972" s="274"/>
      <c r="E2972" s="268"/>
      <c r="F2972" s="268"/>
      <c r="G2972" s="271"/>
      <c r="H2972" s="136" t="s">
        <v>73</v>
      </c>
      <c r="I2972" s="181">
        <f>D2971*K2972</f>
        <v>3757359.3</v>
      </c>
      <c r="J2972" s="181">
        <f>I2972/D2971</f>
        <v>4629</v>
      </c>
      <c r="K2972" s="181">
        <v>4629</v>
      </c>
    </row>
    <row r="2973" spans="1:11" x14ac:dyDescent="0.35">
      <c r="A2973" s="271"/>
      <c r="B2973" s="271"/>
      <c r="C2973" s="263"/>
      <c r="D2973" s="274"/>
      <c r="E2973" s="268"/>
      <c r="F2973" s="268"/>
      <c r="G2973" s="272"/>
      <c r="H2973" s="136" t="s">
        <v>75</v>
      </c>
      <c r="I2973" s="181">
        <f>D2971*K2973</f>
        <v>80358.3</v>
      </c>
      <c r="J2973" s="181">
        <f>I2973/D2971</f>
        <v>99</v>
      </c>
      <c r="K2973" s="181">
        <v>99</v>
      </c>
    </row>
    <row r="2974" spans="1:11" ht="13.5" customHeight="1" x14ac:dyDescent="0.35">
      <c r="A2974" s="277">
        <f>A2971+1</f>
        <v>19</v>
      </c>
      <c r="B2974" s="277">
        <v>179</v>
      </c>
      <c r="C2974" s="266" t="s">
        <v>105</v>
      </c>
      <c r="D2974" s="287">
        <v>840.9</v>
      </c>
      <c r="E2974" s="276" t="s">
        <v>79</v>
      </c>
      <c r="F2974" s="276">
        <v>3</v>
      </c>
      <c r="G2974" s="277" t="s">
        <v>71</v>
      </c>
      <c r="H2974" s="136" t="s">
        <v>72</v>
      </c>
      <c r="I2974" s="181">
        <f>I2975+I2976</f>
        <v>3975775.2</v>
      </c>
      <c r="J2974" s="181">
        <f>J2975+J2976</f>
        <v>4728</v>
      </c>
      <c r="K2974" s="181">
        <f>K2975+K2976</f>
        <v>4728</v>
      </c>
    </row>
    <row r="2975" spans="1:11" x14ac:dyDescent="0.35">
      <c r="A2975" s="277">
        <v>75</v>
      </c>
      <c r="B2975" s="277"/>
      <c r="C2975" s="266"/>
      <c r="D2975" s="287"/>
      <c r="E2975" s="276"/>
      <c r="F2975" s="276"/>
      <c r="G2975" s="277"/>
      <c r="H2975" s="136" t="s">
        <v>73</v>
      </c>
      <c r="I2975" s="181">
        <f>D2974*K2975</f>
        <v>3892526.1</v>
      </c>
      <c r="J2975" s="181">
        <f>I2975/D2974</f>
        <v>4629</v>
      </c>
      <c r="K2975" s="181">
        <v>4629</v>
      </c>
    </row>
    <row r="2976" spans="1:11" x14ac:dyDescent="0.35">
      <c r="A2976" s="277">
        <v>76</v>
      </c>
      <c r="B2976" s="277"/>
      <c r="C2976" s="266"/>
      <c r="D2976" s="287"/>
      <c r="E2976" s="276"/>
      <c r="F2976" s="276"/>
      <c r="G2976" s="277"/>
      <c r="H2976" s="136" t="s">
        <v>75</v>
      </c>
      <c r="I2976" s="181">
        <f>D2974*K2976</f>
        <v>83249.100000000006</v>
      </c>
      <c r="J2976" s="181">
        <f>I2976/D2974</f>
        <v>99</v>
      </c>
      <c r="K2976" s="181">
        <v>99</v>
      </c>
    </row>
    <row r="2977" spans="1:11" ht="13.5" customHeight="1" x14ac:dyDescent="0.35">
      <c r="A2977" s="277">
        <f>A2974+1</f>
        <v>20</v>
      </c>
      <c r="B2977" s="277">
        <v>244</v>
      </c>
      <c r="C2977" s="266" t="s">
        <v>106</v>
      </c>
      <c r="D2977" s="287">
        <v>3721.87</v>
      </c>
      <c r="E2977" s="276" t="s">
        <v>79</v>
      </c>
      <c r="F2977" s="276">
        <v>5</v>
      </c>
      <c r="G2977" s="277" t="s">
        <v>71</v>
      </c>
      <c r="H2977" s="136" t="s">
        <v>72</v>
      </c>
      <c r="I2977" s="181">
        <f>I2978+I2979</f>
        <v>12066302.539999999</v>
      </c>
      <c r="J2977" s="181">
        <f>J2978+J2979</f>
        <v>3242</v>
      </c>
      <c r="K2977" s="181">
        <f>K2978+K2979</f>
        <v>3242</v>
      </c>
    </row>
    <row r="2978" spans="1:11" x14ac:dyDescent="0.35">
      <c r="A2978" s="277">
        <v>75</v>
      </c>
      <c r="B2978" s="277"/>
      <c r="C2978" s="266"/>
      <c r="D2978" s="287"/>
      <c r="E2978" s="276"/>
      <c r="F2978" s="276"/>
      <c r="G2978" s="277"/>
      <c r="H2978" s="136" t="s">
        <v>73</v>
      </c>
      <c r="I2978" s="181">
        <f>D2977*K2978</f>
        <v>11813215.380000001</v>
      </c>
      <c r="J2978" s="181">
        <f>I2978/D2977</f>
        <v>3174</v>
      </c>
      <c r="K2978" s="181">
        <v>3174</v>
      </c>
    </row>
    <row r="2979" spans="1:11" x14ac:dyDescent="0.35">
      <c r="A2979" s="277">
        <v>76</v>
      </c>
      <c r="B2979" s="277"/>
      <c r="C2979" s="266"/>
      <c r="D2979" s="287"/>
      <c r="E2979" s="276"/>
      <c r="F2979" s="276"/>
      <c r="G2979" s="277"/>
      <c r="H2979" s="136" t="s">
        <v>75</v>
      </c>
      <c r="I2979" s="181">
        <f>D2977*K2979</f>
        <v>253087.16</v>
      </c>
      <c r="J2979" s="181">
        <f>I2979/D2977</f>
        <v>68</v>
      </c>
      <c r="K2979" s="181">
        <v>68</v>
      </c>
    </row>
    <row r="2980" spans="1:11" ht="13.5" customHeight="1" x14ac:dyDescent="0.35">
      <c r="A2980" s="270">
        <f>A2977+1</f>
        <v>21</v>
      </c>
      <c r="B2980" s="270">
        <v>1349</v>
      </c>
      <c r="C2980" s="262" t="s">
        <v>107</v>
      </c>
      <c r="D2980" s="273">
        <v>639.14</v>
      </c>
      <c r="E2980" s="267" t="s">
        <v>74</v>
      </c>
      <c r="F2980" s="267">
        <v>2</v>
      </c>
      <c r="G2980" s="277" t="s">
        <v>71</v>
      </c>
      <c r="H2980" s="136" t="s">
        <v>72</v>
      </c>
      <c r="I2980" s="181">
        <f>I2981+I2982+I2983+I2984</f>
        <v>6346021.0599999996</v>
      </c>
      <c r="J2980" s="181">
        <f>J2981+J2982+J2983+J2984</f>
        <v>9929</v>
      </c>
      <c r="K2980" s="181">
        <f>K2981+K2982+K2983+K2984</f>
        <v>9929</v>
      </c>
    </row>
    <row r="2981" spans="1:11" x14ac:dyDescent="0.35">
      <c r="A2981" s="271"/>
      <c r="B2981" s="271"/>
      <c r="C2981" s="263"/>
      <c r="D2981" s="274"/>
      <c r="E2981" s="268"/>
      <c r="F2981" s="268"/>
      <c r="G2981" s="277"/>
      <c r="H2981" s="136" t="s">
        <v>73</v>
      </c>
      <c r="I2981" s="181">
        <f>D2980*K2981</f>
        <v>4421570.5199999996</v>
      </c>
      <c r="J2981" s="181">
        <f>I2981/D2980</f>
        <v>6918</v>
      </c>
      <c r="K2981" s="181">
        <v>6918</v>
      </c>
    </row>
    <row r="2982" spans="1:11" x14ac:dyDescent="0.35">
      <c r="A2982" s="271"/>
      <c r="B2982" s="271"/>
      <c r="C2982" s="263"/>
      <c r="D2982" s="274"/>
      <c r="E2982" s="268"/>
      <c r="F2982" s="268"/>
      <c r="G2982" s="277"/>
      <c r="H2982" s="136" t="s">
        <v>75</v>
      </c>
      <c r="I2982" s="181">
        <f>D2980*K2982</f>
        <v>94592.72</v>
      </c>
      <c r="J2982" s="181">
        <f>I2982/D2980</f>
        <v>148</v>
      </c>
      <c r="K2982" s="181">
        <v>148</v>
      </c>
    </row>
    <row r="2983" spans="1:11" x14ac:dyDescent="0.35">
      <c r="A2983" s="271"/>
      <c r="B2983" s="271"/>
      <c r="C2983" s="263"/>
      <c r="D2983" s="274"/>
      <c r="E2983" s="268"/>
      <c r="F2983" s="268"/>
      <c r="G2983" s="270" t="s">
        <v>108</v>
      </c>
      <c r="H2983" s="136" t="s">
        <v>73</v>
      </c>
      <c r="I2983" s="181">
        <f>D2980*K2983</f>
        <v>1791509.42</v>
      </c>
      <c r="J2983" s="181">
        <f>I2983/D2980</f>
        <v>2803</v>
      </c>
      <c r="K2983" s="181">
        <v>2803</v>
      </c>
    </row>
    <row r="2984" spans="1:11" x14ac:dyDescent="0.35">
      <c r="A2984" s="272"/>
      <c r="B2984" s="272"/>
      <c r="C2984" s="264"/>
      <c r="D2984" s="275"/>
      <c r="E2984" s="269"/>
      <c r="F2984" s="269"/>
      <c r="G2984" s="272"/>
      <c r="H2984" s="136" t="s">
        <v>75</v>
      </c>
      <c r="I2984" s="181">
        <f>D2980*K2984</f>
        <v>38348.400000000001</v>
      </c>
      <c r="J2984" s="181">
        <f>I2984/D2980</f>
        <v>60</v>
      </c>
      <c r="K2984" s="181">
        <v>60</v>
      </c>
    </row>
    <row r="2985" spans="1:11" x14ac:dyDescent="0.35">
      <c r="A2985" s="277">
        <f>A2980+1</f>
        <v>22</v>
      </c>
      <c r="B2985" s="277">
        <v>1286</v>
      </c>
      <c r="C2985" s="266" t="s">
        <v>109</v>
      </c>
      <c r="D2985" s="287">
        <v>3177.26</v>
      </c>
      <c r="E2985" s="276" t="s">
        <v>74</v>
      </c>
      <c r="F2985" s="276">
        <v>5</v>
      </c>
      <c r="G2985" s="277" t="s">
        <v>71</v>
      </c>
      <c r="H2985" s="136" t="s">
        <v>72</v>
      </c>
      <c r="I2985" s="181">
        <f>I2986+I2987</f>
        <v>10300676.92</v>
      </c>
      <c r="J2985" s="181">
        <f>J2986+J2987</f>
        <v>3242</v>
      </c>
      <c r="K2985" s="181">
        <f>K2986+K2987</f>
        <v>3242</v>
      </c>
    </row>
    <row r="2986" spans="1:11" x14ac:dyDescent="0.35">
      <c r="A2986" s="277">
        <v>75</v>
      </c>
      <c r="B2986" s="277"/>
      <c r="C2986" s="266"/>
      <c r="D2986" s="287"/>
      <c r="E2986" s="276"/>
      <c r="F2986" s="276"/>
      <c r="G2986" s="277"/>
      <c r="H2986" s="136" t="s">
        <v>73</v>
      </c>
      <c r="I2986" s="181">
        <f>D2985*K2986</f>
        <v>10084623.24</v>
      </c>
      <c r="J2986" s="181">
        <f>I2986/D2985</f>
        <v>3174</v>
      </c>
      <c r="K2986" s="181">
        <v>3174</v>
      </c>
    </row>
    <row r="2987" spans="1:11" x14ac:dyDescent="0.35">
      <c r="A2987" s="277">
        <v>76</v>
      </c>
      <c r="B2987" s="277"/>
      <c r="C2987" s="266"/>
      <c r="D2987" s="287"/>
      <c r="E2987" s="276"/>
      <c r="F2987" s="276"/>
      <c r="G2987" s="277"/>
      <c r="H2987" s="136" t="s">
        <v>75</v>
      </c>
      <c r="I2987" s="181">
        <f>D2985*K2987</f>
        <v>216053.68</v>
      </c>
      <c r="J2987" s="181">
        <f>I2987/D2985</f>
        <v>68</v>
      </c>
      <c r="K2987" s="181">
        <v>68</v>
      </c>
    </row>
    <row r="2988" spans="1:11" x14ac:dyDescent="0.35">
      <c r="A2988" s="277">
        <f>A2985+1</f>
        <v>23</v>
      </c>
      <c r="B2988" s="277">
        <v>1490</v>
      </c>
      <c r="C2988" s="266" t="s">
        <v>110</v>
      </c>
      <c r="D2988" s="287">
        <v>3162.22</v>
      </c>
      <c r="E2988" s="276" t="s">
        <v>74</v>
      </c>
      <c r="F2988" s="276">
        <v>5</v>
      </c>
      <c r="G2988" s="277" t="s">
        <v>71</v>
      </c>
      <c r="H2988" s="136" t="s">
        <v>72</v>
      </c>
      <c r="I2988" s="181">
        <f>I2989+I2990</f>
        <v>10251917.24</v>
      </c>
      <c r="J2988" s="181">
        <f>J2989+J2990</f>
        <v>3242</v>
      </c>
      <c r="K2988" s="181">
        <f>K2989+K2990</f>
        <v>3242</v>
      </c>
    </row>
    <row r="2989" spans="1:11" x14ac:dyDescent="0.35">
      <c r="A2989" s="277">
        <v>75</v>
      </c>
      <c r="B2989" s="277"/>
      <c r="C2989" s="266"/>
      <c r="D2989" s="287"/>
      <c r="E2989" s="276"/>
      <c r="F2989" s="276"/>
      <c r="G2989" s="277"/>
      <c r="H2989" s="136" t="s">
        <v>73</v>
      </c>
      <c r="I2989" s="181">
        <f>D2988*K2989</f>
        <v>10036886.279999999</v>
      </c>
      <c r="J2989" s="181">
        <f>I2989/D2988</f>
        <v>3174</v>
      </c>
      <c r="K2989" s="181">
        <v>3174</v>
      </c>
    </row>
    <row r="2990" spans="1:11" x14ac:dyDescent="0.35">
      <c r="A2990" s="277">
        <v>76</v>
      </c>
      <c r="B2990" s="277"/>
      <c r="C2990" s="266"/>
      <c r="D2990" s="287"/>
      <c r="E2990" s="276"/>
      <c r="F2990" s="276"/>
      <c r="G2990" s="277"/>
      <c r="H2990" s="136" t="s">
        <v>75</v>
      </c>
      <c r="I2990" s="181">
        <f>D2988*K2990</f>
        <v>215030.96</v>
      </c>
      <c r="J2990" s="181">
        <f>I2990/D2988</f>
        <v>68</v>
      </c>
      <c r="K2990" s="181">
        <v>68</v>
      </c>
    </row>
    <row r="2991" spans="1:11" x14ac:dyDescent="0.35">
      <c r="A2991" s="277">
        <f>A2988+1</f>
        <v>24</v>
      </c>
      <c r="B2991" s="277">
        <v>1492</v>
      </c>
      <c r="C2991" s="266" t="s">
        <v>111</v>
      </c>
      <c r="D2991" s="287">
        <v>3144.5</v>
      </c>
      <c r="E2991" s="276" t="s">
        <v>74</v>
      </c>
      <c r="F2991" s="276">
        <v>5</v>
      </c>
      <c r="G2991" s="277" t="s">
        <v>71</v>
      </c>
      <c r="H2991" s="136" t="s">
        <v>72</v>
      </c>
      <c r="I2991" s="181">
        <f>I2992+I2993</f>
        <v>10194469</v>
      </c>
      <c r="J2991" s="181">
        <f>J2992+J2993</f>
        <v>3242</v>
      </c>
      <c r="K2991" s="181">
        <f>K2992+K2993</f>
        <v>3242</v>
      </c>
    </row>
    <row r="2992" spans="1:11" x14ac:dyDescent="0.35">
      <c r="A2992" s="277">
        <v>75</v>
      </c>
      <c r="B2992" s="277"/>
      <c r="C2992" s="266"/>
      <c r="D2992" s="287"/>
      <c r="E2992" s="276"/>
      <c r="F2992" s="276"/>
      <c r="G2992" s="277"/>
      <c r="H2992" s="136" t="s">
        <v>73</v>
      </c>
      <c r="I2992" s="181">
        <f>D2991*K2992</f>
        <v>9980643</v>
      </c>
      <c r="J2992" s="181">
        <f>I2992/D2991</f>
        <v>3174</v>
      </c>
      <c r="K2992" s="181">
        <v>3174</v>
      </c>
    </row>
    <row r="2993" spans="1:11" x14ac:dyDescent="0.35">
      <c r="A2993" s="277">
        <v>76</v>
      </c>
      <c r="B2993" s="277"/>
      <c r="C2993" s="266"/>
      <c r="D2993" s="287"/>
      <c r="E2993" s="276"/>
      <c r="F2993" s="276"/>
      <c r="G2993" s="277"/>
      <c r="H2993" s="136" t="s">
        <v>75</v>
      </c>
      <c r="I2993" s="181">
        <f>D2991*K2993</f>
        <v>213826</v>
      </c>
      <c r="J2993" s="181">
        <f>I2993/D2991</f>
        <v>68</v>
      </c>
      <c r="K2993" s="181">
        <v>68</v>
      </c>
    </row>
    <row r="2994" spans="1:11" x14ac:dyDescent="0.35">
      <c r="A2994" s="277">
        <f>A2991+1</f>
        <v>25</v>
      </c>
      <c r="B2994" s="277">
        <v>1263</v>
      </c>
      <c r="C2994" s="266" t="s">
        <v>87</v>
      </c>
      <c r="D2994" s="287">
        <v>2040.56</v>
      </c>
      <c r="E2994" s="276" t="s">
        <v>74</v>
      </c>
      <c r="F2994" s="276">
        <v>3</v>
      </c>
      <c r="G2994" s="277" t="s">
        <v>86</v>
      </c>
      <c r="H2994" s="136" t="s">
        <v>72</v>
      </c>
      <c r="I2994" s="181">
        <f>I2995+I2996</f>
        <v>1216173.76</v>
      </c>
      <c r="J2994" s="181">
        <f>J2995+J2996</f>
        <v>596</v>
      </c>
      <c r="K2994" s="181">
        <f>K2995+K2996</f>
        <v>596</v>
      </c>
    </row>
    <row r="2995" spans="1:11" x14ac:dyDescent="0.35">
      <c r="A2995" s="277">
        <v>75</v>
      </c>
      <c r="B2995" s="277"/>
      <c r="C2995" s="266"/>
      <c r="D2995" s="287"/>
      <c r="E2995" s="276"/>
      <c r="F2995" s="276"/>
      <c r="G2995" s="277"/>
      <c r="H2995" s="136" t="s">
        <v>73</v>
      </c>
      <c r="I2995" s="181">
        <f>D2994*K2995</f>
        <v>1191687.04</v>
      </c>
      <c r="J2995" s="181">
        <f>I2995/D2994</f>
        <v>584</v>
      </c>
      <c r="K2995" s="181">
        <v>584</v>
      </c>
    </row>
    <row r="2996" spans="1:11" x14ac:dyDescent="0.35">
      <c r="A2996" s="277">
        <v>76</v>
      </c>
      <c r="B2996" s="277"/>
      <c r="C2996" s="266"/>
      <c r="D2996" s="287"/>
      <c r="E2996" s="276"/>
      <c r="F2996" s="276"/>
      <c r="G2996" s="277"/>
      <c r="H2996" s="136" t="s">
        <v>75</v>
      </c>
      <c r="I2996" s="181">
        <f>D2994*K2996</f>
        <v>24486.720000000001</v>
      </c>
      <c r="J2996" s="181">
        <f>I2996/D2994</f>
        <v>12</v>
      </c>
      <c r="K2996" s="181">
        <v>12</v>
      </c>
    </row>
    <row r="2997" spans="1:11" x14ac:dyDescent="0.35">
      <c r="A2997" s="277">
        <f>A2994+1</f>
        <v>26</v>
      </c>
      <c r="B2997" s="277">
        <v>1264</v>
      </c>
      <c r="C2997" s="266" t="s">
        <v>112</v>
      </c>
      <c r="D2997" s="287">
        <v>2815.1</v>
      </c>
      <c r="E2997" s="276" t="s">
        <v>74</v>
      </c>
      <c r="F2997" s="276">
        <v>5</v>
      </c>
      <c r="G2997" s="277" t="s">
        <v>71</v>
      </c>
      <c r="H2997" s="136" t="s">
        <v>72</v>
      </c>
      <c r="I2997" s="181">
        <f>I2998+I2999</f>
        <v>9126554.1999999993</v>
      </c>
      <c r="J2997" s="181">
        <f>J2998+J2999</f>
        <v>3242</v>
      </c>
      <c r="K2997" s="181">
        <f>K2998+K2999</f>
        <v>3242</v>
      </c>
    </row>
    <row r="2998" spans="1:11" x14ac:dyDescent="0.35">
      <c r="A2998" s="277">
        <v>75</v>
      </c>
      <c r="B2998" s="277"/>
      <c r="C2998" s="266"/>
      <c r="D2998" s="287"/>
      <c r="E2998" s="276"/>
      <c r="F2998" s="276"/>
      <c r="G2998" s="277"/>
      <c r="H2998" s="136" t="s">
        <v>73</v>
      </c>
      <c r="I2998" s="181">
        <f>D2997*K2998</f>
        <v>8935127.4000000004</v>
      </c>
      <c r="J2998" s="181">
        <f>I2998/D2997</f>
        <v>3174</v>
      </c>
      <c r="K2998" s="181">
        <v>3174</v>
      </c>
    </row>
    <row r="2999" spans="1:11" x14ac:dyDescent="0.35">
      <c r="A2999" s="277">
        <v>76</v>
      </c>
      <c r="B2999" s="277"/>
      <c r="C2999" s="266"/>
      <c r="D2999" s="287"/>
      <c r="E2999" s="276"/>
      <c r="F2999" s="276"/>
      <c r="G2999" s="277"/>
      <c r="H2999" s="136" t="s">
        <v>75</v>
      </c>
      <c r="I2999" s="181">
        <f>D2997*K2999</f>
        <v>191426.8</v>
      </c>
      <c r="J2999" s="181">
        <f>I2999/D2997</f>
        <v>68</v>
      </c>
      <c r="K2999" s="181">
        <v>68</v>
      </c>
    </row>
    <row r="3000" spans="1:11" x14ac:dyDescent="0.35">
      <c r="A3000" s="277">
        <f>A2997+1</f>
        <v>27</v>
      </c>
      <c r="B3000" s="277">
        <v>1267</v>
      </c>
      <c r="C3000" s="286" t="s">
        <v>343</v>
      </c>
      <c r="D3000" s="287">
        <v>3044.9</v>
      </c>
      <c r="E3000" s="276" t="s">
        <v>74</v>
      </c>
      <c r="F3000" s="276">
        <v>5</v>
      </c>
      <c r="G3000" s="146"/>
      <c r="H3000" s="136" t="s">
        <v>72</v>
      </c>
      <c r="I3000" s="181">
        <f>SUM(I3001:I3006)</f>
        <v>13552849.9</v>
      </c>
      <c r="J3000" s="181">
        <f>SUM(J3001:J3006)</f>
        <v>4451</v>
      </c>
      <c r="K3000" s="181">
        <f>SUM(K3001:K3006)</f>
        <v>4451</v>
      </c>
    </row>
    <row r="3001" spans="1:11" x14ac:dyDescent="0.35">
      <c r="A3001" s="277"/>
      <c r="B3001" s="277"/>
      <c r="C3001" s="286"/>
      <c r="D3001" s="287"/>
      <c r="E3001" s="276"/>
      <c r="F3001" s="276"/>
      <c r="G3001" s="277" t="s">
        <v>81</v>
      </c>
      <c r="H3001" s="136" t="s">
        <v>73</v>
      </c>
      <c r="I3001" s="181">
        <f>K3001*D3000</f>
        <v>2542491.5</v>
      </c>
      <c r="J3001" s="181">
        <f>I3001/D3000</f>
        <v>835</v>
      </c>
      <c r="K3001" s="181">
        <v>835</v>
      </c>
    </row>
    <row r="3002" spans="1:11" x14ac:dyDescent="0.35">
      <c r="A3002" s="277"/>
      <c r="B3002" s="277"/>
      <c r="C3002" s="286"/>
      <c r="D3002" s="287"/>
      <c r="E3002" s="276"/>
      <c r="F3002" s="276"/>
      <c r="G3002" s="277"/>
      <c r="H3002" s="136" t="s">
        <v>75</v>
      </c>
      <c r="I3002" s="181">
        <f>K3002*D3000</f>
        <v>54808.2</v>
      </c>
      <c r="J3002" s="181">
        <f>I3002/D3000</f>
        <v>18</v>
      </c>
      <c r="K3002" s="181">
        <v>18</v>
      </c>
    </row>
    <row r="3003" spans="1:11" x14ac:dyDescent="0.35">
      <c r="A3003" s="277"/>
      <c r="B3003" s="277"/>
      <c r="C3003" s="286"/>
      <c r="D3003" s="287"/>
      <c r="E3003" s="276"/>
      <c r="F3003" s="276"/>
      <c r="G3003" s="277" t="s">
        <v>82</v>
      </c>
      <c r="H3003" s="136" t="s">
        <v>73</v>
      </c>
      <c r="I3003" s="181">
        <f>K3003*D3000</f>
        <v>1062670.1000000001</v>
      </c>
      <c r="J3003" s="181">
        <f>I3003/D3000</f>
        <v>349</v>
      </c>
      <c r="K3003" s="181">
        <v>349</v>
      </c>
    </row>
    <row r="3004" spans="1:11" x14ac:dyDescent="0.35">
      <c r="A3004" s="277"/>
      <c r="B3004" s="277"/>
      <c r="C3004" s="286"/>
      <c r="D3004" s="287"/>
      <c r="E3004" s="276"/>
      <c r="F3004" s="276"/>
      <c r="G3004" s="277"/>
      <c r="H3004" s="136" t="s">
        <v>75</v>
      </c>
      <c r="I3004" s="181">
        <f>K3004*D3000</f>
        <v>21314.3</v>
      </c>
      <c r="J3004" s="181">
        <f>I3004/D3000</f>
        <v>7</v>
      </c>
      <c r="K3004" s="181">
        <v>7</v>
      </c>
    </row>
    <row r="3005" spans="1:11" x14ac:dyDescent="0.35">
      <c r="A3005" s="277"/>
      <c r="B3005" s="277"/>
      <c r="C3005" s="286"/>
      <c r="D3005" s="287"/>
      <c r="E3005" s="276"/>
      <c r="F3005" s="276"/>
      <c r="G3005" s="277" t="s">
        <v>71</v>
      </c>
      <c r="H3005" s="136" t="s">
        <v>73</v>
      </c>
      <c r="I3005" s="181">
        <f>D3000*K3005</f>
        <v>9664512.5999999996</v>
      </c>
      <c r="J3005" s="181">
        <f>I3005/D3000</f>
        <v>3174</v>
      </c>
      <c r="K3005" s="181">
        <v>3174</v>
      </c>
    </row>
    <row r="3006" spans="1:11" x14ac:dyDescent="0.35">
      <c r="A3006" s="277"/>
      <c r="B3006" s="277"/>
      <c r="C3006" s="286"/>
      <c r="D3006" s="287"/>
      <c r="E3006" s="276"/>
      <c r="F3006" s="276"/>
      <c r="G3006" s="277"/>
      <c r="H3006" s="136" t="s">
        <v>75</v>
      </c>
      <c r="I3006" s="181">
        <f>D3000*K3006</f>
        <v>207053.2</v>
      </c>
      <c r="J3006" s="181">
        <f>I3006/D3000</f>
        <v>68</v>
      </c>
      <c r="K3006" s="181">
        <v>68</v>
      </c>
    </row>
    <row r="3007" spans="1:11" x14ac:dyDescent="0.35">
      <c r="A3007" s="270">
        <f>A3000+1</f>
        <v>28</v>
      </c>
      <c r="B3007" s="270">
        <v>1353</v>
      </c>
      <c r="C3007" s="278" t="s">
        <v>88</v>
      </c>
      <c r="D3007" s="273">
        <v>6993.5</v>
      </c>
      <c r="E3007" s="267" t="s">
        <v>74</v>
      </c>
      <c r="F3007" s="267">
        <v>5</v>
      </c>
      <c r="G3007" s="165"/>
      <c r="H3007" s="136" t="s">
        <v>72</v>
      </c>
      <c r="I3007" s="181">
        <f>I3008+I3009</f>
        <v>830827.8</v>
      </c>
      <c r="J3007" s="181">
        <f>J3008+J3009</f>
        <v>118.8</v>
      </c>
      <c r="K3007" s="181">
        <f>K3008+K3009</f>
        <v>168</v>
      </c>
    </row>
    <row r="3008" spans="1:11" x14ac:dyDescent="0.35">
      <c r="A3008" s="271"/>
      <c r="B3008" s="271"/>
      <c r="C3008" s="279"/>
      <c r="D3008" s="274"/>
      <c r="E3008" s="268"/>
      <c r="F3008" s="268"/>
      <c r="G3008" s="270" t="s">
        <v>83</v>
      </c>
      <c r="H3008" s="136" t="s">
        <v>73</v>
      </c>
      <c r="I3008" s="181">
        <f>K3008*D3007*0.7</f>
        <v>802853.8</v>
      </c>
      <c r="J3008" s="181">
        <f>I3008/D3007</f>
        <v>114.8</v>
      </c>
      <c r="K3008" s="181">
        <v>164</v>
      </c>
    </row>
    <row r="3009" spans="1:11" x14ac:dyDescent="0.35">
      <c r="A3009" s="272"/>
      <c r="B3009" s="272"/>
      <c r="C3009" s="285"/>
      <c r="D3009" s="275"/>
      <c r="E3009" s="269"/>
      <c r="F3009" s="269"/>
      <c r="G3009" s="272"/>
      <c r="H3009" s="136" t="s">
        <v>75</v>
      </c>
      <c r="I3009" s="181">
        <f>K3009*D3007</f>
        <v>27974</v>
      </c>
      <c r="J3009" s="181">
        <f>I3009/D3007</f>
        <v>4</v>
      </c>
      <c r="K3009" s="181">
        <v>4</v>
      </c>
    </row>
    <row r="3010" spans="1:11" x14ac:dyDescent="0.35">
      <c r="A3010" s="277">
        <f>A3007+1</f>
        <v>29</v>
      </c>
      <c r="B3010" s="277">
        <v>1301</v>
      </c>
      <c r="C3010" s="266" t="s">
        <v>113</v>
      </c>
      <c r="D3010" s="287">
        <v>3842.9</v>
      </c>
      <c r="E3010" s="276" t="s">
        <v>74</v>
      </c>
      <c r="F3010" s="276">
        <v>9</v>
      </c>
      <c r="G3010" s="277" t="s">
        <v>71</v>
      </c>
      <c r="H3010" s="136" t="s">
        <v>72</v>
      </c>
      <c r="I3010" s="181">
        <f>I3011+I3012</f>
        <v>8807926.8000000007</v>
      </c>
      <c r="J3010" s="181">
        <f>J3011+J3012</f>
        <v>2292</v>
      </c>
      <c r="K3010" s="181">
        <f>K3011+K3012</f>
        <v>2292</v>
      </c>
    </row>
    <row r="3011" spans="1:11" x14ac:dyDescent="0.35">
      <c r="A3011" s="277">
        <v>75</v>
      </c>
      <c r="B3011" s="277"/>
      <c r="C3011" s="266"/>
      <c r="D3011" s="287"/>
      <c r="E3011" s="276"/>
      <c r="F3011" s="276"/>
      <c r="G3011" s="277"/>
      <c r="H3011" s="136" t="s">
        <v>73</v>
      </c>
      <c r="I3011" s="181">
        <f>D3010*K3011</f>
        <v>8623467.5999999996</v>
      </c>
      <c r="J3011" s="181">
        <f>I3011/D3010</f>
        <v>2244</v>
      </c>
      <c r="K3011" s="181">
        <v>2244</v>
      </c>
    </row>
    <row r="3012" spans="1:11" x14ac:dyDescent="0.35">
      <c r="A3012" s="277">
        <v>76</v>
      </c>
      <c r="B3012" s="277"/>
      <c r="C3012" s="266"/>
      <c r="D3012" s="287"/>
      <c r="E3012" s="276"/>
      <c r="F3012" s="276"/>
      <c r="G3012" s="277"/>
      <c r="H3012" s="136" t="s">
        <v>75</v>
      </c>
      <c r="I3012" s="181">
        <f>D3010*K3012</f>
        <v>184459.2</v>
      </c>
      <c r="J3012" s="181">
        <f>I3012/D3010</f>
        <v>48</v>
      </c>
      <c r="K3012" s="181">
        <v>48</v>
      </c>
    </row>
    <row r="3013" spans="1:11" x14ac:dyDescent="0.35">
      <c r="A3013" s="270">
        <f>A3010+1</f>
        <v>30</v>
      </c>
      <c r="B3013" s="270">
        <v>1028</v>
      </c>
      <c r="C3013" s="262" t="s">
        <v>114</v>
      </c>
      <c r="D3013" s="273">
        <v>863.9</v>
      </c>
      <c r="E3013" s="267" t="s">
        <v>74</v>
      </c>
      <c r="F3013" s="267">
        <v>3</v>
      </c>
      <c r="G3013" s="167"/>
      <c r="H3013" s="136" t="s">
        <v>72</v>
      </c>
      <c r="I3013" s="181">
        <f>I3014+I3015+I3016+I3017</f>
        <v>804290.9</v>
      </c>
      <c r="J3013" s="181">
        <f>J3014+J3015+J3016+J3017</f>
        <v>931</v>
      </c>
      <c r="K3013" s="181">
        <f>K3014+K3015+K3016+K3017</f>
        <v>931</v>
      </c>
    </row>
    <row r="3014" spans="1:11" x14ac:dyDescent="0.35">
      <c r="A3014" s="271"/>
      <c r="B3014" s="271"/>
      <c r="C3014" s="263"/>
      <c r="D3014" s="274"/>
      <c r="E3014" s="268"/>
      <c r="F3014" s="268"/>
      <c r="G3014" s="270" t="s">
        <v>77</v>
      </c>
      <c r="H3014" s="136" t="s">
        <v>73</v>
      </c>
      <c r="I3014" s="181">
        <f>D3013*K3014</f>
        <v>399985.7</v>
      </c>
      <c r="J3014" s="181">
        <f>I3014/D3013</f>
        <v>463</v>
      </c>
      <c r="K3014" s="181">
        <v>463</v>
      </c>
    </row>
    <row r="3015" spans="1:11" x14ac:dyDescent="0.35">
      <c r="A3015" s="271"/>
      <c r="B3015" s="271"/>
      <c r="C3015" s="263"/>
      <c r="D3015" s="274"/>
      <c r="E3015" s="268"/>
      <c r="F3015" s="268"/>
      <c r="G3015" s="272"/>
      <c r="H3015" s="136" t="s">
        <v>75</v>
      </c>
      <c r="I3015" s="181">
        <f>D3013*K3015</f>
        <v>8639</v>
      </c>
      <c r="J3015" s="181">
        <f>I3015/D3013</f>
        <v>10</v>
      </c>
      <c r="K3015" s="181">
        <v>10</v>
      </c>
    </row>
    <row r="3016" spans="1:11" x14ac:dyDescent="0.35">
      <c r="A3016" s="271"/>
      <c r="B3016" s="271"/>
      <c r="C3016" s="263"/>
      <c r="D3016" s="274"/>
      <c r="E3016" s="268"/>
      <c r="F3016" s="268"/>
      <c r="G3016" s="270" t="s">
        <v>89</v>
      </c>
      <c r="H3016" s="136" t="s">
        <v>73</v>
      </c>
      <c r="I3016" s="181">
        <f>D3013*K3016</f>
        <v>387027.20000000001</v>
      </c>
      <c r="J3016" s="181">
        <f>I3016/D3013</f>
        <v>448</v>
      </c>
      <c r="K3016" s="181">
        <v>448</v>
      </c>
    </row>
    <row r="3017" spans="1:11" x14ac:dyDescent="0.35">
      <c r="A3017" s="272"/>
      <c r="B3017" s="272"/>
      <c r="C3017" s="264"/>
      <c r="D3017" s="275"/>
      <c r="E3017" s="269"/>
      <c r="F3017" s="269"/>
      <c r="G3017" s="272"/>
      <c r="H3017" s="136" t="s">
        <v>75</v>
      </c>
      <c r="I3017" s="181">
        <f>D3013*K3017</f>
        <v>8639</v>
      </c>
      <c r="J3017" s="181">
        <f>I3017/D3013</f>
        <v>10</v>
      </c>
      <c r="K3017" s="181">
        <v>10</v>
      </c>
    </row>
    <row r="3018" spans="1:11" x14ac:dyDescent="0.35">
      <c r="A3018" s="277">
        <f>A3013+1</f>
        <v>31</v>
      </c>
      <c r="B3018" s="277">
        <v>1079</v>
      </c>
      <c r="C3018" s="266" t="s">
        <v>115</v>
      </c>
      <c r="D3018" s="287">
        <v>278.60000000000002</v>
      </c>
      <c r="E3018" s="276" t="s">
        <v>74</v>
      </c>
      <c r="F3018" s="276">
        <v>2</v>
      </c>
      <c r="G3018" s="277" t="s">
        <v>71</v>
      </c>
      <c r="H3018" s="136" t="s">
        <v>72</v>
      </c>
      <c r="I3018" s="181">
        <f>I3019+I3020</f>
        <v>1968587.6</v>
      </c>
      <c r="J3018" s="181">
        <f>J3019+J3020</f>
        <v>7066</v>
      </c>
      <c r="K3018" s="181">
        <f>K3019+K3020</f>
        <v>7066</v>
      </c>
    </row>
    <row r="3019" spans="1:11" x14ac:dyDescent="0.35">
      <c r="A3019" s="277">
        <v>75</v>
      </c>
      <c r="B3019" s="277"/>
      <c r="C3019" s="266"/>
      <c r="D3019" s="287"/>
      <c r="E3019" s="276"/>
      <c r="F3019" s="276"/>
      <c r="G3019" s="277"/>
      <c r="H3019" s="136" t="s">
        <v>73</v>
      </c>
      <c r="I3019" s="181">
        <f>D3018*K3019</f>
        <v>1927354.8</v>
      </c>
      <c r="J3019" s="181">
        <f>I3019/D3018</f>
        <v>6918</v>
      </c>
      <c r="K3019" s="181">
        <v>6918</v>
      </c>
    </row>
    <row r="3020" spans="1:11" x14ac:dyDescent="0.35">
      <c r="A3020" s="277">
        <v>76</v>
      </c>
      <c r="B3020" s="277"/>
      <c r="C3020" s="266"/>
      <c r="D3020" s="287"/>
      <c r="E3020" s="276"/>
      <c r="F3020" s="276"/>
      <c r="G3020" s="277"/>
      <c r="H3020" s="136" t="s">
        <v>75</v>
      </c>
      <c r="I3020" s="181">
        <f>D3018*K3020</f>
        <v>41232.800000000003</v>
      </c>
      <c r="J3020" s="181">
        <f>I3020/D3018</f>
        <v>148</v>
      </c>
      <c r="K3020" s="181">
        <v>148</v>
      </c>
    </row>
    <row r="3021" spans="1:11" x14ac:dyDescent="0.35">
      <c r="A3021" s="277">
        <f>A3018+1</f>
        <v>32</v>
      </c>
      <c r="B3021" s="270">
        <v>3306</v>
      </c>
      <c r="C3021" s="278" t="s">
        <v>791</v>
      </c>
      <c r="D3021" s="273">
        <v>2855.9</v>
      </c>
      <c r="E3021" s="267" t="s">
        <v>70</v>
      </c>
      <c r="F3021" s="267">
        <v>5</v>
      </c>
      <c r="G3021" s="270" t="s">
        <v>71</v>
      </c>
      <c r="H3021" s="136" t="s">
        <v>72</v>
      </c>
      <c r="I3021" s="181">
        <f>I3022+I3023</f>
        <v>9258827.8000000007</v>
      </c>
      <c r="J3021" s="181">
        <f>J3022+J3023</f>
        <v>3242</v>
      </c>
      <c r="K3021" s="181">
        <f>K3022+K3023</f>
        <v>3242</v>
      </c>
    </row>
    <row r="3022" spans="1:11" x14ac:dyDescent="0.35">
      <c r="A3022" s="271"/>
      <c r="B3022" s="271"/>
      <c r="C3022" s="279"/>
      <c r="D3022" s="274"/>
      <c r="E3022" s="268"/>
      <c r="F3022" s="268"/>
      <c r="G3022" s="271"/>
      <c r="H3022" s="136" t="s">
        <v>73</v>
      </c>
      <c r="I3022" s="181">
        <f>D3021*K3022</f>
        <v>9064626.5999999996</v>
      </c>
      <c r="J3022" s="181">
        <f>I3022/D3021</f>
        <v>3174</v>
      </c>
      <c r="K3022" s="181">
        <v>3174</v>
      </c>
    </row>
    <row r="3023" spans="1:11" x14ac:dyDescent="0.35">
      <c r="A3023" s="272"/>
      <c r="B3023" s="272"/>
      <c r="C3023" s="285"/>
      <c r="D3023" s="275"/>
      <c r="E3023" s="269"/>
      <c r="F3023" s="269"/>
      <c r="G3023" s="272"/>
      <c r="H3023" s="136" t="s">
        <v>75</v>
      </c>
      <c r="I3023" s="181">
        <f>D3021*K3023</f>
        <v>194201.2</v>
      </c>
      <c r="J3023" s="181">
        <f>I3023/D3021</f>
        <v>68</v>
      </c>
      <c r="K3023" s="181">
        <v>68</v>
      </c>
    </row>
    <row r="3024" spans="1:11" x14ac:dyDescent="0.35">
      <c r="A3024" s="277">
        <f>A3021+1</f>
        <v>33</v>
      </c>
      <c r="B3024" s="270">
        <v>3307</v>
      </c>
      <c r="C3024" s="278" t="s">
        <v>792</v>
      </c>
      <c r="D3024" s="273">
        <v>2885.4</v>
      </c>
      <c r="E3024" s="267" t="s">
        <v>70</v>
      </c>
      <c r="F3024" s="267">
        <v>5</v>
      </c>
      <c r="G3024" s="270" t="s">
        <v>71</v>
      </c>
      <c r="H3024" s="136" t="s">
        <v>72</v>
      </c>
      <c r="I3024" s="181">
        <f>I3025+I3026</f>
        <v>9354466.8000000007</v>
      </c>
      <c r="J3024" s="181">
        <f>J3025+J3026</f>
        <v>3242</v>
      </c>
      <c r="K3024" s="181">
        <f>K3025+K3026</f>
        <v>3242</v>
      </c>
    </row>
    <row r="3025" spans="1:11" x14ac:dyDescent="0.35">
      <c r="A3025" s="271"/>
      <c r="B3025" s="271"/>
      <c r="C3025" s="279"/>
      <c r="D3025" s="274"/>
      <c r="E3025" s="268"/>
      <c r="F3025" s="268"/>
      <c r="G3025" s="271"/>
      <c r="H3025" s="136" t="s">
        <v>73</v>
      </c>
      <c r="I3025" s="181">
        <f>D3024*K3025</f>
        <v>9158259.5999999996</v>
      </c>
      <c r="J3025" s="181">
        <f>I3025/D3024</f>
        <v>3174</v>
      </c>
      <c r="K3025" s="181">
        <v>3174</v>
      </c>
    </row>
    <row r="3026" spans="1:11" x14ac:dyDescent="0.35">
      <c r="A3026" s="272"/>
      <c r="B3026" s="272"/>
      <c r="C3026" s="285"/>
      <c r="D3026" s="275"/>
      <c r="E3026" s="269"/>
      <c r="F3026" s="269"/>
      <c r="G3026" s="272"/>
      <c r="H3026" s="136" t="s">
        <v>75</v>
      </c>
      <c r="I3026" s="181">
        <f>D3024*K3026</f>
        <v>196207.2</v>
      </c>
      <c r="J3026" s="181">
        <f>I3026/D3024</f>
        <v>68</v>
      </c>
      <c r="K3026" s="181">
        <v>68</v>
      </c>
    </row>
    <row r="3027" spans="1:11" x14ac:dyDescent="0.35">
      <c r="A3027" s="277">
        <f>A3024+1</f>
        <v>34</v>
      </c>
      <c r="B3027" s="277">
        <v>4292</v>
      </c>
      <c r="C3027" s="266" t="s">
        <v>116</v>
      </c>
      <c r="D3027" s="287">
        <v>3198.2</v>
      </c>
      <c r="E3027" s="276" t="s">
        <v>74</v>
      </c>
      <c r="F3027" s="276">
        <v>5</v>
      </c>
      <c r="G3027" s="277" t="s">
        <v>71</v>
      </c>
      <c r="H3027" s="136" t="s">
        <v>72</v>
      </c>
      <c r="I3027" s="181">
        <f>I3028+I3029</f>
        <v>8662580.0999999996</v>
      </c>
      <c r="J3027" s="181">
        <f>J3028+J3029</f>
        <v>2708.58</v>
      </c>
      <c r="K3027" s="181">
        <f>K3028+K3029</f>
        <v>3242</v>
      </c>
    </row>
    <row r="3028" spans="1:11" x14ac:dyDescent="0.35">
      <c r="A3028" s="277">
        <v>75</v>
      </c>
      <c r="B3028" s="277"/>
      <c r="C3028" s="266"/>
      <c r="D3028" s="287"/>
      <c r="E3028" s="276"/>
      <c r="F3028" s="276"/>
      <c r="G3028" s="277"/>
      <c r="H3028" s="136" t="s">
        <v>73</v>
      </c>
      <c r="I3028" s="181">
        <f>(6880912+1922+163597.44)*1.02*1.18</f>
        <v>8481084.8800000008</v>
      </c>
      <c r="J3028" s="181">
        <f>I3028/D3027</f>
        <v>2651.83</v>
      </c>
      <c r="K3028" s="181">
        <v>3174</v>
      </c>
    </row>
    <row r="3029" spans="1:11" x14ac:dyDescent="0.35">
      <c r="A3029" s="277">
        <v>76</v>
      </c>
      <c r="B3029" s="277"/>
      <c r="C3029" s="266"/>
      <c r="D3029" s="287"/>
      <c r="E3029" s="276"/>
      <c r="F3029" s="276"/>
      <c r="G3029" s="277"/>
      <c r="H3029" s="136" t="s">
        <v>75</v>
      </c>
      <c r="I3029" s="181">
        <f>I3028*0.0214</f>
        <v>181495.22</v>
      </c>
      <c r="J3029" s="181">
        <f>I3029/D3027</f>
        <v>56.75</v>
      </c>
      <c r="K3029" s="181">
        <v>68</v>
      </c>
    </row>
    <row r="3030" spans="1:11" x14ac:dyDescent="0.35">
      <c r="A3030" s="277">
        <f>A3027+1</f>
        <v>35</v>
      </c>
      <c r="B3030" s="277">
        <v>4347</v>
      </c>
      <c r="C3030" s="266" t="s">
        <v>117</v>
      </c>
      <c r="D3030" s="287">
        <v>4495.8999999999996</v>
      </c>
      <c r="E3030" s="276" t="s">
        <v>74</v>
      </c>
      <c r="F3030" s="276">
        <v>5</v>
      </c>
      <c r="G3030" s="277" t="s">
        <v>71</v>
      </c>
      <c r="H3030" s="136" t="s">
        <v>72</v>
      </c>
      <c r="I3030" s="181">
        <f>I3031+I3032</f>
        <v>14575707.800000001</v>
      </c>
      <c r="J3030" s="181">
        <f>J3031+J3032</f>
        <v>3242</v>
      </c>
      <c r="K3030" s="181">
        <f>K3031+K3032</f>
        <v>3242</v>
      </c>
    </row>
    <row r="3031" spans="1:11" x14ac:dyDescent="0.35">
      <c r="A3031" s="277">
        <v>75</v>
      </c>
      <c r="B3031" s="277"/>
      <c r="C3031" s="266"/>
      <c r="D3031" s="287"/>
      <c r="E3031" s="276"/>
      <c r="F3031" s="276"/>
      <c r="G3031" s="277"/>
      <c r="H3031" s="136" t="s">
        <v>73</v>
      </c>
      <c r="I3031" s="181">
        <f>D3030*K3031</f>
        <v>14269986.6</v>
      </c>
      <c r="J3031" s="181">
        <f>I3031/D3030</f>
        <v>3174</v>
      </c>
      <c r="K3031" s="181">
        <v>3174</v>
      </c>
    </row>
    <row r="3032" spans="1:11" x14ac:dyDescent="0.35">
      <c r="A3032" s="277">
        <v>76</v>
      </c>
      <c r="B3032" s="277"/>
      <c r="C3032" s="266"/>
      <c r="D3032" s="287"/>
      <c r="E3032" s="276"/>
      <c r="F3032" s="276"/>
      <c r="G3032" s="277"/>
      <c r="H3032" s="136" t="s">
        <v>75</v>
      </c>
      <c r="I3032" s="181">
        <f>D3030*K3032</f>
        <v>305721.2</v>
      </c>
      <c r="J3032" s="181">
        <f>I3032/D3030</f>
        <v>68</v>
      </c>
      <c r="K3032" s="181">
        <v>68</v>
      </c>
    </row>
    <row r="3033" spans="1:11" x14ac:dyDescent="0.35">
      <c r="A3033" s="277">
        <f>A3030+1</f>
        <v>36</v>
      </c>
      <c r="B3033" s="277">
        <v>3200</v>
      </c>
      <c r="C3033" s="266" t="s">
        <v>118</v>
      </c>
      <c r="D3033" s="287">
        <v>1603.2</v>
      </c>
      <c r="E3033" s="276" t="s">
        <v>74</v>
      </c>
      <c r="F3033" s="276">
        <v>5</v>
      </c>
      <c r="G3033" s="277" t="s">
        <v>71</v>
      </c>
      <c r="H3033" s="136" t="s">
        <v>72</v>
      </c>
      <c r="I3033" s="181">
        <f>I3034+I3035</f>
        <v>5145220.59</v>
      </c>
      <c r="J3033" s="181">
        <f>J3034+J3035</f>
        <v>3209.34</v>
      </c>
      <c r="K3033" s="181">
        <f>K3034+K3035</f>
        <v>3242</v>
      </c>
    </row>
    <row r="3034" spans="1:11" x14ac:dyDescent="0.35">
      <c r="A3034" s="277">
        <v>75</v>
      </c>
      <c r="B3034" s="277"/>
      <c r="C3034" s="266"/>
      <c r="D3034" s="287"/>
      <c r="E3034" s="276"/>
      <c r="F3034" s="276"/>
      <c r="G3034" s="277"/>
      <c r="H3034" s="136" t="s">
        <v>73</v>
      </c>
      <c r="I3034" s="181">
        <f>(4086433+1806+97054.96)*1.02*1.18</f>
        <v>5037419.8099999996</v>
      </c>
      <c r="J3034" s="181">
        <f>I3034/D3033</f>
        <v>3142.1</v>
      </c>
      <c r="K3034" s="181">
        <v>3174</v>
      </c>
    </row>
    <row r="3035" spans="1:11" x14ac:dyDescent="0.35">
      <c r="A3035" s="277">
        <v>76</v>
      </c>
      <c r="B3035" s="277"/>
      <c r="C3035" s="266"/>
      <c r="D3035" s="287"/>
      <c r="E3035" s="276"/>
      <c r="F3035" s="276"/>
      <c r="G3035" s="277"/>
      <c r="H3035" s="136" t="s">
        <v>75</v>
      </c>
      <c r="I3035" s="181">
        <f>I3034*0.0214</f>
        <v>107800.78</v>
      </c>
      <c r="J3035" s="181">
        <f>I3035/D3033</f>
        <v>67.239999999999995</v>
      </c>
      <c r="K3035" s="181">
        <v>68</v>
      </c>
    </row>
    <row r="3036" spans="1:11" x14ac:dyDescent="0.35">
      <c r="A3036" s="277">
        <f>A3033+1</f>
        <v>37</v>
      </c>
      <c r="B3036" s="277">
        <v>3091</v>
      </c>
      <c r="C3036" s="266" t="s">
        <v>119</v>
      </c>
      <c r="D3036" s="287">
        <v>3532.6</v>
      </c>
      <c r="E3036" s="276" t="s">
        <v>70</v>
      </c>
      <c r="F3036" s="276">
        <v>5</v>
      </c>
      <c r="G3036" s="277" t="s">
        <v>71</v>
      </c>
      <c r="H3036" s="136" t="s">
        <v>72</v>
      </c>
      <c r="I3036" s="181">
        <f>I3037+I3038</f>
        <v>11452689.199999999</v>
      </c>
      <c r="J3036" s="181">
        <f>J3037+J3038</f>
        <v>3242</v>
      </c>
      <c r="K3036" s="181">
        <f>K3037+K3038</f>
        <v>3242</v>
      </c>
    </row>
    <row r="3037" spans="1:11" x14ac:dyDescent="0.35">
      <c r="A3037" s="277">
        <v>75</v>
      </c>
      <c r="B3037" s="277"/>
      <c r="C3037" s="266"/>
      <c r="D3037" s="287"/>
      <c r="E3037" s="276"/>
      <c r="F3037" s="276"/>
      <c r="G3037" s="277"/>
      <c r="H3037" s="136" t="s">
        <v>73</v>
      </c>
      <c r="I3037" s="181">
        <f>D3036*K3037</f>
        <v>11212472.4</v>
      </c>
      <c r="J3037" s="181">
        <f>I3037/D3036</f>
        <v>3174</v>
      </c>
      <c r="K3037" s="181">
        <v>3174</v>
      </c>
    </row>
    <row r="3038" spans="1:11" x14ac:dyDescent="0.35">
      <c r="A3038" s="277">
        <v>76</v>
      </c>
      <c r="B3038" s="277"/>
      <c r="C3038" s="266"/>
      <c r="D3038" s="287"/>
      <c r="E3038" s="276"/>
      <c r="F3038" s="276"/>
      <c r="G3038" s="277"/>
      <c r="H3038" s="136" t="s">
        <v>75</v>
      </c>
      <c r="I3038" s="181">
        <f>D3036*K3038</f>
        <v>240216.8</v>
      </c>
      <c r="J3038" s="181">
        <f>I3038/D3036</f>
        <v>68</v>
      </c>
      <c r="K3038" s="181">
        <v>68</v>
      </c>
    </row>
    <row r="3039" spans="1:11" x14ac:dyDescent="0.35">
      <c r="A3039" s="277">
        <f>A3036+1</f>
        <v>38</v>
      </c>
      <c r="B3039" s="270">
        <v>4050</v>
      </c>
      <c r="C3039" s="278" t="s">
        <v>120</v>
      </c>
      <c r="D3039" s="273">
        <v>3115</v>
      </c>
      <c r="E3039" s="267" t="s">
        <v>70</v>
      </c>
      <c r="F3039" s="267">
        <v>5</v>
      </c>
      <c r="G3039" s="270" t="s">
        <v>71</v>
      </c>
      <c r="H3039" s="136" t="s">
        <v>72</v>
      </c>
      <c r="I3039" s="181">
        <f>I3040+I3041</f>
        <v>10098830</v>
      </c>
      <c r="J3039" s="181">
        <f>J3040+J3041</f>
        <v>3242</v>
      </c>
      <c r="K3039" s="181">
        <f>K3040+K3041</f>
        <v>3242</v>
      </c>
    </row>
    <row r="3040" spans="1:11" x14ac:dyDescent="0.35">
      <c r="A3040" s="271"/>
      <c r="B3040" s="271"/>
      <c r="C3040" s="279"/>
      <c r="D3040" s="274"/>
      <c r="E3040" s="268"/>
      <c r="F3040" s="268"/>
      <c r="G3040" s="271"/>
      <c r="H3040" s="136" t="s">
        <v>73</v>
      </c>
      <c r="I3040" s="181">
        <f>D3039*K3040</f>
        <v>9887010</v>
      </c>
      <c r="J3040" s="181">
        <f>I3040/D3039</f>
        <v>3174</v>
      </c>
      <c r="K3040" s="181">
        <v>3174</v>
      </c>
    </row>
    <row r="3041" spans="1:214" x14ac:dyDescent="0.35">
      <c r="A3041" s="272"/>
      <c r="B3041" s="272"/>
      <c r="C3041" s="285"/>
      <c r="D3041" s="275"/>
      <c r="E3041" s="269"/>
      <c r="F3041" s="269"/>
      <c r="G3041" s="272"/>
      <c r="H3041" s="136" t="s">
        <v>75</v>
      </c>
      <c r="I3041" s="181">
        <f>D3039*K3041</f>
        <v>211820</v>
      </c>
      <c r="J3041" s="181">
        <f>I3041/D3039</f>
        <v>68</v>
      </c>
      <c r="K3041" s="181">
        <v>68</v>
      </c>
    </row>
    <row r="3042" spans="1:214" x14ac:dyDescent="0.35">
      <c r="A3042" s="277">
        <f>A3039+1</f>
        <v>39</v>
      </c>
      <c r="B3042" s="270">
        <v>4051</v>
      </c>
      <c r="C3042" s="278" t="s">
        <v>121</v>
      </c>
      <c r="D3042" s="273">
        <v>3115</v>
      </c>
      <c r="E3042" s="267" t="s">
        <v>70</v>
      </c>
      <c r="F3042" s="267">
        <v>5</v>
      </c>
      <c r="G3042" s="270" t="s">
        <v>71</v>
      </c>
      <c r="H3042" s="136" t="s">
        <v>72</v>
      </c>
      <c r="I3042" s="181">
        <f>I3043+I3044</f>
        <v>10098830</v>
      </c>
      <c r="J3042" s="181">
        <f>J3043+J3044</f>
        <v>3242</v>
      </c>
      <c r="K3042" s="181">
        <f>K3043+K3044</f>
        <v>3242</v>
      </c>
    </row>
    <row r="3043" spans="1:214" x14ac:dyDescent="0.35">
      <c r="A3043" s="271"/>
      <c r="B3043" s="271"/>
      <c r="C3043" s="279"/>
      <c r="D3043" s="274"/>
      <c r="E3043" s="268"/>
      <c r="F3043" s="268"/>
      <c r="G3043" s="271"/>
      <c r="H3043" s="136" t="s">
        <v>73</v>
      </c>
      <c r="I3043" s="181">
        <f>D3042*K3043</f>
        <v>9887010</v>
      </c>
      <c r="J3043" s="181">
        <f>I3043/D3042</f>
        <v>3174</v>
      </c>
      <c r="K3043" s="181">
        <v>3174</v>
      </c>
    </row>
    <row r="3044" spans="1:214" x14ac:dyDescent="0.35">
      <c r="A3044" s="272"/>
      <c r="B3044" s="272"/>
      <c r="C3044" s="285"/>
      <c r="D3044" s="275"/>
      <c r="E3044" s="269"/>
      <c r="F3044" s="269"/>
      <c r="G3044" s="272"/>
      <c r="H3044" s="136" t="s">
        <v>75</v>
      </c>
      <c r="I3044" s="181">
        <f>D3042*K3044</f>
        <v>211820</v>
      </c>
      <c r="J3044" s="181">
        <f>I3044/D3042</f>
        <v>68</v>
      </c>
      <c r="K3044" s="181">
        <v>68</v>
      </c>
    </row>
    <row r="3045" spans="1:214" x14ac:dyDescent="0.35">
      <c r="A3045" s="277">
        <f>A3042+1</f>
        <v>40</v>
      </c>
      <c r="B3045" s="270">
        <v>4052</v>
      </c>
      <c r="C3045" s="278" t="s">
        <v>122</v>
      </c>
      <c r="D3045" s="273">
        <v>3327.5</v>
      </c>
      <c r="E3045" s="267" t="s">
        <v>70</v>
      </c>
      <c r="F3045" s="267">
        <v>5</v>
      </c>
      <c r="G3045" s="270" t="s">
        <v>71</v>
      </c>
      <c r="H3045" s="136" t="s">
        <v>72</v>
      </c>
      <c r="I3045" s="181">
        <f>I3046+I3047</f>
        <v>10787755</v>
      </c>
      <c r="J3045" s="181">
        <f>J3046+J3047</f>
        <v>3242</v>
      </c>
      <c r="K3045" s="181">
        <f>K3046+K3047</f>
        <v>3242</v>
      </c>
    </row>
    <row r="3046" spans="1:214" x14ac:dyDescent="0.35">
      <c r="A3046" s="271"/>
      <c r="B3046" s="271"/>
      <c r="C3046" s="279"/>
      <c r="D3046" s="274"/>
      <c r="E3046" s="268"/>
      <c r="F3046" s="268"/>
      <c r="G3046" s="271"/>
      <c r="H3046" s="136" t="s">
        <v>73</v>
      </c>
      <c r="I3046" s="181">
        <f>D3045*K3046</f>
        <v>10561485</v>
      </c>
      <c r="J3046" s="181">
        <f>I3046/D3045</f>
        <v>3174</v>
      </c>
      <c r="K3046" s="181">
        <v>3174</v>
      </c>
    </row>
    <row r="3047" spans="1:214" x14ac:dyDescent="0.35">
      <c r="A3047" s="272"/>
      <c r="B3047" s="272"/>
      <c r="C3047" s="285"/>
      <c r="D3047" s="275"/>
      <c r="E3047" s="269"/>
      <c r="F3047" s="269"/>
      <c r="G3047" s="272"/>
      <c r="H3047" s="136" t="s">
        <v>75</v>
      </c>
      <c r="I3047" s="181">
        <f>D3045*K3047</f>
        <v>226270</v>
      </c>
      <c r="J3047" s="181">
        <f>I3047/D3045</f>
        <v>68</v>
      </c>
      <c r="K3047" s="181">
        <v>68</v>
      </c>
    </row>
    <row r="3048" spans="1:214" x14ac:dyDescent="0.35">
      <c r="A3048" s="270">
        <f>A3045+1</f>
        <v>41</v>
      </c>
      <c r="B3048" s="270">
        <v>4335</v>
      </c>
      <c r="C3048" s="262" t="s">
        <v>123</v>
      </c>
      <c r="D3048" s="273">
        <v>2109.1999999999998</v>
      </c>
      <c r="E3048" s="267" t="s">
        <v>74</v>
      </c>
      <c r="F3048" s="267">
        <v>5</v>
      </c>
      <c r="G3048" s="270" t="s">
        <v>84</v>
      </c>
      <c r="H3048" s="136" t="s">
        <v>72</v>
      </c>
      <c r="I3048" s="181">
        <f>I3049+I3050</f>
        <v>3374720</v>
      </c>
      <c r="J3048" s="181">
        <f>J3049+J3050</f>
        <v>1600</v>
      </c>
      <c r="K3048" s="181">
        <f>K3049+K3050</f>
        <v>1600</v>
      </c>
    </row>
    <row r="3049" spans="1:214" x14ac:dyDescent="0.35">
      <c r="A3049" s="271"/>
      <c r="B3049" s="271"/>
      <c r="C3049" s="263"/>
      <c r="D3049" s="274"/>
      <c r="E3049" s="268"/>
      <c r="F3049" s="268"/>
      <c r="G3049" s="271"/>
      <c r="H3049" s="136" t="s">
        <v>73</v>
      </c>
      <c r="I3049" s="181">
        <f>D3048*K3049</f>
        <v>3303007.2</v>
      </c>
      <c r="J3049" s="181">
        <f>I3049/D3048</f>
        <v>1566</v>
      </c>
      <c r="K3049" s="181">
        <v>1566</v>
      </c>
    </row>
    <row r="3050" spans="1:214" x14ac:dyDescent="0.35">
      <c r="A3050" s="272"/>
      <c r="B3050" s="272"/>
      <c r="C3050" s="264"/>
      <c r="D3050" s="275"/>
      <c r="E3050" s="269"/>
      <c r="F3050" s="269"/>
      <c r="G3050" s="272"/>
      <c r="H3050" s="136" t="s">
        <v>75</v>
      </c>
      <c r="I3050" s="181">
        <f>D3048*K3050</f>
        <v>71712.800000000003</v>
      </c>
      <c r="J3050" s="181">
        <f>I3050/D3048</f>
        <v>34</v>
      </c>
      <c r="K3050" s="181">
        <v>34</v>
      </c>
    </row>
    <row r="3051" spans="1:214" x14ac:dyDescent="0.35">
      <c r="A3051" s="277">
        <f>A3048+1</f>
        <v>42</v>
      </c>
      <c r="B3051" s="277">
        <v>3299</v>
      </c>
      <c r="C3051" s="266" t="s">
        <v>124</v>
      </c>
      <c r="D3051" s="287">
        <v>3495.95</v>
      </c>
      <c r="E3051" s="276" t="s">
        <v>70</v>
      </c>
      <c r="F3051" s="276">
        <v>5</v>
      </c>
      <c r="G3051" s="277" t="s">
        <v>71</v>
      </c>
      <c r="H3051" s="136" t="s">
        <v>72</v>
      </c>
      <c r="I3051" s="181">
        <f>I3052+I3053</f>
        <v>11333869.9</v>
      </c>
      <c r="J3051" s="181">
        <f>J3052+J3053</f>
        <v>3242</v>
      </c>
      <c r="K3051" s="181">
        <f>K3052+K3053</f>
        <v>3242</v>
      </c>
    </row>
    <row r="3052" spans="1:214" x14ac:dyDescent="0.35">
      <c r="A3052" s="277">
        <v>75</v>
      </c>
      <c r="B3052" s="277"/>
      <c r="C3052" s="266"/>
      <c r="D3052" s="287"/>
      <c r="E3052" s="276"/>
      <c r="F3052" s="276"/>
      <c r="G3052" s="277"/>
      <c r="H3052" s="136" t="s">
        <v>73</v>
      </c>
      <c r="I3052" s="181">
        <f>D3051*K3052</f>
        <v>11096145.300000001</v>
      </c>
      <c r="J3052" s="181">
        <f>I3052/D3051</f>
        <v>3174</v>
      </c>
      <c r="K3052" s="181">
        <v>3174</v>
      </c>
    </row>
    <row r="3053" spans="1:214" x14ac:dyDescent="0.35">
      <c r="A3053" s="277">
        <v>76</v>
      </c>
      <c r="B3053" s="277"/>
      <c r="C3053" s="266"/>
      <c r="D3053" s="287"/>
      <c r="E3053" s="276"/>
      <c r="F3053" s="276"/>
      <c r="G3053" s="277"/>
      <c r="H3053" s="136" t="s">
        <v>75</v>
      </c>
      <c r="I3053" s="181">
        <f>D3051*K3053</f>
        <v>237724.6</v>
      </c>
      <c r="J3053" s="181">
        <f>I3053/D3051</f>
        <v>68</v>
      </c>
      <c r="K3053" s="181">
        <v>68</v>
      </c>
      <c r="L3053" s="145"/>
      <c r="M3053" s="145"/>
      <c r="N3053" s="145"/>
      <c r="O3053" s="145"/>
      <c r="P3053" s="145"/>
      <c r="Q3053" s="145"/>
      <c r="R3053" s="145"/>
      <c r="S3053" s="145"/>
      <c r="T3053" s="145"/>
      <c r="U3053" s="145"/>
      <c r="V3053" s="145"/>
      <c r="W3053" s="145"/>
      <c r="X3053" s="145"/>
      <c r="Y3053" s="145"/>
      <c r="Z3053" s="145"/>
      <c r="AA3053" s="145"/>
      <c r="AB3053" s="145"/>
      <c r="AC3053" s="145"/>
      <c r="AD3053" s="145"/>
      <c r="AE3053" s="145"/>
      <c r="AF3053" s="145"/>
      <c r="AG3053" s="145"/>
      <c r="AH3053" s="145"/>
      <c r="AI3053" s="145"/>
      <c r="AJ3053" s="145"/>
      <c r="AK3053" s="145"/>
      <c r="AL3053" s="145"/>
      <c r="AM3053" s="145"/>
      <c r="AN3053" s="145"/>
      <c r="AO3053" s="145"/>
      <c r="AP3053" s="145"/>
      <c r="AQ3053" s="145"/>
      <c r="AR3053" s="145"/>
      <c r="AS3053" s="145"/>
      <c r="AT3053" s="145"/>
      <c r="AU3053" s="145"/>
      <c r="AV3053" s="145"/>
      <c r="AW3053" s="145"/>
      <c r="AX3053" s="145"/>
      <c r="AY3053" s="145"/>
      <c r="AZ3053" s="145"/>
      <c r="BA3053" s="145"/>
      <c r="BB3053" s="145"/>
      <c r="BC3053" s="145"/>
      <c r="BD3053" s="145"/>
      <c r="BE3053" s="145"/>
      <c r="BF3053" s="145"/>
      <c r="BG3053" s="145"/>
      <c r="BH3053" s="145"/>
      <c r="BI3053" s="145"/>
      <c r="BJ3053" s="145"/>
      <c r="BK3053" s="145"/>
      <c r="BL3053" s="145"/>
      <c r="BM3053" s="145"/>
      <c r="BN3053" s="145"/>
      <c r="BO3053" s="145"/>
      <c r="BP3053" s="145"/>
      <c r="BQ3053" s="145"/>
      <c r="BR3053" s="145"/>
      <c r="BS3053" s="145"/>
      <c r="BT3053" s="145"/>
      <c r="BU3053" s="145"/>
      <c r="BV3053" s="145"/>
      <c r="BW3053" s="145"/>
      <c r="BX3053" s="145"/>
      <c r="BY3053" s="145"/>
      <c r="BZ3053" s="145"/>
      <c r="CA3053" s="145"/>
      <c r="CB3053" s="145"/>
      <c r="CC3053" s="145"/>
      <c r="CD3053" s="145"/>
      <c r="CE3053" s="145"/>
      <c r="CF3053" s="145"/>
      <c r="CG3053" s="145"/>
      <c r="CH3053" s="145"/>
      <c r="CI3053" s="145"/>
      <c r="CJ3053" s="145"/>
      <c r="CK3053" s="145"/>
      <c r="CL3053" s="145"/>
      <c r="CM3053" s="145"/>
      <c r="CN3053" s="145"/>
      <c r="CO3053" s="145"/>
      <c r="CP3053" s="145"/>
      <c r="CQ3053" s="145"/>
      <c r="CR3053" s="145"/>
      <c r="CS3053" s="145"/>
      <c r="CT3053" s="145"/>
      <c r="CU3053" s="145"/>
      <c r="CV3053" s="145"/>
      <c r="CW3053" s="145"/>
      <c r="CX3053" s="145"/>
      <c r="CY3053" s="145"/>
      <c r="CZ3053" s="145"/>
      <c r="DA3053" s="145"/>
      <c r="DB3053" s="145"/>
      <c r="DC3053" s="145"/>
      <c r="DD3053" s="145"/>
      <c r="DE3053" s="145"/>
      <c r="DF3053" s="145"/>
      <c r="DG3053" s="145"/>
      <c r="DH3053" s="145"/>
      <c r="DI3053" s="145"/>
      <c r="DJ3053" s="145"/>
      <c r="DK3053" s="145"/>
      <c r="DL3053" s="145"/>
      <c r="DM3053" s="145"/>
      <c r="DN3053" s="145"/>
      <c r="DO3053" s="145"/>
      <c r="DP3053" s="145"/>
      <c r="DQ3053" s="145"/>
      <c r="DR3053" s="145"/>
      <c r="DS3053" s="145"/>
      <c r="DT3053" s="145"/>
      <c r="DU3053" s="145"/>
      <c r="DV3053" s="145"/>
      <c r="DW3053" s="145"/>
      <c r="DX3053" s="145"/>
      <c r="DY3053" s="145"/>
      <c r="DZ3053" s="145"/>
      <c r="EA3053" s="145"/>
      <c r="EB3053" s="145"/>
      <c r="EC3053" s="145"/>
      <c r="ED3053" s="145"/>
      <c r="EE3053" s="145"/>
      <c r="EF3053" s="145"/>
      <c r="EG3053" s="145"/>
      <c r="EH3053" s="145"/>
      <c r="EI3053" s="145"/>
      <c r="EJ3053" s="145"/>
      <c r="EK3053" s="145"/>
      <c r="EL3053" s="145"/>
      <c r="EM3053" s="145"/>
      <c r="EN3053" s="145"/>
      <c r="EO3053" s="145"/>
      <c r="EP3053" s="145"/>
      <c r="EQ3053" s="145"/>
      <c r="ER3053" s="145"/>
      <c r="ES3053" s="145"/>
      <c r="ET3053" s="145"/>
      <c r="EU3053" s="145"/>
      <c r="EV3053" s="145"/>
      <c r="EW3053" s="145"/>
      <c r="EX3053" s="145"/>
      <c r="EY3053" s="145"/>
      <c r="EZ3053" s="145"/>
      <c r="FA3053" s="145"/>
      <c r="FB3053" s="145"/>
      <c r="FC3053" s="145"/>
      <c r="FD3053" s="145"/>
      <c r="FE3053" s="145"/>
      <c r="FF3053" s="145"/>
      <c r="FG3053" s="145"/>
      <c r="FH3053" s="145"/>
      <c r="FI3053" s="145"/>
      <c r="FJ3053" s="145"/>
      <c r="FK3053" s="145"/>
      <c r="FL3053" s="145"/>
      <c r="FM3053" s="145"/>
      <c r="FN3053" s="145"/>
      <c r="FO3053" s="145"/>
      <c r="FP3053" s="145"/>
      <c r="FQ3053" s="145"/>
      <c r="FR3053" s="145"/>
      <c r="FS3053" s="145"/>
      <c r="FT3053" s="145"/>
      <c r="FU3053" s="145"/>
      <c r="FV3053" s="145"/>
      <c r="FW3053" s="145"/>
      <c r="FX3053" s="145"/>
      <c r="FY3053" s="145"/>
      <c r="FZ3053" s="145"/>
      <c r="GA3053" s="145"/>
      <c r="GB3053" s="145"/>
      <c r="GC3053" s="145"/>
      <c r="GD3053" s="145"/>
      <c r="GE3053" s="145"/>
      <c r="GF3053" s="145"/>
      <c r="GG3053" s="145"/>
      <c r="GH3053" s="145"/>
      <c r="GI3053" s="145"/>
      <c r="GJ3053" s="145"/>
      <c r="GK3053" s="145"/>
      <c r="GL3053" s="145"/>
      <c r="GM3053" s="145"/>
      <c r="GN3053" s="145"/>
      <c r="GO3053" s="145"/>
      <c r="GP3053" s="145"/>
      <c r="GQ3053" s="145"/>
      <c r="GR3053" s="145"/>
      <c r="GS3053" s="145"/>
      <c r="GT3053" s="145"/>
      <c r="GU3053" s="145"/>
      <c r="GV3053" s="145"/>
      <c r="GW3053" s="145"/>
      <c r="GX3053" s="145"/>
      <c r="GY3053" s="145"/>
      <c r="GZ3053" s="145"/>
      <c r="HA3053" s="145"/>
      <c r="HB3053" s="145"/>
      <c r="HC3053" s="145"/>
      <c r="HD3053" s="145"/>
      <c r="HE3053" s="145"/>
      <c r="HF3053" s="145"/>
    </row>
    <row r="3054" spans="1:214" x14ac:dyDescent="0.35">
      <c r="A3054" s="270">
        <f>A3051+1</f>
        <v>43</v>
      </c>
      <c r="B3054" s="270">
        <v>3316</v>
      </c>
      <c r="C3054" s="278" t="s">
        <v>125</v>
      </c>
      <c r="D3054" s="273">
        <v>2886.1</v>
      </c>
      <c r="E3054" s="276" t="s">
        <v>70</v>
      </c>
      <c r="F3054" s="276">
        <v>5</v>
      </c>
      <c r="G3054" s="270" t="s">
        <v>71</v>
      </c>
      <c r="H3054" s="136" t="s">
        <v>72</v>
      </c>
      <c r="I3054" s="181">
        <f>I3055+I3056</f>
        <v>9356736.1999999993</v>
      </c>
      <c r="J3054" s="181">
        <f>J3055+J3056</f>
        <v>3242</v>
      </c>
      <c r="K3054" s="181">
        <f>K3055+K3056</f>
        <v>3242</v>
      </c>
      <c r="L3054" s="145"/>
      <c r="M3054" s="145"/>
      <c r="N3054" s="145"/>
      <c r="O3054" s="145"/>
      <c r="P3054" s="145"/>
      <c r="Q3054" s="145"/>
      <c r="R3054" s="145"/>
      <c r="S3054" s="145"/>
      <c r="T3054" s="145"/>
      <c r="U3054" s="145"/>
      <c r="V3054" s="145"/>
      <c r="W3054" s="145"/>
      <c r="X3054" s="145"/>
      <c r="Y3054" s="145"/>
      <c r="Z3054" s="145"/>
      <c r="AA3054" s="145"/>
      <c r="AB3054" s="145"/>
      <c r="AC3054" s="145"/>
      <c r="AD3054" s="145"/>
      <c r="AE3054" s="145"/>
      <c r="AF3054" s="145"/>
      <c r="AG3054" s="145"/>
      <c r="AH3054" s="145"/>
      <c r="AI3054" s="145"/>
      <c r="AJ3054" s="145"/>
      <c r="AK3054" s="145"/>
      <c r="AL3054" s="145"/>
      <c r="AM3054" s="145"/>
      <c r="AN3054" s="145"/>
      <c r="AO3054" s="145"/>
      <c r="AP3054" s="145"/>
      <c r="AQ3054" s="145"/>
      <c r="AR3054" s="145"/>
      <c r="AS3054" s="145"/>
      <c r="AT3054" s="145"/>
      <c r="AU3054" s="145"/>
      <c r="AV3054" s="145"/>
      <c r="AW3054" s="145"/>
      <c r="AX3054" s="145"/>
      <c r="AY3054" s="145"/>
      <c r="AZ3054" s="145"/>
      <c r="BA3054" s="145"/>
      <c r="BB3054" s="145"/>
      <c r="BC3054" s="145"/>
      <c r="BD3054" s="145"/>
      <c r="BE3054" s="145"/>
      <c r="BF3054" s="145"/>
      <c r="BG3054" s="145"/>
      <c r="BH3054" s="145"/>
      <c r="BI3054" s="145"/>
      <c r="BJ3054" s="145"/>
      <c r="BK3054" s="145"/>
      <c r="BL3054" s="145"/>
      <c r="BM3054" s="145"/>
      <c r="BN3054" s="145"/>
      <c r="BO3054" s="145"/>
      <c r="BP3054" s="145"/>
      <c r="BQ3054" s="145"/>
      <c r="BR3054" s="145"/>
      <c r="BS3054" s="145"/>
      <c r="BT3054" s="145"/>
      <c r="BU3054" s="145"/>
      <c r="BV3054" s="145"/>
      <c r="BW3054" s="145"/>
      <c r="BX3054" s="145"/>
      <c r="BY3054" s="145"/>
      <c r="BZ3054" s="145"/>
      <c r="CA3054" s="145"/>
      <c r="CB3054" s="145"/>
      <c r="CC3054" s="145"/>
      <c r="CD3054" s="145"/>
      <c r="CE3054" s="145"/>
      <c r="CF3054" s="145"/>
      <c r="CG3054" s="145"/>
      <c r="CH3054" s="145"/>
      <c r="CI3054" s="145"/>
      <c r="CJ3054" s="145"/>
      <c r="CK3054" s="145"/>
      <c r="CL3054" s="145"/>
      <c r="CM3054" s="145"/>
      <c r="CN3054" s="145"/>
      <c r="CO3054" s="145"/>
      <c r="CP3054" s="145"/>
      <c r="CQ3054" s="145"/>
      <c r="CR3054" s="145"/>
      <c r="CS3054" s="145"/>
      <c r="CT3054" s="145"/>
      <c r="CU3054" s="145"/>
      <c r="CV3054" s="145"/>
      <c r="CW3054" s="145"/>
      <c r="CX3054" s="145"/>
      <c r="CY3054" s="145"/>
      <c r="CZ3054" s="145"/>
      <c r="DA3054" s="145"/>
      <c r="DB3054" s="145"/>
      <c r="DC3054" s="145"/>
      <c r="DD3054" s="145"/>
      <c r="DE3054" s="145"/>
      <c r="DF3054" s="145"/>
      <c r="DG3054" s="145"/>
      <c r="DH3054" s="145"/>
      <c r="DI3054" s="145"/>
      <c r="DJ3054" s="145"/>
      <c r="DK3054" s="145"/>
      <c r="DL3054" s="145"/>
      <c r="DM3054" s="145"/>
      <c r="DN3054" s="145"/>
      <c r="DO3054" s="145"/>
      <c r="DP3054" s="145"/>
      <c r="DQ3054" s="145"/>
      <c r="DR3054" s="145"/>
      <c r="DS3054" s="145"/>
      <c r="DT3054" s="145"/>
      <c r="DU3054" s="145"/>
      <c r="DV3054" s="145"/>
      <c r="DW3054" s="145"/>
      <c r="DX3054" s="145"/>
      <c r="DY3054" s="145"/>
      <c r="DZ3054" s="145"/>
      <c r="EA3054" s="145"/>
      <c r="EB3054" s="145"/>
      <c r="EC3054" s="145"/>
      <c r="ED3054" s="145"/>
      <c r="EE3054" s="145"/>
      <c r="EF3054" s="145"/>
      <c r="EG3054" s="145"/>
      <c r="EH3054" s="145"/>
      <c r="EI3054" s="145"/>
      <c r="EJ3054" s="145"/>
      <c r="EK3054" s="145"/>
      <c r="EL3054" s="145"/>
      <c r="EM3054" s="145"/>
      <c r="EN3054" s="145"/>
      <c r="EO3054" s="145"/>
      <c r="EP3054" s="145"/>
      <c r="EQ3054" s="145"/>
      <c r="ER3054" s="145"/>
      <c r="ES3054" s="145"/>
      <c r="ET3054" s="145"/>
      <c r="EU3054" s="145"/>
      <c r="EV3054" s="145"/>
      <c r="EW3054" s="145"/>
      <c r="EX3054" s="145"/>
      <c r="EY3054" s="145"/>
      <c r="EZ3054" s="145"/>
      <c r="FA3054" s="145"/>
      <c r="FB3054" s="145"/>
      <c r="FC3054" s="145"/>
      <c r="FD3054" s="145"/>
      <c r="FE3054" s="145"/>
      <c r="FF3054" s="145"/>
      <c r="FG3054" s="145"/>
      <c r="FH3054" s="145"/>
      <c r="FI3054" s="145"/>
      <c r="FJ3054" s="145"/>
      <c r="FK3054" s="145"/>
      <c r="FL3054" s="145"/>
      <c r="FM3054" s="145"/>
      <c r="FN3054" s="145"/>
      <c r="FO3054" s="145"/>
      <c r="FP3054" s="145"/>
      <c r="FQ3054" s="145"/>
      <c r="FR3054" s="145"/>
      <c r="FS3054" s="145"/>
      <c r="FT3054" s="145"/>
      <c r="FU3054" s="145"/>
      <c r="FV3054" s="145"/>
      <c r="FW3054" s="145"/>
      <c r="FX3054" s="145"/>
      <c r="FY3054" s="145"/>
      <c r="FZ3054" s="145"/>
      <c r="GA3054" s="145"/>
      <c r="GB3054" s="145"/>
      <c r="GC3054" s="145"/>
      <c r="GD3054" s="145"/>
      <c r="GE3054" s="145"/>
      <c r="GF3054" s="145"/>
      <c r="GG3054" s="145"/>
      <c r="GH3054" s="145"/>
      <c r="GI3054" s="145"/>
      <c r="GJ3054" s="145"/>
      <c r="GK3054" s="145"/>
      <c r="GL3054" s="145"/>
      <c r="GM3054" s="145"/>
      <c r="GN3054" s="145"/>
      <c r="GO3054" s="145"/>
      <c r="GP3054" s="145"/>
      <c r="GQ3054" s="145"/>
      <c r="GR3054" s="145"/>
      <c r="GS3054" s="145"/>
      <c r="GT3054" s="145"/>
      <c r="GU3054" s="145"/>
      <c r="GV3054" s="145"/>
      <c r="GW3054" s="145"/>
      <c r="GX3054" s="145"/>
      <c r="GY3054" s="145"/>
      <c r="GZ3054" s="145"/>
      <c r="HA3054" s="145"/>
      <c r="HB3054" s="145"/>
      <c r="HC3054" s="145"/>
      <c r="HD3054" s="145"/>
      <c r="HE3054" s="145"/>
      <c r="HF3054" s="145"/>
    </row>
    <row r="3055" spans="1:214" x14ac:dyDescent="0.35">
      <c r="A3055" s="271"/>
      <c r="B3055" s="271"/>
      <c r="C3055" s="279"/>
      <c r="D3055" s="274"/>
      <c r="E3055" s="276"/>
      <c r="F3055" s="276"/>
      <c r="G3055" s="271"/>
      <c r="H3055" s="136" t="s">
        <v>73</v>
      </c>
      <c r="I3055" s="181">
        <f>D3054*K3055</f>
        <v>9160481.4000000004</v>
      </c>
      <c r="J3055" s="181">
        <f>I3055/D3054</f>
        <v>3174</v>
      </c>
      <c r="K3055" s="181">
        <v>3174</v>
      </c>
      <c r="L3055" s="145"/>
      <c r="M3055" s="145"/>
      <c r="N3055" s="145"/>
      <c r="O3055" s="145"/>
      <c r="P3055" s="145"/>
      <c r="Q3055" s="145"/>
      <c r="R3055" s="145"/>
      <c r="S3055" s="145"/>
      <c r="T3055" s="145"/>
      <c r="U3055" s="145"/>
      <c r="V3055" s="145"/>
      <c r="W3055" s="145"/>
      <c r="X3055" s="145"/>
      <c r="Y3055" s="145"/>
      <c r="Z3055" s="145"/>
      <c r="AA3055" s="145"/>
      <c r="AB3055" s="145"/>
      <c r="AC3055" s="145"/>
      <c r="AD3055" s="145"/>
      <c r="AE3055" s="145"/>
      <c r="AF3055" s="145"/>
      <c r="AG3055" s="145"/>
      <c r="AH3055" s="145"/>
      <c r="AI3055" s="145"/>
      <c r="AJ3055" s="145"/>
      <c r="AK3055" s="145"/>
      <c r="AL3055" s="145"/>
      <c r="AM3055" s="145"/>
      <c r="AN3055" s="145"/>
      <c r="AO3055" s="145"/>
      <c r="AP3055" s="145"/>
      <c r="AQ3055" s="145"/>
      <c r="AR3055" s="145"/>
      <c r="AS3055" s="145"/>
      <c r="AT3055" s="145"/>
      <c r="AU3055" s="145"/>
      <c r="AV3055" s="145"/>
      <c r="AW3055" s="145"/>
      <c r="AX3055" s="145"/>
      <c r="AY3055" s="145"/>
      <c r="AZ3055" s="145"/>
      <c r="BA3055" s="145"/>
      <c r="BB3055" s="145"/>
      <c r="BC3055" s="145"/>
      <c r="BD3055" s="145"/>
      <c r="BE3055" s="145"/>
      <c r="BF3055" s="145"/>
      <c r="BG3055" s="145"/>
      <c r="BH3055" s="145"/>
      <c r="BI3055" s="145"/>
      <c r="BJ3055" s="145"/>
      <c r="BK3055" s="145"/>
      <c r="BL3055" s="145"/>
      <c r="BM3055" s="145"/>
      <c r="BN3055" s="145"/>
      <c r="BO3055" s="145"/>
      <c r="BP3055" s="145"/>
      <c r="BQ3055" s="145"/>
      <c r="BR3055" s="145"/>
      <c r="BS3055" s="145"/>
      <c r="BT3055" s="145"/>
      <c r="BU3055" s="145"/>
      <c r="BV3055" s="145"/>
      <c r="BW3055" s="145"/>
      <c r="BX3055" s="145"/>
      <c r="BY3055" s="145"/>
      <c r="BZ3055" s="145"/>
      <c r="CA3055" s="145"/>
      <c r="CB3055" s="145"/>
      <c r="CC3055" s="145"/>
      <c r="CD3055" s="145"/>
      <c r="CE3055" s="145"/>
      <c r="CF3055" s="145"/>
      <c r="CG3055" s="145"/>
      <c r="CH3055" s="145"/>
      <c r="CI3055" s="145"/>
      <c r="CJ3055" s="145"/>
      <c r="CK3055" s="145"/>
      <c r="CL3055" s="145"/>
      <c r="CM3055" s="145"/>
      <c r="CN3055" s="145"/>
      <c r="CO3055" s="145"/>
      <c r="CP3055" s="145"/>
      <c r="CQ3055" s="145"/>
      <c r="CR3055" s="145"/>
      <c r="CS3055" s="145"/>
      <c r="CT3055" s="145"/>
      <c r="CU3055" s="145"/>
      <c r="CV3055" s="145"/>
      <c r="CW3055" s="145"/>
      <c r="CX3055" s="145"/>
      <c r="CY3055" s="145"/>
      <c r="CZ3055" s="145"/>
      <c r="DA3055" s="145"/>
      <c r="DB3055" s="145"/>
      <c r="DC3055" s="145"/>
      <c r="DD3055" s="145"/>
      <c r="DE3055" s="145"/>
      <c r="DF3055" s="145"/>
      <c r="DG3055" s="145"/>
      <c r="DH3055" s="145"/>
      <c r="DI3055" s="145"/>
      <c r="DJ3055" s="145"/>
      <c r="DK3055" s="145"/>
      <c r="DL3055" s="145"/>
      <c r="DM3055" s="145"/>
      <c r="DN3055" s="145"/>
      <c r="DO3055" s="145"/>
      <c r="DP3055" s="145"/>
      <c r="DQ3055" s="145"/>
      <c r="DR3055" s="145"/>
      <c r="DS3055" s="145"/>
      <c r="DT3055" s="145"/>
      <c r="DU3055" s="145"/>
      <c r="DV3055" s="145"/>
      <c r="DW3055" s="145"/>
      <c r="DX3055" s="145"/>
      <c r="DY3055" s="145"/>
      <c r="DZ3055" s="145"/>
      <c r="EA3055" s="145"/>
      <c r="EB3055" s="145"/>
      <c r="EC3055" s="145"/>
      <c r="ED3055" s="145"/>
      <c r="EE3055" s="145"/>
      <c r="EF3055" s="145"/>
      <c r="EG3055" s="145"/>
      <c r="EH3055" s="145"/>
      <c r="EI3055" s="145"/>
      <c r="EJ3055" s="145"/>
      <c r="EK3055" s="145"/>
      <c r="EL3055" s="145"/>
      <c r="EM3055" s="145"/>
      <c r="EN3055" s="145"/>
      <c r="EO3055" s="145"/>
      <c r="EP3055" s="145"/>
      <c r="EQ3055" s="145"/>
      <c r="ER3055" s="145"/>
      <c r="ES3055" s="145"/>
      <c r="ET3055" s="145"/>
      <c r="EU3055" s="145"/>
      <c r="EV3055" s="145"/>
      <c r="EW3055" s="145"/>
      <c r="EX3055" s="145"/>
      <c r="EY3055" s="145"/>
      <c r="EZ3055" s="145"/>
      <c r="FA3055" s="145"/>
      <c r="FB3055" s="145"/>
      <c r="FC3055" s="145"/>
      <c r="FD3055" s="145"/>
      <c r="FE3055" s="145"/>
      <c r="FF3055" s="145"/>
      <c r="FG3055" s="145"/>
      <c r="FH3055" s="145"/>
      <c r="FI3055" s="145"/>
      <c r="FJ3055" s="145"/>
      <c r="FK3055" s="145"/>
      <c r="FL3055" s="145"/>
      <c r="FM3055" s="145"/>
      <c r="FN3055" s="145"/>
      <c r="FO3055" s="145"/>
      <c r="FP3055" s="145"/>
      <c r="FQ3055" s="145"/>
      <c r="FR3055" s="145"/>
      <c r="FS3055" s="145"/>
      <c r="FT3055" s="145"/>
      <c r="FU3055" s="145"/>
      <c r="FV3055" s="145"/>
      <c r="FW3055" s="145"/>
      <c r="FX3055" s="145"/>
      <c r="FY3055" s="145"/>
      <c r="FZ3055" s="145"/>
      <c r="GA3055" s="145"/>
      <c r="GB3055" s="145"/>
      <c r="GC3055" s="145"/>
      <c r="GD3055" s="145"/>
      <c r="GE3055" s="145"/>
      <c r="GF3055" s="145"/>
      <c r="GG3055" s="145"/>
      <c r="GH3055" s="145"/>
      <c r="GI3055" s="145"/>
      <c r="GJ3055" s="145"/>
      <c r="GK3055" s="145"/>
      <c r="GL3055" s="145"/>
      <c r="GM3055" s="145"/>
      <c r="GN3055" s="145"/>
      <c r="GO3055" s="145"/>
      <c r="GP3055" s="145"/>
      <c r="GQ3055" s="145"/>
      <c r="GR3055" s="145"/>
      <c r="GS3055" s="145"/>
      <c r="GT3055" s="145"/>
      <c r="GU3055" s="145"/>
      <c r="GV3055" s="145"/>
      <c r="GW3055" s="145"/>
      <c r="GX3055" s="145"/>
      <c r="GY3055" s="145"/>
      <c r="GZ3055" s="145"/>
      <c r="HA3055" s="145"/>
      <c r="HB3055" s="145"/>
      <c r="HC3055" s="145"/>
      <c r="HD3055" s="145"/>
      <c r="HE3055" s="145"/>
      <c r="HF3055" s="145"/>
    </row>
    <row r="3056" spans="1:214" x14ac:dyDescent="0.35">
      <c r="A3056" s="271"/>
      <c r="B3056" s="271"/>
      <c r="C3056" s="279"/>
      <c r="D3056" s="274"/>
      <c r="E3056" s="276"/>
      <c r="F3056" s="276"/>
      <c r="G3056" s="271"/>
      <c r="H3056" s="136" t="s">
        <v>75</v>
      </c>
      <c r="I3056" s="181">
        <f>D3054*K3056</f>
        <v>196254.8</v>
      </c>
      <c r="J3056" s="181">
        <f>I3056/D3054</f>
        <v>68</v>
      </c>
      <c r="K3056" s="181">
        <v>68</v>
      </c>
    </row>
    <row r="3057" spans="1:214" x14ac:dyDescent="0.35">
      <c r="A3057" s="277">
        <f>A3054+1</f>
        <v>44</v>
      </c>
      <c r="B3057" s="270">
        <v>3318</v>
      </c>
      <c r="C3057" s="278" t="s">
        <v>126</v>
      </c>
      <c r="D3057" s="273">
        <v>3544.3</v>
      </c>
      <c r="E3057" s="267" t="s">
        <v>70</v>
      </c>
      <c r="F3057" s="267">
        <v>5</v>
      </c>
      <c r="G3057" s="270" t="s">
        <v>71</v>
      </c>
      <c r="H3057" s="136" t="s">
        <v>72</v>
      </c>
      <c r="I3057" s="181">
        <f>I3058+I3059</f>
        <v>11490620.6</v>
      </c>
      <c r="J3057" s="181">
        <f>J3058+J3059</f>
        <v>3242</v>
      </c>
      <c r="K3057" s="181">
        <f>K3058+K3059</f>
        <v>3242</v>
      </c>
      <c r="L3057" s="145"/>
      <c r="M3057" s="145"/>
      <c r="N3057" s="145"/>
      <c r="O3057" s="145"/>
      <c r="P3057" s="145"/>
      <c r="Q3057" s="145"/>
      <c r="R3057" s="145"/>
      <c r="S3057" s="145"/>
      <c r="T3057" s="145"/>
      <c r="U3057" s="145"/>
      <c r="V3057" s="145"/>
      <c r="W3057" s="145"/>
      <c r="X3057" s="145"/>
      <c r="Y3057" s="145"/>
      <c r="Z3057" s="145"/>
      <c r="AA3057" s="145"/>
      <c r="AB3057" s="145"/>
      <c r="AC3057" s="145"/>
      <c r="AD3057" s="145"/>
      <c r="AE3057" s="145"/>
      <c r="AF3057" s="145"/>
      <c r="AG3057" s="145"/>
      <c r="AH3057" s="145"/>
      <c r="AI3057" s="145"/>
      <c r="AJ3057" s="145"/>
      <c r="AK3057" s="145"/>
      <c r="AL3057" s="145"/>
      <c r="AM3057" s="145"/>
      <c r="AN3057" s="145"/>
      <c r="AO3057" s="145"/>
      <c r="AP3057" s="145"/>
      <c r="AQ3057" s="145"/>
      <c r="AR3057" s="145"/>
      <c r="AS3057" s="145"/>
      <c r="AT3057" s="145"/>
      <c r="AU3057" s="145"/>
      <c r="AV3057" s="145"/>
      <c r="AW3057" s="145"/>
      <c r="AX3057" s="145"/>
      <c r="AY3057" s="145"/>
      <c r="AZ3057" s="145"/>
      <c r="BA3057" s="145"/>
      <c r="BB3057" s="145"/>
      <c r="BC3057" s="145"/>
      <c r="BD3057" s="145"/>
      <c r="BE3057" s="145"/>
      <c r="BF3057" s="145"/>
      <c r="BG3057" s="145"/>
      <c r="BH3057" s="145"/>
      <c r="BI3057" s="145"/>
      <c r="BJ3057" s="145"/>
      <c r="BK3057" s="145"/>
      <c r="BL3057" s="145"/>
      <c r="BM3057" s="145"/>
      <c r="BN3057" s="145"/>
      <c r="BO3057" s="145"/>
      <c r="BP3057" s="145"/>
      <c r="BQ3057" s="145"/>
      <c r="BR3057" s="145"/>
      <c r="BS3057" s="145"/>
      <c r="BT3057" s="145"/>
      <c r="BU3057" s="145"/>
      <c r="BV3057" s="145"/>
      <c r="BW3057" s="145"/>
      <c r="BX3057" s="145"/>
      <c r="BY3057" s="145"/>
      <c r="BZ3057" s="145"/>
      <c r="CA3057" s="145"/>
      <c r="CB3057" s="145"/>
      <c r="CC3057" s="145"/>
      <c r="CD3057" s="145"/>
      <c r="CE3057" s="145"/>
      <c r="CF3057" s="145"/>
      <c r="CG3057" s="145"/>
      <c r="CH3057" s="145"/>
      <c r="CI3057" s="145"/>
      <c r="CJ3057" s="145"/>
      <c r="CK3057" s="145"/>
      <c r="CL3057" s="145"/>
      <c r="CM3057" s="145"/>
      <c r="CN3057" s="145"/>
      <c r="CO3057" s="145"/>
      <c r="CP3057" s="145"/>
      <c r="CQ3057" s="145"/>
      <c r="CR3057" s="145"/>
      <c r="CS3057" s="145"/>
      <c r="CT3057" s="145"/>
      <c r="CU3057" s="145"/>
      <c r="CV3057" s="145"/>
      <c r="CW3057" s="145"/>
      <c r="CX3057" s="145"/>
      <c r="CY3057" s="145"/>
      <c r="CZ3057" s="145"/>
      <c r="DA3057" s="145"/>
      <c r="DB3057" s="145"/>
      <c r="DC3057" s="145"/>
      <c r="DD3057" s="145"/>
      <c r="DE3057" s="145"/>
      <c r="DF3057" s="145"/>
      <c r="DG3057" s="145"/>
      <c r="DH3057" s="145"/>
      <c r="DI3057" s="145"/>
      <c r="DJ3057" s="145"/>
      <c r="DK3057" s="145"/>
      <c r="DL3057" s="145"/>
      <c r="DM3057" s="145"/>
      <c r="DN3057" s="145"/>
      <c r="DO3057" s="145"/>
      <c r="DP3057" s="145"/>
      <c r="DQ3057" s="145"/>
      <c r="DR3057" s="145"/>
      <c r="DS3057" s="145"/>
      <c r="DT3057" s="145"/>
      <c r="DU3057" s="145"/>
      <c r="DV3057" s="145"/>
      <c r="DW3057" s="145"/>
      <c r="DX3057" s="145"/>
      <c r="DY3057" s="145"/>
      <c r="DZ3057" s="145"/>
      <c r="EA3057" s="145"/>
      <c r="EB3057" s="145"/>
      <c r="EC3057" s="145"/>
      <c r="ED3057" s="145"/>
      <c r="EE3057" s="145"/>
      <c r="EF3057" s="145"/>
      <c r="EG3057" s="145"/>
      <c r="EH3057" s="145"/>
      <c r="EI3057" s="145"/>
      <c r="EJ3057" s="145"/>
      <c r="EK3057" s="145"/>
      <c r="EL3057" s="145"/>
      <c r="EM3057" s="145"/>
      <c r="EN3057" s="145"/>
      <c r="EO3057" s="145"/>
      <c r="EP3057" s="145"/>
      <c r="EQ3057" s="145"/>
      <c r="ER3057" s="145"/>
      <c r="ES3057" s="145"/>
      <c r="ET3057" s="145"/>
      <c r="EU3057" s="145"/>
      <c r="EV3057" s="145"/>
      <c r="EW3057" s="145"/>
      <c r="EX3057" s="145"/>
      <c r="EY3057" s="145"/>
      <c r="EZ3057" s="145"/>
      <c r="FA3057" s="145"/>
      <c r="FB3057" s="145"/>
      <c r="FC3057" s="145"/>
      <c r="FD3057" s="145"/>
      <c r="FE3057" s="145"/>
      <c r="FF3057" s="145"/>
      <c r="FG3057" s="145"/>
      <c r="FH3057" s="145"/>
      <c r="FI3057" s="145"/>
      <c r="FJ3057" s="145"/>
      <c r="FK3057" s="145"/>
      <c r="FL3057" s="145"/>
      <c r="FM3057" s="145"/>
      <c r="FN3057" s="145"/>
      <c r="FO3057" s="145"/>
      <c r="FP3057" s="145"/>
      <c r="FQ3057" s="145"/>
      <c r="FR3057" s="145"/>
      <c r="FS3057" s="145"/>
      <c r="FT3057" s="145"/>
      <c r="FU3057" s="145"/>
      <c r="FV3057" s="145"/>
      <c r="FW3057" s="145"/>
      <c r="FX3057" s="145"/>
      <c r="FY3057" s="145"/>
      <c r="FZ3057" s="145"/>
      <c r="GA3057" s="145"/>
      <c r="GB3057" s="145"/>
      <c r="GC3057" s="145"/>
      <c r="GD3057" s="145"/>
      <c r="GE3057" s="145"/>
      <c r="GF3057" s="145"/>
      <c r="GG3057" s="145"/>
      <c r="GH3057" s="145"/>
      <c r="GI3057" s="145"/>
      <c r="GJ3057" s="145"/>
      <c r="GK3057" s="145"/>
      <c r="GL3057" s="145"/>
      <c r="GM3057" s="145"/>
      <c r="GN3057" s="145"/>
      <c r="GO3057" s="145"/>
      <c r="GP3057" s="145"/>
      <c r="GQ3057" s="145"/>
      <c r="GR3057" s="145"/>
      <c r="GS3057" s="145"/>
      <c r="GT3057" s="145"/>
      <c r="GU3057" s="145"/>
      <c r="GV3057" s="145"/>
      <c r="GW3057" s="145"/>
      <c r="GX3057" s="145"/>
      <c r="GY3057" s="145"/>
      <c r="GZ3057" s="145"/>
      <c r="HA3057" s="145"/>
      <c r="HB3057" s="145"/>
      <c r="HC3057" s="145"/>
      <c r="HD3057" s="145"/>
      <c r="HE3057" s="145"/>
    </row>
    <row r="3058" spans="1:214" x14ac:dyDescent="0.35">
      <c r="A3058" s="271"/>
      <c r="B3058" s="271"/>
      <c r="C3058" s="279"/>
      <c r="D3058" s="274"/>
      <c r="E3058" s="268"/>
      <c r="F3058" s="268"/>
      <c r="G3058" s="271"/>
      <c r="H3058" s="136" t="s">
        <v>73</v>
      </c>
      <c r="I3058" s="181">
        <f>D3057*K3058</f>
        <v>11249608.199999999</v>
      </c>
      <c r="J3058" s="181">
        <f>I3058/D3057</f>
        <v>3174</v>
      </c>
      <c r="K3058" s="181">
        <v>3174</v>
      </c>
      <c r="L3058" s="145"/>
      <c r="M3058" s="145"/>
      <c r="N3058" s="145"/>
      <c r="O3058" s="145"/>
      <c r="P3058" s="145"/>
      <c r="Q3058" s="145"/>
      <c r="R3058" s="145"/>
      <c r="S3058" s="145"/>
      <c r="T3058" s="145"/>
      <c r="U3058" s="145"/>
      <c r="V3058" s="145"/>
      <c r="W3058" s="145"/>
      <c r="X3058" s="145"/>
      <c r="Y3058" s="145"/>
      <c r="Z3058" s="145"/>
      <c r="AA3058" s="145"/>
      <c r="AB3058" s="145"/>
      <c r="AC3058" s="145"/>
      <c r="AD3058" s="145"/>
      <c r="AE3058" s="145"/>
      <c r="AF3058" s="145"/>
      <c r="AG3058" s="145"/>
      <c r="AH3058" s="145"/>
      <c r="AI3058" s="145"/>
      <c r="AJ3058" s="145"/>
      <c r="AK3058" s="145"/>
      <c r="AL3058" s="145"/>
      <c r="AM3058" s="145"/>
      <c r="AN3058" s="145"/>
      <c r="AO3058" s="145"/>
      <c r="AP3058" s="145"/>
      <c r="AQ3058" s="145"/>
      <c r="AR3058" s="145"/>
      <c r="AS3058" s="145"/>
      <c r="AT3058" s="145"/>
      <c r="AU3058" s="145"/>
      <c r="AV3058" s="145"/>
      <c r="AW3058" s="145"/>
      <c r="AX3058" s="145"/>
      <c r="AY3058" s="145"/>
      <c r="AZ3058" s="145"/>
      <c r="BA3058" s="145"/>
      <c r="BB3058" s="145"/>
      <c r="BC3058" s="145"/>
      <c r="BD3058" s="145"/>
      <c r="BE3058" s="145"/>
      <c r="BF3058" s="145"/>
      <c r="BG3058" s="145"/>
      <c r="BH3058" s="145"/>
      <c r="BI3058" s="145"/>
      <c r="BJ3058" s="145"/>
      <c r="BK3058" s="145"/>
      <c r="BL3058" s="145"/>
      <c r="BM3058" s="145"/>
      <c r="BN3058" s="145"/>
      <c r="BO3058" s="145"/>
      <c r="BP3058" s="145"/>
      <c r="BQ3058" s="145"/>
      <c r="BR3058" s="145"/>
      <c r="BS3058" s="145"/>
      <c r="BT3058" s="145"/>
      <c r="BU3058" s="145"/>
      <c r="BV3058" s="145"/>
      <c r="BW3058" s="145"/>
      <c r="BX3058" s="145"/>
      <c r="BY3058" s="145"/>
      <c r="BZ3058" s="145"/>
      <c r="CA3058" s="145"/>
      <c r="CB3058" s="145"/>
      <c r="CC3058" s="145"/>
      <c r="CD3058" s="145"/>
      <c r="CE3058" s="145"/>
      <c r="CF3058" s="145"/>
      <c r="CG3058" s="145"/>
      <c r="CH3058" s="145"/>
      <c r="CI3058" s="145"/>
      <c r="CJ3058" s="145"/>
      <c r="CK3058" s="145"/>
      <c r="CL3058" s="145"/>
      <c r="CM3058" s="145"/>
      <c r="CN3058" s="145"/>
      <c r="CO3058" s="145"/>
      <c r="CP3058" s="145"/>
      <c r="CQ3058" s="145"/>
      <c r="CR3058" s="145"/>
      <c r="CS3058" s="145"/>
      <c r="CT3058" s="145"/>
      <c r="CU3058" s="145"/>
      <c r="CV3058" s="145"/>
      <c r="CW3058" s="145"/>
      <c r="CX3058" s="145"/>
      <c r="CY3058" s="145"/>
      <c r="CZ3058" s="145"/>
      <c r="DA3058" s="145"/>
      <c r="DB3058" s="145"/>
      <c r="DC3058" s="145"/>
      <c r="DD3058" s="145"/>
      <c r="DE3058" s="145"/>
      <c r="DF3058" s="145"/>
      <c r="DG3058" s="145"/>
      <c r="DH3058" s="145"/>
      <c r="DI3058" s="145"/>
      <c r="DJ3058" s="145"/>
      <c r="DK3058" s="145"/>
      <c r="DL3058" s="145"/>
      <c r="DM3058" s="145"/>
      <c r="DN3058" s="145"/>
      <c r="DO3058" s="145"/>
      <c r="DP3058" s="145"/>
      <c r="DQ3058" s="145"/>
      <c r="DR3058" s="145"/>
      <c r="DS3058" s="145"/>
      <c r="DT3058" s="145"/>
      <c r="DU3058" s="145"/>
      <c r="DV3058" s="145"/>
      <c r="DW3058" s="145"/>
      <c r="DX3058" s="145"/>
      <c r="DY3058" s="145"/>
      <c r="DZ3058" s="145"/>
      <c r="EA3058" s="145"/>
      <c r="EB3058" s="145"/>
      <c r="EC3058" s="145"/>
      <c r="ED3058" s="145"/>
      <c r="EE3058" s="145"/>
      <c r="EF3058" s="145"/>
      <c r="EG3058" s="145"/>
      <c r="EH3058" s="145"/>
      <c r="EI3058" s="145"/>
      <c r="EJ3058" s="145"/>
      <c r="EK3058" s="145"/>
      <c r="EL3058" s="145"/>
      <c r="EM3058" s="145"/>
      <c r="EN3058" s="145"/>
      <c r="EO3058" s="145"/>
      <c r="EP3058" s="145"/>
      <c r="EQ3058" s="145"/>
      <c r="ER3058" s="145"/>
      <c r="ES3058" s="145"/>
      <c r="ET3058" s="145"/>
      <c r="EU3058" s="145"/>
      <c r="EV3058" s="145"/>
      <c r="EW3058" s="145"/>
      <c r="EX3058" s="145"/>
      <c r="EY3058" s="145"/>
      <c r="EZ3058" s="145"/>
      <c r="FA3058" s="145"/>
      <c r="FB3058" s="145"/>
      <c r="FC3058" s="145"/>
      <c r="FD3058" s="145"/>
      <c r="FE3058" s="145"/>
      <c r="FF3058" s="145"/>
      <c r="FG3058" s="145"/>
      <c r="FH3058" s="145"/>
      <c r="FI3058" s="145"/>
      <c r="FJ3058" s="145"/>
      <c r="FK3058" s="145"/>
      <c r="FL3058" s="145"/>
      <c r="FM3058" s="145"/>
      <c r="FN3058" s="145"/>
      <c r="FO3058" s="145"/>
      <c r="FP3058" s="145"/>
      <c r="FQ3058" s="145"/>
      <c r="FR3058" s="145"/>
      <c r="FS3058" s="145"/>
      <c r="FT3058" s="145"/>
      <c r="FU3058" s="145"/>
      <c r="FV3058" s="145"/>
      <c r="FW3058" s="145"/>
      <c r="FX3058" s="145"/>
      <c r="FY3058" s="145"/>
      <c r="FZ3058" s="145"/>
      <c r="GA3058" s="145"/>
      <c r="GB3058" s="145"/>
      <c r="GC3058" s="145"/>
      <c r="GD3058" s="145"/>
      <c r="GE3058" s="145"/>
      <c r="GF3058" s="145"/>
      <c r="GG3058" s="145"/>
      <c r="GH3058" s="145"/>
      <c r="GI3058" s="145"/>
      <c r="GJ3058" s="145"/>
      <c r="GK3058" s="145"/>
      <c r="GL3058" s="145"/>
      <c r="GM3058" s="145"/>
      <c r="GN3058" s="145"/>
      <c r="GO3058" s="145"/>
      <c r="GP3058" s="145"/>
      <c r="GQ3058" s="145"/>
      <c r="GR3058" s="145"/>
      <c r="GS3058" s="145"/>
      <c r="GT3058" s="145"/>
      <c r="GU3058" s="145"/>
      <c r="GV3058" s="145"/>
      <c r="GW3058" s="145"/>
      <c r="GX3058" s="145"/>
      <c r="GY3058" s="145"/>
      <c r="GZ3058" s="145"/>
      <c r="HA3058" s="145"/>
      <c r="HB3058" s="145"/>
      <c r="HC3058" s="145"/>
      <c r="HD3058" s="145"/>
      <c r="HE3058" s="145"/>
    </row>
    <row r="3059" spans="1:214" x14ac:dyDescent="0.35">
      <c r="A3059" s="272"/>
      <c r="B3059" s="272"/>
      <c r="C3059" s="285"/>
      <c r="D3059" s="275"/>
      <c r="E3059" s="269"/>
      <c r="F3059" s="269"/>
      <c r="G3059" s="272"/>
      <c r="H3059" s="136" t="s">
        <v>75</v>
      </c>
      <c r="I3059" s="181">
        <f>D3057*K3059</f>
        <v>241012.4</v>
      </c>
      <c r="J3059" s="181">
        <f>I3059/D3057</f>
        <v>68</v>
      </c>
      <c r="K3059" s="181">
        <v>68</v>
      </c>
      <c r="L3059" s="145"/>
      <c r="M3059" s="145"/>
      <c r="N3059" s="145"/>
      <c r="O3059" s="145"/>
      <c r="P3059" s="145"/>
      <c r="Q3059" s="145"/>
      <c r="R3059" s="145"/>
      <c r="S3059" s="145"/>
      <c r="T3059" s="145"/>
      <c r="U3059" s="145"/>
      <c r="V3059" s="145"/>
      <c r="W3059" s="145"/>
      <c r="X3059" s="145"/>
      <c r="Y3059" s="145"/>
      <c r="Z3059" s="145"/>
      <c r="AA3059" s="145"/>
      <c r="AB3059" s="145"/>
      <c r="AC3059" s="145"/>
      <c r="AD3059" s="145"/>
      <c r="AE3059" s="145"/>
      <c r="AF3059" s="145"/>
      <c r="AG3059" s="145"/>
      <c r="AH3059" s="145"/>
      <c r="AI3059" s="145"/>
      <c r="AJ3059" s="145"/>
      <c r="AK3059" s="145"/>
      <c r="AL3059" s="145"/>
      <c r="AM3059" s="145"/>
      <c r="AN3059" s="145"/>
      <c r="AO3059" s="145"/>
      <c r="AP3059" s="145"/>
      <c r="AQ3059" s="145"/>
      <c r="AR3059" s="145"/>
      <c r="AS3059" s="145"/>
      <c r="AT3059" s="145"/>
      <c r="AU3059" s="145"/>
      <c r="AV3059" s="145"/>
      <c r="AW3059" s="145"/>
      <c r="AX3059" s="145"/>
      <c r="AY3059" s="145"/>
      <c r="AZ3059" s="145"/>
      <c r="BA3059" s="145"/>
      <c r="BB3059" s="145"/>
      <c r="BC3059" s="145"/>
      <c r="BD3059" s="145"/>
      <c r="BE3059" s="145"/>
      <c r="BF3059" s="145"/>
      <c r="BG3059" s="145"/>
      <c r="BH3059" s="145"/>
      <c r="BI3059" s="145"/>
      <c r="BJ3059" s="145"/>
      <c r="BK3059" s="145"/>
      <c r="BL3059" s="145"/>
      <c r="BM3059" s="145"/>
      <c r="BN3059" s="145"/>
      <c r="BO3059" s="145"/>
      <c r="BP3059" s="145"/>
      <c r="BQ3059" s="145"/>
      <c r="BR3059" s="145"/>
      <c r="BS3059" s="145"/>
      <c r="BT3059" s="145"/>
      <c r="BU3059" s="145"/>
      <c r="BV3059" s="145"/>
      <c r="BW3059" s="145"/>
      <c r="BX3059" s="145"/>
      <c r="BY3059" s="145"/>
      <c r="BZ3059" s="145"/>
      <c r="CA3059" s="145"/>
      <c r="CB3059" s="145"/>
      <c r="CC3059" s="145"/>
      <c r="CD3059" s="145"/>
      <c r="CE3059" s="145"/>
      <c r="CF3059" s="145"/>
      <c r="CG3059" s="145"/>
      <c r="CH3059" s="145"/>
      <c r="CI3059" s="145"/>
      <c r="CJ3059" s="145"/>
      <c r="CK3059" s="145"/>
      <c r="CL3059" s="145"/>
      <c r="CM3059" s="145"/>
      <c r="CN3059" s="145"/>
      <c r="CO3059" s="145"/>
      <c r="CP3059" s="145"/>
      <c r="CQ3059" s="145"/>
      <c r="CR3059" s="145"/>
      <c r="CS3059" s="145"/>
      <c r="CT3059" s="145"/>
      <c r="CU3059" s="145"/>
      <c r="CV3059" s="145"/>
      <c r="CW3059" s="145"/>
      <c r="CX3059" s="145"/>
      <c r="CY3059" s="145"/>
      <c r="CZ3059" s="145"/>
      <c r="DA3059" s="145"/>
      <c r="DB3059" s="145"/>
      <c r="DC3059" s="145"/>
      <c r="DD3059" s="145"/>
      <c r="DE3059" s="145"/>
      <c r="DF3059" s="145"/>
      <c r="DG3059" s="145"/>
      <c r="DH3059" s="145"/>
      <c r="DI3059" s="145"/>
      <c r="DJ3059" s="145"/>
      <c r="DK3059" s="145"/>
      <c r="DL3059" s="145"/>
      <c r="DM3059" s="145"/>
      <c r="DN3059" s="145"/>
      <c r="DO3059" s="145"/>
      <c r="DP3059" s="145"/>
      <c r="DQ3059" s="145"/>
      <c r="DR3059" s="145"/>
      <c r="DS3059" s="145"/>
      <c r="DT3059" s="145"/>
      <c r="DU3059" s="145"/>
      <c r="DV3059" s="145"/>
      <c r="DW3059" s="145"/>
      <c r="DX3059" s="145"/>
      <c r="DY3059" s="145"/>
      <c r="DZ3059" s="145"/>
      <c r="EA3059" s="145"/>
      <c r="EB3059" s="145"/>
      <c r="EC3059" s="145"/>
      <c r="ED3059" s="145"/>
      <c r="EE3059" s="145"/>
      <c r="EF3059" s="145"/>
      <c r="EG3059" s="145"/>
      <c r="EH3059" s="145"/>
      <c r="EI3059" s="145"/>
      <c r="EJ3059" s="145"/>
      <c r="EK3059" s="145"/>
      <c r="EL3059" s="145"/>
      <c r="EM3059" s="145"/>
      <c r="EN3059" s="145"/>
      <c r="EO3059" s="145"/>
      <c r="EP3059" s="145"/>
      <c r="EQ3059" s="145"/>
      <c r="ER3059" s="145"/>
      <c r="ES3059" s="145"/>
      <c r="ET3059" s="145"/>
      <c r="EU3059" s="145"/>
      <c r="EV3059" s="145"/>
      <c r="EW3059" s="145"/>
      <c r="EX3059" s="145"/>
      <c r="EY3059" s="145"/>
      <c r="EZ3059" s="145"/>
      <c r="FA3059" s="145"/>
      <c r="FB3059" s="145"/>
      <c r="FC3059" s="145"/>
      <c r="FD3059" s="145"/>
      <c r="FE3059" s="145"/>
      <c r="FF3059" s="145"/>
      <c r="FG3059" s="145"/>
      <c r="FH3059" s="145"/>
      <c r="FI3059" s="145"/>
      <c r="FJ3059" s="145"/>
      <c r="FK3059" s="145"/>
      <c r="FL3059" s="145"/>
      <c r="FM3059" s="145"/>
      <c r="FN3059" s="145"/>
      <c r="FO3059" s="145"/>
      <c r="FP3059" s="145"/>
      <c r="FQ3059" s="145"/>
      <c r="FR3059" s="145"/>
      <c r="FS3059" s="145"/>
      <c r="FT3059" s="145"/>
      <c r="FU3059" s="145"/>
      <c r="FV3059" s="145"/>
      <c r="FW3059" s="145"/>
      <c r="FX3059" s="145"/>
      <c r="FY3059" s="145"/>
      <c r="FZ3059" s="145"/>
      <c r="GA3059" s="145"/>
      <c r="GB3059" s="145"/>
      <c r="GC3059" s="145"/>
      <c r="GD3059" s="145"/>
      <c r="GE3059" s="145"/>
      <c r="GF3059" s="145"/>
      <c r="GG3059" s="145"/>
      <c r="GH3059" s="145"/>
      <c r="GI3059" s="145"/>
      <c r="GJ3059" s="145"/>
      <c r="GK3059" s="145"/>
      <c r="GL3059" s="145"/>
      <c r="GM3059" s="145"/>
      <c r="GN3059" s="145"/>
      <c r="GO3059" s="145"/>
      <c r="GP3059" s="145"/>
      <c r="GQ3059" s="145"/>
      <c r="GR3059" s="145"/>
      <c r="GS3059" s="145"/>
      <c r="GT3059" s="145"/>
      <c r="GU3059" s="145"/>
      <c r="GV3059" s="145"/>
      <c r="GW3059" s="145"/>
      <c r="GX3059" s="145"/>
      <c r="GY3059" s="145"/>
      <c r="GZ3059" s="145"/>
      <c r="HA3059" s="145"/>
      <c r="HB3059" s="145"/>
      <c r="HC3059" s="145"/>
      <c r="HD3059" s="145"/>
      <c r="HE3059" s="145"/>
    </row>
    <row r="3060" spans="1:214" x14ac:dyDescent="0.35">
      <c r="A3060" s="277">
        <f>A3057+1</f>
        <v>45</v>
      </c>
      <c r="B3060" s="277">
        <v>3319</v>
      </c>
      <c r="C3060" s="266" t="s">
        <v>127</v>
      </c>
      <c r="D3060" s="287">
        <v>3538.3</v>
      </c>
      <c r="E3060" s="276" t="s">
        <v>70</v>
      </c>
      <c r="F3060" s="276">
        <v>5</v>
      </c>
      <c r="G3060" s="277" t="s">
        <v>71</v>
      </c>
      <c r="H3060" s="136" t="s">
        <v>72</v>
      </c>
      <c r="I3060" s="181">
        <f>I3061+I3062</f>
        <v>11471168.6</v>
      </c>
      <c r="J3060" s="181">
        <f>J3061+J3062</f>
        <v>3242</v>
      </c>
      <c r="K3060" s="181">
        <f>K3061+K3062</f>
        <v>3242</v>
      </c>
      <c r="L3060" s="145"/>
      <c r="M3060" s="145"/>
      <c r="N3060" s="145"/>
      <c r="O3060" s="145"/>
      <c r="P3060" s="145"/>
      <c r="Q3060" s="145"/>
      <c r="R3060" s="145"/>
      <c r="S3060" s="145"/>
      <c r="T3060" s="145"/>
      <c r="U3060" s="145"/>
      <c r="V3060" s="145"/>
      <c r="W3060" s="145"/>
      <c r="X3060" s="145"/>
      <c r="Y3060" s="145"/>
      <c r="Z3060" s="145"/>
      <c r="AA3060" s="145"/>
      <c r="AB3060" s="145"/>
      <c r="AC3060" s="145"/>
      <c r="AD3060" s="145"/>
      <c r="AE3060" s="145"/>
      <c r="AF3060" s="145"/>
      <c r="AG3060" s="145"/>
      <c r="AH3060" s="145"/>
      <c r="AI3060" s="145"/>
      <c r="AJ3060" s="145"/>
      <c r="AK3060" s="145"/>
      <c r="AL3060" s="145"/>
      <c r="AM3060" s="145"/>
      <c r="AN3060" s="145"/>
      <c r="AO3060" s="145"/>
      <c r="AP3060" s="145"/>
      <c r="AQ3060" s="145"/>
      <c r="AR3060" s="145"/>
      <c r="AS3060" s="145"/>
      <c r="AT3060" s="145"/>
      <c r="AU3060" s="145"/>
      <c r="AV3060" s="145"/>
      <c r="AW3060" s="145"/>
      <c r="AX3060" s="145"/>
      <c r="AY3060" s="145"/>
      <c r="AZ3060" s="145"/>
      <c r="BA3060" s="145"/>
      <c r="BB3060" s="145"/>
      <c r="BC3060" s="145"/>
      <c r="BD3060" s="145"/>
      <c r="BE3060" s="145"/>
      <c r="BF3060" s="145"/>
      <c r="BG3060" s="145"/>
      <c r="BH3060" s="145"/>
      <c r="BI3060" s="145"/>
      <c r="BJ3060" s="145"/>
      <c r="BK3060" s="145"/>
      <c r="BL3060" s="145"/>
      <c r="BM3060" s="145"/>
      <c r="BN3060" s="145"/>
      <c r="BO3060" s="145"/>
      <c r="BP3060" s="145"/>
      <c r="BQ3060" s="145"/>
      <c r="BR3060" s="145"/>
      <c r="BS3060" s="145"/>
      <c r="BT3060" s="145"/>
      <c r="BU3060" s="145"/>
      <c r="BV3060" s="145"/>
      <c r="BW3060" s="145"/>
      <c r="BX3060" s="145"/>
      <c r="BY3060" s="145"/>
      <c r="BZ3060" s="145"/>
      <c r="CA3060" s="145"/>
      <c r="CB3060" s="145"/>
      <c r="CC3060" s="145"/>
      <c r="CD3060" s="145"/>
      <c r="CE3060" s="145"/>
      <c r="CF3060" s="145"/>
      <c r="CG3060" s="145"/>
      <c r="CH3060" s="145"/>
      <c r="CI3060" s="145"/>
      <c r="CJ3060" s="145"/>
      <c r="CK3060" s="145"/>
      <c r="CL3060" s="145"/>
      <c r="CM3060" s="145"/>
      <c r="CN3060" s="145"/>
      <c r="CO3060" s="145"/>
      <c r="CP3060" s="145"/>
      <c r="CQ3060" s="145"/>
      <c r="CR3060" s="145"/>
      <c r="CS3060" s="145"/>
      <c r="CT3060" s="145"/>
      <c r="CU3060" s="145"/>
      <c r="CV3060" s="145"/>
      <c r="CW3060" s="145"/>
      <c r="CX3060" s="145"/>
      <c r="CY3060" s="145"/>
      <c r="CZ3060" s="145"/>
      <c r="DA3060" s="145"/>
      <c r="DB3060" s="145"/>
      <c r="DC3060" s="145"/>
      <c r="DD3060" s="145"/>
      <c r="DE3060" s="145"/>
      <c r="DF3060" s="145"/>
      <c r="DG3060" s="145"/>
      <c r="DH3060" s="145"/>
      <c r="DI3060" s="145"/>
      <c r="DJ3060" s="145"/>
      <c r="DK3060" s="145"/>
      <c r="DL3060" s="145"/>
      <c r="DM3060" s="145"/>
      <c r="DN3060" s="145"/>
      <c r="DO3060" s="145"/>
      <c r="DP3060" s="145"/>
      <c r="DQ3060" s="145"/>
      <c r="DR3060" s="145"/>
      <c r="DS3060" s="145"/>
      <c r="DT3060" s="145"/>
      <c r="DU3060" s="145"/>
      <c r="DV3060" s="145"/>
      <c r="DW3060" s="145"/>
      <c r="DX3060" s="145"/>
      <c r="DY3060" s="145"/>
      <c r="DZ3060" s="145"/>
      <c r="EA3060" s="145"/>
      <c r="EB3060" s="145"/>
      <c r="EC3060" s="145"/>
      <c r="ED3060" s="145"/>
      <c r="EE3060" s="145"/>
      <c r="EF3060" s="145"/>
      <c r="EG3060" s="145"/>
      <c r="EH3060" s="145"/>
      <c r="EI3060" s="145"/>
      <c r="EJ3060" s="145"/>
      <c r="EK3060" s="145"/>
      <c r="EL3060" s="145"/>
      <c r="EM3060" s="145"/>
      <c r="EN3060" s="145"/>
      <c r="EO3060" s="145"/>
      <c r="EP3060" s="145"/>
      <c r="EQ3060" s="145"/>
      <c r="ER3060" s="145"/>
      <c r="ES3060" s="145"/>
      <c r="ET3060" s="145"/>
      <c r="EU3060" s="145"/>
      <c r="EV3060" s="145"/>
      <c r="EW3060" s="145"/>
      <c r="EX3060" s="145"/>
      <c r="EY3060" s="145"/>
      <c r="EZ3060" s="145"/>
      <c r="FA3060" s="145"/>
      <c r="FB3060" s="145"/>
      <c r="FC3060" s="145"/>
      <c r="FD3060" s="145"/>
      <c r="FE3060" s="145"/>
      <c r="FF3060" s="145"/>
      <c r="FG3060" s="145"/>
      <c r="FH3060" s="145"/>
      <c r="FI3060" s="145"/>
      <c r="FJ3060" s="145"/>
      <c r="FK3060" s="145"/>
      <c r="FL3060" s="145"/>
      <c r="FM3060" s="145"/>
      <c r="FN3060" s="145"/>
      <c r="FO3060" s="145"/>
      <c r="FP3060" s="145"/>
      <c r="FQ3060" s="145"/>
      <c r="FR3060" s="145"/>
      <c r="FS3060" s="145"/>
      <c r="FT3060" s="145"/>
      <c r="FU3060" s="145"/>
      <c r="FV3060" s="145"/>
      <c r="FW3060" s="145"/>
      <c r="FX3060" s="145"/>
      <c r="FY3060" s="145"/>
      <c r="FZ3060" s="145"/>
      <c r="GA3060" s="145"/>
      <c r="GB3060" s="145"/>
      <c r="GC3060" s="145"/>
      <c r="GD3060" s="145"/>
      <c r="GE3060" s="145"/>
      <c r="GF3060" s="145"/>
      <c r="GG3060" s="145"/>
      <c r="GH3060" s="145"/>
      <c r="GI3060" s="145"/>
      <c r="GJ3060" s="145"/>
      <c r="GK3060" s="145"/>
      <c r="GL3060" s="145"/>
      <c r="GM3060" s="145"/>
      <c r="GN3060" s="145"/>
      <c r="GO3060" s="145"/>
      <c r="GP3060" s="145"/>
      <c r="GQ3060" s="145"/>
      <c r="GR3060" s="145"/>
      <c r="GS3060" s="145"/>
      <c r="GT3060" s="145"/>
      <c r="GU3060" s="145"/>
      <c r="GV3060" s="145"/>
      <c r="GW3060" s="145"/>
      <c r="GX3060" s="145"/>
      <c r="GY3060" s="145"/>
      <c r="GZ3060" s="145"/>
      <c r="HA3060" s="145"/>
      <c r="HB3060" s="145"/>
      <c r="HC3060" s="145"/>
      <c r="HD3060" s="145"/>
      <c r="HE3060" s="145"/>
    </row>
    <row r="3061" spans="1:214" x14ac:dyDescent="0.35">
      <c r="A3061" s="277">
        <v>77</v>
      </c>
      <c r="B3061" s="277"/>
      <c r="C3061" s="266"/>
      <c r="D3061" s="287"/>
      <c r="E3061" s="276"/>
      <c r="F3061" s="276"/>
      <c r="G3061" s="277"/>
      <c r="H3061" s="136" t="s">
        <v>73</v>
      </c>
      <c r="I3061" s="181">
        <f>D3060*K3061</f>
        <v>11230564.199999999</v>
      </c>
      <c r="J3061" s="181">
        <f>I3061/D3060</f>
        <v>3174</v>
      </c>
      <c r="K3061" s="181">
        <v>3174</v>
      </c>
      <c r="L3061" s="145"/>
      <c r="M3061" s="145"/>
      <c r="N3061" s="145"/>
      <c r="O3061" s="145"/>
      <c r="P3061" s="145"/>
      <c r="Q3061" s="145"/>
      <c r="R3061" s="145"/>
      <c r="S3061" s="145"/>
      <c r="T3061" s="145"/>
      <c r="U3061" s="145"/>
      <c r="V3061" s="145"/>
      <c r="W3061" s="145"/>
      <c r="X3061" s="145"/>
      <c r="Y3061" s="145"/>
      <c r="Z3061" s="145"/>
      <c r="AA3061" s="145"/>
      <c r="AB3061" s="145"/>
      <c r="AC3061" s="145"/>
      <c r="AD3061" s="145"/>
      <c r="AE3061" s="145"/>
      <c r="AF3061" s="145"/>
      <c r="AG3061" s="145"/>
      <c r="AH3061" s="145"/>
      <c r="AI3061" s="145"/>
      <c r="AJ3061" s="145"/>
      <c r="AK3061" s="145"/>
      <c r="AL3061" s="145"/>
      <c r="AM3061" s="145"/>
      <c r="AN3061" s="145"/>
      <c r="AO3061" s="145"/>
      <c r="AP3061" s="145"/>
      <c r="AQ3061" s="145"/>
      <c r="AR3061" s="145"/>
      <c r="AS3061" s="145"/>
      <c r="AT3061" s="145"/>
      <c r="AU3061" s="145"/>
      <c r="AV3061" s="145"/>
      <c r="AW3061" s="145"/>
      <c r="AX3061" s="145"/>
      <c r="AY3061" s="145"/>
      <c r="AZ3061" s="145"/>
      <c r="BA3061" s="145"/>
      <c r="BB3061" s="145"/>
      <c r="BC3061" s="145"/>
      <c r="BD3061" s="145"/>
      <c r="BE3061" s="145"/>
      <c r="BF3061" s="145"/>
      <c r="BG3061" s="145"/>
      <c r="BH3061" s="145"/>
      <c r="BI3061" s="145"/>
      <c r="BJ3061" s="145"/>
      <c r="BK3061" s="145"/>
      <c r="BL3061" s="145"/>
      <c r="BM3061" s="145"/>
      <c r="BN3061" s="145"/>
      <c r="BO3061" s="145"/>
      <c r="BP3061" s="145"/>
      <c r="BQ3061" s="145"/>
      <c r="BR3061" s="145"/>
      <c r="BS3061" s="145"/>
      <c r="BT3061" s="145"/>
      <c r="BU3061" s="145"/>
      <c r="BV3061" s="145"/>
      <c r="BW3061" s="145"/>
      <c r="BX3061" s="145"/>
      <c r="BY3061" s="145"/>
      <c r="BZ3061" s="145"/>
      <c r="CA3061" s="145"/>
      <c r="CB3061" s="145"/>
      <c r="CC3061" s="145"/>
      <c r="CD3061" s="145"/>
      <c r="CE3061" s="145"/>
      <c r="CF3061" s="145"/>
      <c r="CG3061" s="145"/>
      <c r="CH3061" s="145"/>
      <c r="CI3061" s="145"/>
      <c r="CJ3061" s="145"/>
      <c r="CK3061" s="145"/>
      <c r="CL3061" s="145"/>
      <c r="CM3061" s="145"/>
      <c r="CN3061" s="145"/>
      <c r="CO3061" s="145"/>
      <c r="CP3061" s="145"/>
      <c r="CQ3061" s="145"/>
      <c r="CR3061" s="145"/>
      <c r="CS3061" s="145"/>
      <c r="CT3061" s="145"/>
      <c r="CU3061" s="145"/>
      <c r="CV3061" s="145"/>
      <c r="CW3061" s="145"/>
      <c r="CX3061" s="145"/>
      <c r="CY3061" s="145"/>
      <c r="CZ3061" s="145"/>
      <c r="DA3061" s="145"/>
      <c r="DB3061" s="145"/>
      <c r="DC3061" s="145"/>
      <c r="DD3061" s="145"/>
      <c r="DE3061" s="145"/>
      <c r="DF3061" s="145"/>
      <c r="DG3061" s="145"/>
      <c r="DH3061" s="145"/>
      <c r="DI3061" s="145"/>
      <c r="DJ3061" s="145"/>
      <c r="DK3061" s="145"/>
      <c r="DL3061" s="145"/>
      <c r="DM3061" s="145"/>
      <c r="DN3061" s="145"/>
      <c r="DO3061" s="145"/>
      <c r="DP3061" s="145"/>
      <c r="DQ3061" s="145"/>
      <c r="DR3061" s="145"/>
      <c r="DS3061" s="145"/>
      <c r="DT3061" s="145"/>
      <c r="DU3061" s="145"/>
      <c r="DV3061" s="145"/>
      <c r="DW3061" s="145"/>
      <c r="DX3061" s="145"/>
      <c r="DY3061" s="145"/>
      <c r="DZ3061" s="145"/>
      <c r="EA3061" s="145"/>
      <c r="EB3061" s="145"/>
      <c r="EC3061" s="145"/>
      <c r="ED3061" s="145"/>
      <c r="EE3061" s="145"/>
      <c r="EF3061" s="145"/>
      <c r="EG3061" s="145"/>
      <c r="EH3061" s="145"/>
      <c r="EI3061" s="145"/>
      <c r="EJ3061" s="145"/>
      <c r="EK3061" s="145"/>
      <c r="EL3061" s="145"/>
      <c r="EM3061" s="145"/>
      <c r="EN3061" s="145"/>
      <c r="EO3061" s="145"/>
      <c r="EP3061" s="145"/>
      <c r="EQ3061" s="145"/>
      <c r="ER3061" s="145"/>
      <c r="ES3061" s="145"/>
      <c r="ET3061" s="145"/>
      <c r="EU3061" s="145"/>
      <c r="EV3061" s="145"/>
      <c r="EW3061" s="145"/>
      <c r="EX3061" s="145"/>
      <c r="EY3061" s="145"/>
      <c r="EZ3061" s="145"/>
      <c r="FA3061" s="145"/>
      <c r="FB3061" s="145"/>
      <c r="FC3061" s="145"/>
      <c r="FD3061" s="145"/>
      <c r="FE3061" s="145"/>
      <c r="FF3061" s="145"/>
      <c r="FG3061" s="145"/>
      <c r="FH3061" s="145"/>
      <c r="FI3061" s="145"/>
      <c r="FJ3061" s="145"/>
      <c r="FK3061" s="145"/>
      <c r="FL3061" s="145"/>
      <c r="FM3061" s="145"/>
      <c r="FN3061" s="145"/>
      <c r="FO3061" s="145"/>
      <c r="FP3061" s="145"/>
      <c r="FQ3061" s="145"/>
      <c r="FR3061" s="145"/>
      <c r="FS3061" s="145"/>
      <c r="FT3061" s="145"/>
      <c r="FU3061" s="145"/>
      <c r="FV3061" s="145"/>
      <c r="FW3061" s="145"/>
      <c r="FX3061" s="145"/>
      <c r="FY3061" s="145"/>
      <c r="FZ3061" s="145"/>
      <c r="GA3061" s="145"/>
      <c r="GB3061" s="145"/>
      <c r="GC3061" s="145"/>
      <c r="GD3061" s="145"/>
      <c r="GE3061" s="145"/>
      <c r="GF3061" s="145"/>
      <c r="GG3061" s="145"/>
      <c r="GH3061" s="145"/>
      <c r="GI3061" s="145"/>
      <c r="GJ3061" s="145"/>
      <c r="GK3061" s="145"/>
      <c r="GL3061" s="145"/>
      <c r="GM3061" s="145"/>
      <c r="GN3061" s="145"/>
      <c r="GO3061" s="145"/>
      <c r="GP3061" s="145"/>
      <c r="GQ3061" s="145"/>
      <c r="GR3061" s="145"/>
      <c r="GS3061" s="145"/>
      <c r="GT3061" s="145"/>
      <c r="GU3061" s="145"/>
      <c r="GV3061" s="145"/>
      <c r="GW3061" s="145"/>
      <c r="GX3061" s="145"/>
      <c r="GY3061" s="145"/>
      <c r="GZ3061" s="145"/>
      <c r="HA3061" s="145"/>
      <c r="HB3061" s="145"/>
      <c r="HC3061" s="145"/>
      <c r="HD3061" s="145"/>
      <c r="HE3061" s="145"/>
    </row>
    <row r="3062" spans="1:214" x14ac:dyDescent="0.35">
      <c r="A3062" s="277">
        <v>78</v>
      </c>
      <c r="B3062" s="277"/>
      <c r="C3062" s="266"/>
      <c r="D3062" s="287"/>
      <c r="E3062" s="276"/>
      <c r="F3062" s="276"/>
      <c r="G3062" s="277"/>
      <c r="H3062" s="136" t="s">
        <v>75</v>
      </c>
      <c r="I3062" s="181">
        <f>D3060*K3062</f>
        <v>240604.4</v>
      </c>
      <c r="J3062" s="181">
        <f>I3062/D3060</f>
        <v>68</v>
      </c>
      <c r="K3062" s="181">
        <v>68</v>
      </c>
      <c r="L3062" s="145"/>
      <c r="M3062" s="145"/>
      <c r="N3062" s="145"/>
      <c r="O3062" s="145"/>
      <c r="P3062" s="145"/>
      <c r="Q3062" s="145"/>
      <c r="R3062" s="145"/>
      <c r="S3062" s="145"/>
      <c r="T3062" s="145"/>
      <c r="U3062" s="145"/>
      <c r="V3062" s="145"/>
      <c r="W3062" s="145"/>
      <c r="X3062" s="145"/>
      <c r="Y3062" s="145"/>
      <c r="Z3062" s="145"/>
      <c r="AA3062" s="145"/>
      <c r="AB3062" s="145"/>
      <c r="AC3062" s="145"/>
      <c r="AD3062" s="145"/>
      <c r="AE3062" s="145"/>
      <c r="AF3062" s="145"/>
      <c r="AG3062" s="145"/>
      <c r="AH3062" s="145"/>
      <c r="AI3062" s="145"/>
      <c r="AJ3062" s="145"/>
      <c r="AK3062" s="145"/>
      <c r="AL3062" s="145"/>
      <c r="AM3062" s="145"/>
      <c r="AN3062" s="145"/>
      <c r="AO3062" s="145"/>
      <c r="AP3062" s="145"/>
      <c r="AQ3062" s="145"/>
      <c r="AR3062" s="145"/>
      <c r="AS3062" s="145"/>
      <c r="AT3062" s="145"/>
      <c r="AU3062" s="145"/>
      <c r="AV3062" s="145"/>
      <c r="AW3062" s="145"/>
      <c r="AX3062" s="145"/>
      <c r="AY3062" s="145"/>
      <c r="AZ3062" s="145"/>
      <c r="BA3062" s="145"/>
      <c r="BB3062" s="145"/>
      <c r="BC3062" s="145"/>
      <c r="BD3062" s="145"/>
      <c r="BE3062" s="145"/>
      <c r="BF3062" s="145"/>
      <c r="BG3062" s="145"/>
      <c r="BH3062" s="145"/>
      <c r="BI3062" s="145"/>
      <c r="BJ3062" s="145"/>
      <c r="BK3062" s="145"/>
      <c r="BL3062" s="145"/>
      <c r="BM3062" s="145"/>
      <c r="BN3062" s="145"/>
      <c r="BO3062" s="145"/>
      <c r="BP3062" s="145"/>
      <c r="BQ3062" s="145"/>
      <c r="BR3062" s="145"/>
      <c r="BS3062" s="145"/>
      <c r="BT3062" s="145"/>
      <c r="BU3062" s="145"/>
      <c r="BV3062" s="145"/>
      <c r="BW3062" s="145"/>
      <c r="BX3062" s="145"/>
      <c r="BY3062" s="145"/>
      <c r="BZ3062" s="145"/>
      <c r="CA3062" s="145"/>
      <c r="CB3062" s="145"/>
      <c r="CC3062" s="145"/>
      <c r="CD3062" s="145"/>
      <c r="CE3062" s="145"/>
      <c r="CF3062" s="145"/>
      <c r="CG3062" s="145"/>
      <c r="CH3062" s="145"/>
      <c r="CI3062" s="145"/>
      <c r="CJ3062" s="145"/>
      <c r="CK3062" s="145"/>
      <c r="CL3062" s="145"/>
      <c r="CM3062" s="145"/>
      <c r="CN3062" s="145"/>
      <c r="CO3062" s="145"/>
      <c r="CP3062" s="145"/>
      <c r="CQ3062" s="145"/>
      <c r="CR3062" s="145"/>
      <c r="CS3062" s="145"/>
      <c r="CT3062" s="145"/>
      <c r="CU3062" s="145"/>
      <c r="CV3062" s="145"/>
      <c r="CW3062" s="145"/>
      <c r="CX3062" s="145"/>
      <c r="CY3062" s="145"/>
      <c r="CZ3062" s="145"/>
      <c r="DA3062" s="145"/>
      <c r="DB3062" s="145"/>
      <c r="DC3062" s="145"/>
      <c r="DD3062" s="145"/>
      <c r="DE3062" s="145"/>
      <c r="DF3062" s="145"/>
      <c r="DG3062" s="145"/>
      <c r="DH3062" s="145"/>
      <c r="DI3062" s="145"/>
      <c r="DJ3062" s="145"/>
      <c r="DK3062" s="145"/>
      <c r="DL3062" s="145"/>
      <c r="DM3062" s="145"/>
      <c r="DN3062" s="145"/>
      <c r="DO3062" s="145"/>
      <c r="DP3062" s="145"/>
      <c r="DQ3062" s="145"/>
      <c r="DR3062" s="145"/>
      <c r="DS3062" s="145"/>
      <c r="DT3062" s="145"/>
      <c r="DU3062" s="145"/>
      <c r="DV3062" s="145"/>
      <c r="DW3062" s="145"/>
      <c r="DX3062" s="145"/>
      <c r="DY3062" s="145"/>
      <c r="DZ3062" s="145"/>
      <c r="EA3062" s="145"/>
      <c r="EB3062" s="145"/>
      <c r="EC3062" s="145"/>
      <c r="ED3062" s="145"/>
      <c r="EE3062" s="145"/>
      <c r="EF3062" s="145"/>
      <c r="EG3062" s="145"/>
      <c r="EH3062" s="145"/>
      <c r="EI3062" s="145"/>
      <c r="EJ3062" s="145"/>
      <c r="EK3062" s="145"/>
      <c r="EL3062" s="145"/>
      <c r="EM3062" s="145"/>
      <c r="EN3062" s="145"/>
      <c r="EO3062" s="145"/>
      <c r="EP3062" s="145"/>
      <c r="EQ3062" s="145"/>
      <c r="ER3062" s="145"/>
      <c r="ES3062" s="145"/>
      <c r="ET3062" s="145"/>
      <c r="EU3062" s="145"/>
      <c r="EV3062" s="145"/>
      <c r="EW3062" s="145"/>
      <c r="EX3062" s="145"/>
      <c r="EY3062" s="145"/>
      <c r="EZ3062" s="145"/>
      <c r="FA3062" s="145"/>
      <c r="FB3062" s="145"/>
      <c r="FC3062" s="145"/>
      <c r="FD3062" s="145"/>
      <c r="FE3062" s="145"/>
      <c r="FF3062" s="145"/>
      <c r="FG3062" s="145"/>
      <c r="FH3062" s="145"/>
      <c r="FI3062" s="145"/>
      <c r="FJ3062" s="145"/>
      <c r="FK3062" s="145"/>
      <c r="FL3062" s="145"/>
      <c r="FM3062" s="145"/>
      <c r="FN3062" s="145"/>
      <c r="FO3062" s="145"/>
      <c r="FP3062" s="145"/>
      <c r="FQ3062" s="145"/>
      <c r="FR3062" s="145"/>
      <c r="FS3062" s="145"/>
      <c r="FT3062" s="145"/>
      <c r="FU3062" s="145"/>
      <c r="FV3062" s="145"/>
      <c r="FW3062" s="145"/>
      <c r="FX3062" s="145"/>
      <c r="FY3062" s="145"/>
      <c r="FZ3062" s="145"/>
      <c r="GA3062" s="145"/>
      <c r="GB3062" s="145"/>
      <c r="GC3062" s="145"/>
      <c r="GD3062" s="145"/>
      <c r="GE3062" s="145"/>
      <c r="GF3062" s="145"/>
      <c r="GG3062" s="145"/>
      <c r="GH3062" s="145"/>
      <c r="GI3062" s="145"/>
      <c r="GJ3062" s="145"/>
      <c r="GK3062" s="145"/>
      <c r="GL3062" s="145"/>
      <c r="GM3062" s="145"/>
      <c r="GN3062" s="145"/>
      <c r="GO3062" s="145"/>
      <c r="GP3062" s="145"/>
      <c r="GQ3062" s="145"/>
      <c r="GR3062" s="145"/>
      <c r="GS3062" s="145"/>
      <c r="GT3062" s="145"/>
      <c r="GU3062" s="145"/>
      <c r="GV3062" s="145"/>
      <c r="GW3062" s="145"/>
      <c r="GX3062" s="145"/>
      <c r="GY3062" s="145"/>
      <c r="GZ3062" s="145"/>
      <c r="HA3062" s="145"/>
      <c r="HB3062" s="145"/>
      <c r="HC3062" s="145"/>
      <c r="HD3062" s="145"/>
      <c r="HE3062" s="145"/>
    </row>
    <row r="3063" spans="1:214" x14ac:dyDescent="0.35">
      <c r="A3063" s="277">
        <f>A3060+1</f>
        <v>46</v>
      </c>
      <c r="B3063" s="277">
        <v>3183</v>
      </c>
      <c r="C3063" s="266" t="s">
        <v>128</v>
      </c>
      <c r="D3063" s="287">
        <v>5802.9</v>
      </c>
      <c r="E3063" s="276" t="s">
        <v>70</v>
      </c>
      <c r="F3063" s="276">
        <v>5</v>
      </c>
      <c r="G3063" s="277" t="s">
        <v>71</v>
      </c>
      <c r="H3063" s="136" t="s">
        <v>72</v>
      </c>
      <c r="I3063" s="181">
        <f>I3064+I3065</f>
        <v>18813001.800000001</v>
      </c>
      <c r="J3063" s="181">
        <f>J3064+J3065</f>
        <v>3242</v>
      </c>
      <c r="K3063" s="181">
        <f>K3064+K3065</f>
        <v>3242</v>
      </c>
      <c r="L3063" s="145"/>
      <c r="M3063" s="145"/>
      <c r="N3063" s="145"/>
      <c r="O3063" s="145"/>
      <c r="P3063" s="145"/>
      <c r="Q3063" s="145"/>
      <c r="R3063" s="145"/>
      <c r="S3063" s="145"/>
      <c r="T3063" s="145"/>
      <c r="U3063" s="145"/>
      <c r="V3063" s="145"/>
      <c r="W3063" s="145"/>
      <c r="X3063" s="145"/>
      <c r="Y3063" s="145"/>
      <c r="Z3063" s="145"/>
      <c r="AA3063" s="145"/>
      <c r="AB3063" s="145"/>
      <c r="AC3063" s="145"/>
      <c r="AD3063" s="145"/>
      <c r="AE3063" s="145"/>
      <c r="AF3063" s="145"/>
      <c r="AG3063" s="145"/>
      <c r="AH3063" s="145"/>
      <c r="AI3063" s="145"/>
      <c r="AJ3063" s="145"/>
      <c r="AK3063" s="145"/>
      <c r="AL3063" s="145"/>
      <c r="AM3063" s="145"/>
      <c r="AN3063" s="145"/>
      <c r="AO3063" s="145"/>
      <c r="AP3063" s="145"/>
      <c r="AQ3063" s="145"/>
      <c r="AR3063" s="145"/>
      <c r="AS3063" s="145"/>
      <c r="AT3063" s="145"/>
      <c r="AU3063" s="145"/>
      <c r="AV3063" s="145"/>
      <c r="AW3063" s="145"/>
      <c r="AX3063" s="145"/>
      <c r="AY3063" s="145"/>
      <c r="AZ3063" s="145"/>
      <c r="BA3063" s="145"/>
      <c r="BB3063" s="145"/>
      <c r="BC3063" s="145"/>
      <c r="BD3063" s="145"/>
      <c r="BE3063" s="145"/>
      <c r="BF3063" s="145"/>
      <c r="BG3063" s="145"/>
      <c r="BH3063" s="145"/>
      <c r="BI3063" s="145"/>
      <c r="BJ3063" s="145"/>
      <c r="BK3063" s="145"/>
      <c r="BL3063" s="145"/>
      <c r="BM3063" s="145"/>
      <c r="BN3063" s="145"/>
      <c r="BO3063" s="145"/>
      <c r="BP3063" s="145"/>
      <c r="BQ3063" s="145"/>
      <c r="BR3063" s="145"/>
      <c r="BS3063" s="145"/>
      <c r="BT3063" s="145"/>
      <c r="BU3063" s="145"/>
      <c r="BV3063" s="145"/>
      <c r="BW3063" s="145"/>
      <c r="BX3063" s="145"/>
      <c r="BY3063" s="145"/>
      <c r="BZ3063" s="145"/>
      <c r="CA3063" s="145"/>
      <c r="CB3063" s="145"/>
      <c r="CC3063" s="145"/>
      <c r="CD3063" s="145"/>
      <c r="CE3063" s="145"/>
      <c r="CF3063" s="145"/>
      <c r="CG3063" s="145"/>
      <c r="CH3063" s="145"/>
      <c r="CI3063" s="145"/>
      <c r="CJ3063" s="145"/>
      <c r="CK3063" s="145"/>
      <c r="CL3063" s="145"/>
      <c r="CM3063" s="145"/>
      <c r="CN3063" s="145"/>
      <c r="CO3063" s="145"/>
      <c r="CP3063" s="145"/>
      <c r="CQ3063" s="145"/>
      <c r="CR3063" s="145"/>
      <c r="CS3063" s="145"/>
      <c r="CT3063" s="145"/>
      <c r="CU3063" s="145"/>
      <c r="CV3063" s="145"/>
      <c r="CW3063" s="145"/>
      <c r="CX3063" s="145"/>
      <c r="CY3063" s="145"/>
      <c r="CZ3063" s="145"/>
      <c r="DA3063" s="145"/>
      <c r="DB3063" s="145"/>
      <c r="DC3063" s="145"/>
      <c r="DD3063" s="145"/>
      <c r="DE3063" s="145"/>
      <c r="DF3063" s="145"/>
      <c r="DG3063" s="145"/>
      <c r="DH3063" s="145"/>
      <c r="DI3063" s="145"/>
      <c r="DJ3063" s="145"/>
      <c r="DK3063" s="145"/>
      <c r="DL3063" s="145"/>
      <c r="DM3063" s="145"/>
      <c r="DN3063" s="145"/>
      <c r="DO3063" s="145"/>
      <c r="DP3063" s="145"/>
      <c r="DQ3063" s="145"/>
      <c r="DR3063" s="145"/>
      <c r="DS3063" s="145"/>
      <c r="DT3063" s="145"/>
      <c r="DU3063" s="145"/>
      <c r="DV3063" s="145"/>
      <c r="DW3063" s="145"/>
      <c r="DX3063" s="145"/>
      <c r="DY3063" s="145"/>
      <c r="DZ3063" s="145"/>
      <c r="EA3063" s="145"/>
      <c r="EB3063" s="145"/>
      <c r="EC3063" s="145"/>
      <c r="ED3063" s="145"/>
      <c r="EE3063" s="145"/>
      <c r="EF3063" s="145"/>
      <c r="EG3063" s="145"/>
      <c r="EH3063" s="145"/>
      <c r="EI3063" s="145"/>
      <c r="EJ3063" s="145"/>
      <c r="EK3063" s="145"/>
      <c r="EL3063" s="145"/>
      <c r="EM3063" s="145"/>
      <c r="EN3063" s="145"/>
      <c r="EO3063" s="145"/>
      <c r="EP3063" s="145"/>
      <c r="EQ3063" s="145"/>
      <c r="ER3063" s="145"/>
      <c r="ES3063" s="145"/>
      <c r="ET3063" s="145"/>
      <c r="EU3063" s="145"/>
      <c r="EV3063" s="145"/>
      <c r="EW3063" s="145"/>
      <c r="EX3063" s="145"/>
      <c r="EY3063" s="145"/>
      <c r="EZ3063" s="145"/>
      <c r="FA3063" s="145"/>
      <c r="FB3063" s="145"/>
      <c r="FC3063" s="145"/>
      <c r="FD3063" s="145"/>
      <c r="FE3063" s="145"/>
      <c r="FF3063" s="145"/>
      <c r="FG3063" s="145"/>
      <c r="FH3063" s="145"/>
      <c r="FI3063" s="145"/>
      <c r="FJ3063" s="145"/>
      <c r="FK3063" s="145"/>
      <c r="FL3063" s="145"/>
      <c r="FM3063" s="145"/>
      <c r="FN3063" s="145"/>
      <c r="FO3063" s="145"/>
      <c r="FP3063" s="145"/>
      <c r="FQ3063" s="145"/>
      <c r="FR3063" s="145"/>
      <c r="FS3063" s="145"/>
      <c r="FT3063" s="145"/>
      <c r="FU3063" s="145"/>
      <c r="FV3063" s="145"/>
      <c r="FW3063" s="145"/>
      <c r="FX3063" s="145"/>
      <c r="FY3063" s="145"/>
      <c r="FZ3063" s="145"/>
      <c r="GA3063" s="145"/>
      <c r="GB3063" s="145"/>
      <c r="GC3063" s="145"/>
      <c r="GD3063" s="145"/>
      <c r="GE3063" s="145"/>
      <c r="GF3063" s="145"/>
      <c r="GG3063" s="145"/>
      <c r="GH3063" s="145"/>
      <c r="GI3063" s="145"/>
      <c r="GJ3063" s="145"/>
      <c r="GK3063" s="145"/>
      <c r="GL3063" s="145"/>
      <c r="GM3063" s="145"/>
      <c r="GN3063" s="145"/>
      <c r="GO3063" s="145"/>
      <c r="GP3063" s="145"/>
      <c r="GQ3063" s="145"/>
      <c r="GR3063" s="145"/>
      <c r="GS3063" s="145"/>
      <c r="GT3063" s="145"/>
      <c r="GU3063" s="145"/>
      <c r="GV3063" s="145"/>
      <c r="GW3063" s="145"/>
      <c r="GX3063" s="145"/>
      <c r="GY3063" s="145"/>
      <c r="GZ3063" s="145"/>
      <c r="HA3063" s="145"/>
      <c r="HB3063" s="145"/>
      <c r="HC3063" s="145"/>
      <c r="HD3063" s="145"/>
      <c r="HE3063" s="145"/>
      <c r="HF3063" s="145"/>
    </row>
    <row r="3064" spans="1:214" x14ac:dyDescent="0.35">
      <c r="A3064" s="277">
        <v>79</v>
      </c>
      <c r="B3064" s="277"/>
      <c r="C3064" s="266"/>
      <c r="D3064" s="287"/>
      <c r="E3064" s="276"/>
      <c r="F3064" s="276"/>
      <c r="G3064" s="277"/>
      <c r="H3064" s="136" t="s">
        <v>73</v>
      </c>
      <c r="I3064" s="181">
        <f>D3063*K3064</f>
        <v>18418404.600000001</v>
      </c>
      <c r="J3064" s="181">
        <f>I3064/D3063</f>
        <v>3174</v>
      </c>
      <c r="K3064" s="181">
        <v>3174</v>
      </c>
      <c r="L3064" s="145"/>
      <c r="M3064" s="145"/>
      <c r="N3064" s="145"/>
      <c r="O3064" s="145"/>
      <c r="P3064" s="145"/>
      <c r="Q3064" s="145"/>
      <c r="R3064" s="145"/>
      <c r="S3064" s="145"/>
      <c r="T3064" s="145"/>
      <c r="U3064" s="145"/>
      <c r="V3064" s="145"/>
      <c r="W3064" s="145"/>
      <c r="X3064" s="145"/>
      <c r="Y3064" s="145"/>
      <c r="Z3064" s="145"/>
      <c r="AA3064" s="145"/>
      <c r="AB3064" s="145"/>
      <c r="AC3064" s="145"/>
      <c r="AD3064" s="145"/>
      <c r="AE3064" s="145"/>
      <c r="AF3064" s="145"/>
      <c r="AG3064" s="145"/>
      <c r="AH3064" s="145"/>
      <c r="AI3064" s="145"/>
      <c r="AJ3064" s="145"/>
      <c r="AK3064" s="145"/>
      <c r="AL3064" s="145"/>
      <c r="AM3064" s="145"/>
      <c r="AN3064" s="145"/>
      <c r="AO3064" s="145"/>
      <c r="AP3064" s="145"/>
      <c r="AQ3064" s="145"/>
      <c r="AR3064" s="145"/>
      <c r="AS3064" s="145"/>
      <c r="AT3064" s="145"/>
      <c r="AU3064" s="145"/>
      <c r="AV3064" s="145"/>
      <c r="AW3064" s="145"/>
      <c r="AX3064" s="145"/>
      <c r="AY3064" s="145"/>
      <c r="AZ3064" s="145"/>
      <c r="BA3064" s="145"/>
      <c r="BB3064" s="145"/>
      <c r="BC3064" s="145"/>
      <c r="BD3064" s="145"/>
      <c r="BE3064" s="145"/>
      <c r="BF3064" s="145"/>
      <c r="BG3064" s="145"/>
      <c r="BH3064" s="145"/>
      <c r="BI3064" s="145"/>
      <c r="BJ3064" s="145"/>
      <c r="BK3064" s="145"/>
      <c r="BL3064" s="145"/>
      <c r="BM3064" s="145"/>
      <c r="BN3064" s="145"/>
      <c r="BO3064" s="145"/>
      <c r="BP3064" s="145"/>
      <c r="BQ3064" s="145"/>
      <c r="BR3064" s="145"/>
      <c r="BS3064" s="145"/>
      <c r="BT3064" s="145"/>
      <c r="BU3064" s="145"/>
      <c r="BV3064" s="145"/>
      <c r="BW3064" s="145"/>
      <c r="BX3064" s="145"/>
      <c r="BY3064" s="145"/>
      <c r="BZ3064" s="145"/>
      <c r="CA3064" s="145"/>
      <c r="CB3064" s="145"/>
      <c r="CC3064" s="145"/>
      <c r="CD3064" s="145"/>
      <c r="CE3064" s="145"/>
      <c r="CF3064" s="145"/>
      <c r="CG3064" s="145"/>
      <c r="CH3064" s="145"/>
      <c r="CI3064" s="145"/>
      <c r="CJ3064" s="145"/>
      <c r="CK3064" s="145"/>
      <c r="CL3064" s="145"/>
      <c r="CM3064" s="145"/>
      <c r="CN3064" s="145"/>
      <c r="CO3064" s="145"/>
      <c r="CP3064" s="145"/>
      <c r="CQ3064" s="145"/>
      <c r="CR3064" s="145"/>
      <c r="CS3064" s="145"/>
      <c r="CT3064" s="145"/>
      <c r="CU3064" s="145"/>
      <c r="CV3064" s="145"/>
      <c r="CW3064" s="145"/>
      <c r="CX3064" s="145"/>
      <c r="CY3064" s="145"/>
      <c r="CZ3064" s="145"/>
      <c r="DA3064" s="145"/>
      <c r="DB3064" s="145"/>
      <c r="DC3064" s="145"/>
      <c r="DD3064" s="145"/>
      <c r="DE3064" s="145"/>
      <c r="DF3064" s="145"/>
      <c r="DG3064" s="145"/>
      <c r="DH3064" s="145"/>
      <c r="DI3064" s="145"/>
      <c r="DJ3064" s="145"/>
      <c r="DK3064" s="145"/>
      <c r="DL3064" s="145"/>
      <c r="DM3064" s="145"/>
      <c r="DN3064" s="145"/>
      <c r="DO3064" s="145"/>
      <c r="DP3064" s="145"/>
      <c r="DQ3064" s="145"/>
      <c r="DR3064" s="145"/>
      <c r="DS3064" s="145"/>
      <c r="DT3064" s="145"/>
      <c r="DU3064" s="145"/>
      <c r="DV3064" s="145"/>
      <c r="DW3064" s="145"/>
      <c r="DX3064" s="145"/>
      <c r="DY3064" s="145"/>
      <c r="DZ3064" s="145"/>
      <c r="EA3064" s="145"/>
      <c r="EB3064" s="145"/>
      <c r="EC3064" s="145"/>
      <c r="ED3064" s="145"/>
      <c r="EE3064" s="145"/>
      <c r="EF3064" s="145"/>
      <c r="EG3064" s="145"/>
      <c r="EH3064" s="145"/>
      <c r="EI3064" s="145"/>
      <c r="EJ3064" s="145"/>
      <c r="EK3064" s="145"/>
      <c r="EL3064" s="145"/>
      <c r="EM3064" s="145"/>
      <c r="EN3064" s="145"/>
      <c r="EO3064" s="145"/>
      <c r="EP3064" s="145"/>
      <c r="EQ3064" s="145"/>
      <c r="ER3064" s="145"/>
      <c r="ES3064" s="145"/>
      <c r="ET3064" s="145"/>
      <c r="EU3064" s="145"/>
      <c r="EV3064" s="145"/>
      <c r="EW3064" s="145"/>
      <c r="EX3064" s="145"/>
      <c r="EY3064" s="145"/>
      <c r="EZ3064" s="145"/>
      <c r="FA3064" s="145"/>
      <c r="FB3064" s="145"/>
      <c r="FC3064" s="145"/>
      <c r="FD3064" s="145"/>
      <c r="FE3064" s="145"/>
      <c r="FF3064" s="145"/>
      <c r="FG3064" s="145"/>
      <c r="FH3064" s="145"/>
      <c r="FI3064" s="145"/>
      <c r="FJ3064" s="145"/>
      <c r="FK3064" s="145"/>
      <c r="FL3064" s="145"/>
      <c r="FM3064" s="145"/>
      <c r="FN3064" s="145"/>
      <c r="FO3064" s="145"/>
      <c r="FP3064" s="145"/>
      <c r="FQ3064" s="145"/>
      <c r="FR3064" s="145"/>
      <c r="FS3064" s="145"/>
      <c r="FT3064" s="145"/>
      <c r="FU3064" s="145"/>
      <c r="FV3064" s="145"/>
      <c r="FW3064" s="145"/>
      <c r="FX3064" s="145"/>
      <c r="FY3064" s="145"/>
      <c r="FZ3064" s="145"/>
      <c r="GA3064" s="145"/>
      <c r="GB3064" s="145"/>
      <c r="GC3064" s="145"/>
      <c r="GD3064" s="145"/>
      <c r="GE3064" s="145"/>
      <c r="GF3064" s="145"/>
      <c r="GG3064" s="145"/>
      <c r="GH3064" s="145"/>
      <c r="GI3064" s="145"/>
      <c r="GJ3064" s="145"/>
      <c r="GK3064" s="145"/>
      <c r="GL3064" s="145"/>
      <c r="GM3064" s="145"/>
      <c r="GN3064" s="145"/>
      <c r="GO3064" s="145"/>
      <c r="GP3064" s="145"/>
      <c r="GQ3064" s="145"/>
      <c r="GR3064" s="145"/>
      <c r="GS3064" s="145"/>
      <c r="GT3064" s="145"/>
      <c r="GU3064" s="145"/>
      <c r="GV3064" s="145"/>
      <c r="GW3064" s="145"/>
      <c r="GX3064" s="145"/>
      <c r="GY3064" s="145"/>
      <c r="GZ3064" s="145"/>
      <c r="HA3064" s="145"/>
      <c r="HB3064" s="145"/>
      <c r="HC3064" s="145"/>
      <c r="HD3064" s="145"/>
      <c r="HE3064" s="145"/>
      <c r="HF3064" s="145"/>
    </row>
    <row r="3065" spans="1:214" x14ac:dyDescent="0.35">
      <c r="A3065" s="277">
        <v>80</v>
      </c>
      <c r="B3065" s="277"/>
      <c r="C3065" s="266"/>
      <c r="D3065" s="287"/>
      <c r="E3065" s="276"/>
      <c r="F3065" s="276"/>
      <c r="G3065" s="277"/>
      <c r="H3065" s="136" t="s">
        <v>75</v>
      </c>
      <c r="I3065" s="181">
        <f>D3063*K3065</f>
        <v>394597.2</v>
      </c>
      <c r="J3065" s="181">
        <f>I3065/D3063</f>
        <v>68</v>
      </c>
      <c r="K3065" s="181">
        <v>68</v>
      </c>
      <c r="L3065" s="145"/>
      <c r="M3065" s="145"/>
      <c r="N3065" s="145"/>
      <c r="O3065" s="145"/>
      <c r="P3065" s="145"/>
      <c r="Q3065" s="145"/>
      <c r="R3065" s="145"/>
      <c r="S3065" s="145"/>
      <c r="T3065" s="145"/>
      <c r="U3065" s="145"/>
      <c r="V3065" s="145"/>
      <c r="W3065" s="145"/>
      <c r="X3065" s="145"/>
      <c r="Y3065" s="145"/>
      <c r="Z3065" s="145"/>
      <c r="AA3065" s="145"/>
      <c r="AB3065" s="145"/>
      <c r="AC3065" s="145"/>
      <c r="AD3065" s="145"/>
      <c r="AE3065" s="145"/>
      <c r="AF3065" s="145"/>
      <c r="AG3065" s="145"/>
      <c r="AH3065" s="145"/>
      <c r="AI3065" s="145"/>
      <c r="AJ3065" s="145"/>
      <c r="AK3065" s="145"/>
      <c r="AL3065" s="145"/>
      <c r="AM3065" s="145"/>
      <c r="AN3065" s="145"/>
      <c r="AO3065" s="145"/>
      <c r="AP3065" s="145"/>
      <c r="AQ3065" s="145"/>
      <c r="AR3065" s="145"/>
      <c r="AS3065" s="145"/>
      <c r="AT3065" s="145"/>
      <c r="AU3065" s="145"/>
      <c r="AV3065" s="145"/>
      <c r="AW3065" s="145"/>
      <c r="AX3065" s="145"/>
      <c r="AY3065" s="145"/>
      <c r="AZ3065" s="145"/>
      <c r="BA3065" s="145"/>
      <c r="BB3065" s="145"/>
      <c r="BC3065" s="145"/>
      <c r="BD3065" s="145"/>
      <c r="BE3065" s="145"/>
      <c r="BF3065" s="145"/>
      <c r="BG3065" s="145"/>
      <c r="BH3065" s="145"/>
      <c r="BI3065" s="145"/>
      <c r="BJ3065" s="145"/>
      <c r="BK3065" s="145"/>
      <c r="BL3065" s="145"/>
      <c r="BM3065" s="145"/>
      <c r="BN3065" s="145"/>
      <c r="BO3065" s="145"/>
      <c r="BP3065" s="145"/>
      <c r="BQ3065" s="145"/>
      <c r="BR3065" s="145"/>
      <c r="BS3065" s="145"/>
      <c r="BT3065" s="145"/>
      <c r="BU3065" s="145"/>
      <c r="BV3065" s="145"/>
      <c r="BW3065" s="145"/>
      <c r="BX3065" s="145"/>
      <c r="BY3065" s="145"/>
      <c r="BZ3065" s="145"/>
      <c r="CA3065" s="145"/>
      <c r="CB3065" s="145"/>
      <c r="CC3065" s="145"/>
      <c r="CD3065" s="145"/>
      <c r="CE3065" s="145"/>
      <c r="CF3065" s="145"/>
      <c r="CG3065" s="145"/>
      <c r="CH3065" s="145"/>
      <c r="CI3065" s="145"/>
      <c r="CJ3065" s="145"/>
      <c r="CK3065" s="145"/>
      <c r="CL3065" s="145"/>
      <c r="CM3065" s="145"/>
      <c r="CN3065" s="145"/>
      <c r="CO3065" s="145"/>
      <c r="CP3065" s="145"/>
      <c r="CQ3065" s="145"/>
      <c r="CR3065" s="145"/>
      <c r="CS3065" s="145"/>
      <c r="CT3065" s="145"/>
      <c r="CU3065" s="145"/>
      <c r="CV3065" s="145"/>
      <c r="CW3065" s="145"/>
      <c r="CX3065" s="145"/>
      <c r="CY3065" s="145"/>
      <c r="CZ3065" s="145"/>
      <c r="DA3065" s="145"/>
      <c r="DB3065" s="145"/>
      <c r="DC3065" s="145"/>
      <c r="DD3065" s="145"/>
      <c r="DE3065" s="145"/>
      <c r="DF3065" s="145"/>
      <c r="DG3065" s="145"/>
      <c r="DH3065" s="145"/>
      <c r="DI3065" s="145"/>
      <c r="DJ3065" s="145"/>
      <c r="DK3065" s="145"/>
      <c r="DL3065" s="145"/>
      <c r="DM3065" s="145"/>
      <c r="DN3065" s="145"/>
      <c r="DO3065" s="145"/>
      <c r="DP3065" s="145"/>
      <c r="DQ3065" s="145"/>
      <c r="DR3065" s="145"/>
      <c r="DS3065" s="145"/>
      <c r="DT3065" s="145"/>
      <c r="DU3065" s="145"/>
      <c r="DV3065" s="145"/>
      <c r="DW3065" s="145"/>
      <c r="DX3065" s="145"/>
      <c r="DY3065" s="145"/>
      <c r="DZ3065" s="145"/>
      <c r="EA3065" s="145"/>
      <c r="EB3065" s="145"/>
      <c r="EC3065" s="145"/>
      <c r="ED3065" s="145"/>
      <c r="EE3065" s="145"/>
      <c r="EF3065" s="145"/>
      <c r="EG3065" s="145"/>
      <c r="EH3065" s="145"/>
      <c r="EI3065" s="145"/>
      <c r="EJ3065" s="145"/>
      <c r="EK3065" s="145"/>
      <c r="EL3065" s="145"/>
      <c r="EM3065" s="145"/>
      <c r="EN3065" s="145"/>
      <c r="EO3065" s="145"/>
      <c r="EP3065" s="145"/>
      <c r="EQ3065" s="145"/>
      <c r="ER3065" s="145"/>
      <c r="ES3065" s="145"/>
      <c r="ET3065" s="145"/>
      <c r="EU3065" s="145"/>
      <c r="EV3065" s="145"/>
      <c r="EW3065" s="145"/>
      <c r="EX3065" s="145"/>
      <c r="EY3065" s="145"/>
      <c r="EZ3065" s="145"/>
      <c r="FA3065" s="145"/>
      <c r="FB3065" s="145"/>
      <c r="FC3065" s="145"/>
      <c r="FD3065" s="145"/>
      <c r="FE3065" s="145"/>
      <c r="FF3065" s="145"/>
      <c r="FG3065" s="145"/>
      <c r="FH3065" s="145"/>
      <c r="FI3065" s="145"/>
      <c r="FJ3065" s="145"/>
      <c r="FK3065" s="145"/>
      <c r="FL3065" s="145"/>
      <c r="FM3065" s="145"/>
      <c r="FN3065" s="145"/>
      <c r="FO3065" s="145"/>
      <c r="FP3065" s="145"/>
      <c r="FQ3065" s="145"/>
      <c r="FR3065" s="145"/>
      <c r="FS3065" s="145"/>
      <c r="FT3065" s="145"/>
      <c r="FU3065" s="145"/>
      <c r="FV3065" s="145"/>
      <c r="FW3065" s="145"/>
      <c r="FX3065" s="145"/>
      <c r="FY3065" s="145"/>
      <c r="FZ3065" s="145"/>
      <c r="GA3065" s="145"/>
      <c r="GB3065" s="145"/>
      <c r="GC3065" s="145"/>
      <c r="GD3065" s="145"/>
      <c r="GE3065" s="145"/>
      <c r="GF3065" s="145"/>
      <c r="GG3065" s="145"/>
      <c r="GH3065" s="145"/>
      <c r="GI3065" s="145"/>
      <c r="GJ3065" s="145"/>
      <c r="GK3065" s="145"/>
      <c r="GL3065" s="145"/>
      <c r="GM3065" s="145"/>
      <c r="GN3065" s="145"/>
      <c r="GO3065" s="145"/>
      <c r="GP3065" s="145"/>
      <c r="GQ3065" s="145"/>
      <c r="GR3065" s="145"/>
      <c r="GS3065" s="145"/>
      <c r="GT3065" s="145"/>
      <c r="GU3065" s="145"/>
      <c r="GV3065" s="145"/>
      <c r="GW3065" s="145"/>
      <c r="GX3065" s="145"/>
      <c r="GY3065" s="145"/>
      <c r="GZ3065" s="145"/>
      <c r="HA3065" s="145"/>
      <c r="HB3065" s="145"/>
      <c r="HC3065" s="145"/>
      <c r="HD3065" s="145"/>
      <c r="HE3065" s="145"/>
      <c r="HF3065" s="145"/>
    </row>
    <row r="3066" spans="1:214" x14ac:dyDescent="0.35">
      <c r="A3066" s="277">
        <f>A3063+1</f>
        <v>47</v>
      </c>
      <c r="B3066" s="277">
        <v>3186</v>
      </c>
      <c r="C3066" s="266" t="s">
        <v>129</v>
      </c>
      <c r="D3066" s="287">
        <v>2902.9</v>
      </c>
      <c r="E3066" s="276" t="s">
        <v>70</v>
      </c>
      <c r="F3066" s="276">
        <v>5</v>
      </c>
      <c r="G3066" s="277" t="s">
        <v>71</v>
      </c>
      <c r="H3066" s="136" t="s">
        <v>72</v>
      </c>
      <c r="I3066" s="181">
        <f>I3067+I3068</f>
        <v>9387608.8499999996</v>
      </c>
      <c r="J3066" s="181">
        <f>J3067+J3068</f>
        <v>3233.87</v>
      </c>
      <c r="K3066" s="181">
        <f>K3067+K3068</f>
        <v>3242</v>
      </c>
      <c r="L3066" s="145"/>
      <c r="M3066" s="145"/>
      <c r="N3066" s="145"/>
      <c r="O3066" s="145"/>
      <c r="P3066" s="145"/>
      <c r="Q3066" s="145"/>
      <c r="R3066" s="145"/>
      <c r="S3066" s="145"/>
      <c r="T3066" s="145"/>
      <c r="U3066" s="145"/>
      <c r="V3066" s="145"/>
      <c r="W3066" s="145"/>
      <c r="X3066" s="145"/>
      <c r="Y3066" s="145"/>
      <c r="Z3066" s="145"/>
      <c r="AA3066" s="145"/>
      <c r="AB3066" s="145"/>
      <c r="AC3066" s="145"/>
      <c r="AD3066" s="145"/>
      <c r="AE3066" s="145"/>
      <c r="AF3066" s="145"/>
      <c r="AG3066" s="145"/>
      <c r="AH3066" s="145"/>
      <c r="AI3066" s="145"/>
      <c r="AJ3066" s="145"/>
      <c r="AK3066" s="145"/>
      <c r="AL3066" s="145"/>
      <c r="AM3066" s="145"/>
      <c r="AN3066" s="145"/>
      <c r="AO3066" s="145"/>
      <c r="AP3066" s="145"/>
      <c r="AQ3066" s="145"/>
      <c r="AR3066" s="145"/>
      <c r="AS3066" s="145"/>
      <c r="AT3066" s="145"/>
      <c r="AU3066" s="145"/>
      <c r="AV3066" s="145"/>
      <c r="AW3066" s="145"/>
      <c r="AX3066" s="145"/>
      <c r="AY3066" s="145"/>
      <c r="AZ3066" s="145"/>
      <c r="BA3066" s="145"/>
      <c r="BB3066" s="145"/>
      <c r="BC3066" s="145"/>
      <c r="BD3066" s="145"/>
      <c r="BE3066" s="145"/>
      <c r="BF3066" s="145"/>
      <c r="BG3066" s="145"/>
      <c r="BH3066" s="145"/>
      <c r="BI3066" s="145"/>
      <c r="BJ3066" s="145"/>
      <c r="BK3066" s="145"/>
      <c r="BL3066" s="145"/>
      <c r="BM3066" s="145"/>
      <c r="BN3066" s="145"/>
      <c r="BO3066" s="145"/>
      <c r="BP3066" s="145"/>
      <c r="BQ3066" s="145"/>
      <c r="BR3066" s="145"/>
      <c r="BS3066" s="145"/>
      <c r="BT3066" s="145"/>
      <c r="BU3066" s="145"/>
      <c r="BV3066" s="145"/>
      <c r="BW3066" s="145"/>
      <c r="BX3066" s="145"/>
      <c r="BY3066" s="145"/>
      <c r="BZ3066" s="145"/>
      <c r="CA3066" s="145"/>
      <c r="CB3066" s="145"/>
      <c r="CC3066" s="145"/>
      <c r="CD3066" s="145"/>
      <c r="CE3066" s="145"/>
      <c r="CF3066" s="145"/>
      <c r="CG3066" s="145"/>
      <c r="CH3066" s="145"/>
      <c r="CI3066" s="145"/>
      <c r="CJ3066" s="145"/>
      <c r="CK3066" s="145"/>
      <c r="CL3066" s="145"/>
      <c r="CM3066" s="145"/>
      <c r="CN3066" s="145"/>
      <c r="CO3066" s="145"/>
      <c r="CP3066" s="145"/>
      <c r="CQ3066" s="145"/>
      <c r="CR3066" s="145"/>
      <c r="CS3066" s="145"/>
      <c r="CT3066" s="145"/>
      <c r="CU3066" s="145"/>
      <c r="CV3066" s="145"/>
      <c r="CW3066" s="145"/>
      <c r="CX3066" s="145"/>
      <c r="CY3066" s="145"/>
      <c r="CZ3066" s="145"/>
      <c r="DA3066" s="145"/>
      <c r="DB3066" s="145"/>
      <c r="DC3066" s="145"/>
      <c r="DD3066" s="145"/>
      <c r="DE3066" s="145"/>
      <c r="DF3066" s="145"/>
      <c r="DG3066" s="145"/>
      <c r="DH3066" s="145"/>
      <c r="DI3066" s="145"/>
      <c r="DJ3066" s="145"/>
      <c r="DK3066" s="145"/>
      <c r="DL3066" s="145"/>
      <c r="DM3066" s="145"/>
      <c r="DN3066" s="145"/>
      <c r="DO3066" s="145"/>
      <c r="DP3066" s="145"/>
      <c r="DQ3066" s="145"/>
      <c r="DR3066" s="145"/>
      <c r="DS3066" s="145"/>
      <c r="DT3066" s="145"/>
      <c r="DU3066" s="145"/>
      <c r="DV3066" s="145"/>
      <c r="DW3066" s="145"/>
      <c r="DX3066" s="145"/>
      <c r="DY3066" s="145"/>
      <c r="DZ3066" s="145"/>
      <c r="EA3066" s="145"/>
      <c r="EB3066" s="145"/>
      <c r="EC3066" s="145"/>
      <c r="ED3066" s="145"/>
      <c r="EE3066" s="145"/>
      <c r="EF3066" s="145"/>
      <c r="EG3066" s="145"/>
      <c r="EH3066" s="145"/>
      <c r="EI3066" s="145"/>
      <c r="EJ3066" s="145"/>
      <c r="EK3066" s="145"/>
      <c r="EL3066" s="145"/>
      <c r="EM3066" s="145"/>
      <c r="EN3066" s="145"/>
      <c r="EO3066" s="145"/>
      <c r="EP3066" s="145"/>
      <c r="EQ3066" s="145"/>
      <c r="ER3066" s="145"/>
      <c r="ES3066" s="145"/>
      <c r="ET3066" s="145"/>
      <c r="EU3066" s="145"/>
      <c r="EV3066" s="145"/>
      <c r="EW3066" s="145"/>
      <c r="EX3066" s="145"/>
      <c r="EY3066" s="145"/>
      <c r="EZ3066" s="145"/>
      <c r="FA3066" s="145"/>
      <c r="FB3066" s="145"/>
      <c r="FC3066" s="145"/>
      <c r="FD3066" s="145"/>
      <c r="FE3066" s="145"/>
      <c r="FF3066" s="145"/>
      <c r="FG3066" s="145"/>
      <c r="FH3066" s="145"/>
      <c r="FI3066" s="145"/>
      <c r="FJ3066" s="145"/>
      <c r="FK3066" s="145"/>
      <c r="FL3066" s="145"/>
      <c r="FM3066" s="145"/>
      <c r="FN3066" s="145"/>
      <c r="FO3066" s="145"/>
      <c r="FP3066" s="145"/>
      <c r="FQ3066" s="145"/>
      <c r="FR3066" s="145"/>
      <c r="FS3066" s="145"/>
      <c r="FT3066" s="145"/>
      <c r="FU3066" s="145"/>
      <c r="FV3066" s="145"/>
      <c r="FW3066" s="145"/>
      <c r="FX3066" s="145"/>
      <c r="FY3066" s="145"/>
      <c r="FZ3066" s="145"/>
      <c r="GA3066" s="145"/>
      <c r="GB3066" s="145"/>
      <c r="GC3066" s="145"/>
      <c r="GD3066" s="145"/>
      <c r="GE3066" s="145"/>
      <c r="GF3066" s="145"/>
      <c r="GG3066" s="145"/>
      <c r="GH3066" s="145"/>
      <c r="GI3066" s="145"/>
      <c r="GJ3066" s="145"/>
      <c r="GK3066" s="145"/>
      <c r="GL3066" s="145"/>
      <c r="GM3066" s="145"/>
      <c r="GN3066" s="145"/>
      <c r="GO3066" s="145"/>
      <c r="GP3066" s="145"/>
      <c r="GQ3066" s="145"/>
      <c r="GR3066" s="145"/>
      <c r="GS3066" s="145"/>
      <c r="GT3066" s="145"/>
      <c r="GU3066" s="145"/>
      <c r="GV3066" s="145"/>
      <c r="GW3066" s="145"/>
      <c r="GX3066" s="145"/>
      <c r="GY3066" s="145"/>
      <c r="GZ3066" s="145"/>
      <c r="HA3066" s="145"/>
      <c r="HB3066" s="145"/>
      <c r="HC3066" s="145"/>
      <c r="HD3066" s="145"/>
      <c r="HE3066" s="145"/>
      <c r="HF3066" s="145"/>
    </row>
    <row r="3067" spans="1:214" x14ac:dyDescent="0.35">
      <c r="A3067" s="277">
        <v>77</v>
      </c>
      <c r="B3067" s="277"/>
      <c r="C3067" s="266"/>
      <c r="D3067" s="287"/>
      <c r="E3067" s="276"/>
      <c r="F3067" s="276"/>
      <c r="G3067" s="277"/>
      <c r="H3067" s="136" t="s">
        <v>73</v>
      </c>
      <c r="I3067" s="181">
        <f>(7054264+359946+4839+217145)*1.02*1.18</f>
        <v>9190923.0999999996</v>
      </c>
      <c r="J3067" s="181">
        <f>I3067/D3066</f>
        <v>3166.12</v>
      </c>
      <c r="K3067" s="181">
        <v>3174</v>
      </c>
      <c r="L3067" s="145"/>
      <c r="M3067" s="145"/>
      <c r="N3067" s="145"/>
      <c r="O3067" s="145"/>
      <c r="P3067" s="145"/>
      <c r="Q3067" s="145"/>
      <c r="R3067" s="145"/>
      <c r="S3067" s="145"/>
      <c r="T3067" s="145"/>
      <c r="U3067" s="145"/>
      <c r="V3067" s="145"/>
      <c r="W3067" s="145"/>
      <c r="X3067" s="145"/>
      <c r="Y3067" s="145"/>
      <c r="Z3067" s="145"/>
      <c r="AA3067" s="145"/>
      <c r="AB3067" s="145"/>
      <c r="AC3067" s="145"/>
      <c r="AD3067" s="145"/>
      <c r="AE3067" s="145"/>
      <c r="AF3067" s="145"/>
      <c r="AG3067" s="145"/>
      <c r="AH3067" s="145"/>
      <c r="AI3067" s="145"/>
      <c r="AJ3067" s="145"/>
      <c r="AK3067" s="145"/>
      <c r="AL3067" s="145"/>
      <c r="AM3067" s="145"/>
      <c r="AN3067" s="145"/>
      <c r="AO3067" s="145"/>
      <c r="AP3067" s="145"/>
      <c r="AQ3067" s="145"/>
      <c r="AR3067" s="145"/>
      <c r="AS3067" s="145"/>
      <c r="AT3067" s="145"/>
      <c r="AU3067" s="145"/>
      <c r="AV3067" s="145"/>
      <c r="AW3067" s="145"/>
      <c r="AX3067" s="145"/>
      <c r="AY3067" s="145"/>
      <c r="AZ3067" s="145"/>
      <c r="BA3067" s="145"/>
      <c r="BB3067" s="145"/>
      <c r="BC3067" s="145"/>
      <c r="BD3067" s="145"/>
      <c r="BE3067" s="145"/>
      <c r="BF3067" s="145"/>
      <c r="BG3067" s="145"/>
      <c r="BH3067" s="145"/>
      <c r="BI3067" s="145"/>
      <c r="BJ3067" s="145"/>
      <c r="BK3067" s="145"/>
      <c r="BL3067" s="145"/>
      <c r="BM3067" s="145"/>
      <c r="BN3067" s="145"/>
      <c r="BO3067" s="145"/>
      <c r="BP3067" s="145"/>
      <c r="BQ3067" s="145"/>
      <c r="BR3067" s="145"/>
      <c r="BS3067" s="145"/>
      <c r="BT3067" s="145"/>
      <c r="BU3067" s="145"/>
      <c r="BV3067" s="145"/>
      <c r="BW3067" s="145"/>
      <c r="BX3067" s="145"/>
      <c r="BY3067" s="145"/>
      <c r="BZ3067" s="145"/>
      <c r="CA3067" s="145"/>
      <c r="CB3067" s="145"/>
      <c r="CC3067" s="145"/>
      <c r="CD3067" s="145"/>
      <c r="CE3067" s="145"/>
      <c r="CF3067" s="145"/>
      <c r="CG3067" s="145"/>
      <c r="CH3067" s="145"/>
      <c r="CI3067" s="145"/>
      <c r="CJ3067" s="145"/>
      <c r="CK3067" s="145"/>
      <c r="CL3067" s="145"/>
      <c r="CM3067" s="145"/>
      <c r="CN3067" s="145"/>
      <c r="CO3067" s="145"/>
      <c r="CP3067" s="145"/>
      <c r="CQ3067" s="145"/>
      <c r="CR3067" s="145"/>
      <c r="CS3067" s="145"/>
      <c r="CT3067" s="145"/>
      <c r="CU3067" s="145"/>
      <c r="CV3067" s="145"/>
      <c r="CW3067" s="145"/>
      <c r="CX3067" s="145"/>
      <c r="CY3067" s="145"/>
      <c r="CZ3067" s="145"/>
      <c r="DA3067" s="145"/>
      <c r="DB3067" s="145"/>
      <c r="DC3067" s="145"/>
      <c r="DD3067" s="145"/>
      <c r="DE3067" s="145"/>
      <c r="DF3067" s="145"/>
      <c r="DG3067" s="145"/>
      <c r="DH3067" s="145"/>
      <c r="DI3067" s="145"/>
      <c r="DJ3067" s="145"/>
      <c r="DK3067" s="145"/>
      <c r="DL3067" s="145"/>
      <c r="DM3067" s="145"/>
      <c r="DN3067" s="145"/>
      <c r="DO3067" s="145"/>
      <c r="DP3067" s="145"/>
      <c r="DQ3067" s="145"/>
      <c r="DR3067" s="145"/>
      <c r="DS3067" s="145"/>
      <c r="DT3067" s="145"/>
      <c r="DU3067" s="145"/>
      <c r="DV3067" s="145"/>
      <c r="DW3067" s="145"/>
      <c r="DX3067" s="145"/>
      <c r="DY3067" s="145"/>
      <c r="DZ3067" s="145"/>
      <c r="EA3067" s="145"/>
      <c r="EB3067" s="145"/>
      <c r="EC3067" s="145"/>
      <c r="ED3067" s="145"/>
      <c r="EE3067" s="145"/>
      <c r="EF3067" s="145"/>
      <c r="EG3067" s="145"/>
      <c r="EH3067" s="145"/>
      <c r="EI3067" s="145"/>
      <c r="EJ3067" s="145"/>
      <c r="EK3067" s="145"/>
      <c r="EL3067" s="145"/>
      <c r="EM3067" s="145"/>
      <c r="EN3067" s="145"/>
      <c r="EO3067" s="145"/>
      <c r="EP3067" s="145"/>
      <c r="EQ3067" s="145"/>
      <c r="ER3067" s="145"/>
      <c r="ES3067" s="145"/>
      <c r="ET3067" s="145"/>
      <c r="EU3067" s="145"/>
      <c r="EV3067" s="145"/>
      <c r="EW3067" s="145"/>
      <c r="EX3067" s="145"/>
      <c r="EY3067" s="145"/>
      <c r="EZ3067" s="145"/>
      <c r="FA3067" s="145"/>
      <c r="FB3067" s="145"/>
      <c r="FC3067" s="145"/>
      <c r="FD3067" s="145"/>
      <c r="FE3067" s="145"/>
      <c r="FF3067" s="145"/>
      <c r="FG3067" s="145"/>
      <c r="FH3067" s="145"/>
      <c r="FI3067" s="145"/>
      <c r="FJ3067" s="145"/>
      <c r="FK3067" s="145"/>
      <c r="FL3067" s="145"/>
      <c r="FM3067" s="145"/>
      <c r="FN3067" s="145"/>
      <c r="FO3067" s="145"/>
      <c r="FP3067" s="145"/>
      <c r="FQ3067" s="145"/>
      <c r="FR3067" s="145"/>
      <c r="FS3067" s="145"/>
      <c r="FT3067" s="145"/>
      <c r="FU3067" s="145"/>
      <c r="FV3067" s="145"/>
      <c r="FW3067" s="145"/>
      <c r="FX3067" s="145"/>
      <c r="FY3067" s="145"/>
      <c r="FZ3067" s="145"/>
      <c r="GA3067" s="145"/>
      <c r="GB3067" s="145"/>
      <c r="GC3067" s="145"/>
      <c r="GD3067" s="145"/>
      <c r="GE3067" s="145"/>
      <c r="GF3067" s="145"/>
      <c r="GG3067" s="145"/>
      <c r="GH3067" s="145"/>
      <c r="GI3067" s="145"/>
      <c r="GJ3067" s="145"/>
      <c r="GK3067" s="145"/>
      <c r="GL3067" s="145"/>
      <c r="GM3067" s="145"/>
      <c r="GN3067" s="145"/>
      <c r="GO3067" s="145"/>
      <c r="GP3067" s="145"/>
      <c r="GQ3067" s="145"/>
      <c r="GR3067" s="145"/>
      <c r="GS3067" s="145"/>
      <c r="GT3067" s="145"/>
      <c r="GU3067" s="145"/>
      <c r="GV3067" s="145"/>
      <c r="GW3067" s="145"/>
      <c r="GX3067" s="145"/>
      <c r="GY3067" s="145"/>
      <c r="GZ3067" s="145"/>
      <c r="HA3067" s="145"/>
      <c r="HB3067" s="145"/>
      <c r="HC3067" s="145"/>
      <c r="HD3067" s="145"/>
      <c r="HE3067" s="145"/>
      <c r="HF3067" s="145"/>
    </row>
    <row r="3068" spans="1:214" x14ac:dyDescent="0.35">
      <c r="A3068" s="277">
        <v>78</v>
      </c>
      <c r="B3068" s="277"/>
      <c r="C3068" s="266"/>
      <c r="D3068" s="287"/>
      <c r="E3068" s="276"/>
      <c r="F3068" s="276"/>
      <c r="G3068" s="277"/>
      <c r="H3068" s="136" t="s">
        <v>75</v>
      </c>
      <c r="I3068" s="181">
        <f>(7054264+359946+4839+217145)*1.02*1.18*0.0214</f>
        <v>196685.75</v>
      </c>
      <c r="J3068" s="181">
        <f>I3068/D3066</f>
        <v>67.75</v>
      </c>
      <c r="K3068" s="181">
        <v>68</v>
      </c>
      <c r="L3068" s="145"/>
      <c r="M3068" s="145"/>
      <c r="N3068" s="145"/>
      <c r="O3068" s="145"/>
      <c r="P3068" s="145"/>
      <c r="Q3068" s="145"/>
      <c r="R3068" s="145"/>
      <c r="S3068" s="145"/>
      <c r="T3068" s="145"/>
      <c r="U3068" s="145"/>
      <c r="V3068" s="145"/>
      <c r="W3068" s="145"/>
      <c r="X3068" s="145"/>
      <c r="Y3068" s="145"/>
      <c r="Z3068" s="145"/>
      <c r="AA3068" s="145"/>
      <c r="AB3068" s="145"/>
      <c r="AC3068" s="145"/>
      <c r="AD3068" s="145"/>
      <c r="AE3068" s="145"/>
      <c r="AF3068" s="145"/>
      <c r="AG3068" s="145"/>
      <c r="AH3068" s="145"/>
      <c r="AI3068" s="145"/>
      <c r="AJ3068" s="145"/>
      <c r="AK3068" s="145"/>
      <c r="AL3068" s="145"/>
      <c r="AM3068" s="145"/>
      <c r="AN3068" s="145"/>
      <c r="AO3068" s="145"/>
      <c r="AP3068" s="145"/>
      <c r="AQ3068" s="145"/>
      <c r="AR3068" s="145"/>
      <c r="AS3068" s="145"/>
      <c r="AT3068" s="145"/>
      <c r="AU3068" s="145"/>
      <c r="AV3068" s="145"/>
      <c r="AW3068" s="145"/>
      <c r="AX3068" s="145"/>
      <c r="AY3068" s="145"/>
      <c r="AZ3068" s="145"/>
      <c r="BA3068" s="145"/>
      <c r="BB3068" s="145"/>
      <c r="BC3068" s="145"/>
      <c r="BD3068" s="145"/>
      <c r="BE3068" s="145"/>
      <c r="BF3068" s="145"/>
      <c r="BG3068" s="145"/>
      <c r="BH3068" s="145"/>
      <c r="BI3068" s="145"/>
      <c r="BJ3068" s="145"/>
      <c r="BK3068" s="145"/>
      <c r="BL3068" s="145"/>
      <c r="BM3068" s="145"/>
      <c r="BN3068" s="145"/>
      <c r="BO3068" s="145"/>
      <c r="BP3068" s="145"/>
      <c r="BQ3068" s="145"/>
      <c r="BR3068" s="145"/>
      <c r="BS3068" s="145"/>
      <c r="BT3068" s="145"/>
      <c r="BU3068" s="145"/>
      <c r="BV3068" s="145"/>
      <c r="BW3068" s="145"/>
      <c r="BX3068" s="145"/>
      <c r="BY3068" s="145"/>
      <c r="BZ3068" s="145"/>
      <c r="CA3068" s="145"/>
      <c r="CB3068" s="145"/>
      <c r="CC3068" s="145"/>
      <c r="CD3068" s="145"/>
      <c r="CE3068" s="145"/>
      <c r="CF3068" s="145"/>
      <c r="CG3068" s="145"/>
      <c r="CH3068" s="145"/>
      <c r="CI3068" s="145"/>
      <c r="CJ3068" s="145"/>
      <c r="CK3068" s="145"/>
      <c r="CL3068" s="145"/>
      <c r="CM3068" s="145"/>
      <c r="CN3068" s="145"/>
      <c r="CO3068" s="145"/>
      <c r="CP3068" s="145"/>
      <c r="CQ3068" s="145"/>
      <c r="CR3068" s="145"/>
      <c r="CS3068" s="145"/>
      <c r="CT3068" s="145"/>
      <c r="CU3068" s="145"/>
      <c r="CV3068" s="145"/>
      <c r="CW3068" s="145"/>
      <c r="CX3068" s="145"/>
      <c r="CY3068" s="145"/>
      <c r="CZ3068" s="145"/>
      <c r="DA3068" s="145"/>
      <c r="DB3068" s="145"/>
      <c r="DC3068" s="145"/>
      <c r="DD3068" s="145"/>
      <c r="DE3068" s="145"/>
      <c r="DF3068" s="145"/>
      <c r="DG3068" s="145"/>
      <c r="DH3068" s="145"/>
      <c r="DI3068" s="145"/>
      <c r="DJ3068" s="145"/>
      <c r="DK3068" s="145"/>
      <c r="DL3068" s="145"/>
      <c r="DM3068" s="145"/>
      <c r="DN3068" s="145"/>
      <c r="DO3068" s="145"/>
      <c r="DP3068" s="145"/>
      <c r="DQ3068" s="145"/>
      <c r="DR3068" s="145"/>
      <c r="DS3068" s="145"/>
      <c r="DT3068" s="145"/>
      <c r="DU3068" s="145"/>
      <c r="DV3068" s="145"/>
      <c r="DW3068" s="145"/>
      <c r="DX3068" s="145"/>
      <c r="DY3068" s="145"/>
      <c r="DZ3068" s="145"/>
      <c r="EA3068" s="145"/>
      <c r="EB3068" s="145"/>
      <c r="EC3068" s="145"/>
      <c r="ED3068" s="145"/>
      <c r="EE3068" s="145"/>
      <c r="EF3068" s="145"/>
      <c r="EG3068" s="145"/>
      <c r="EH3068" s="145"/>
      <c r="EI3068" s="145"/>
      <c r="EJ3068" s="145"/>
      <c r="EK3068" s="145"/>
      <c r="EL3068" s="145"/>
      <c r="EM3068" s="145"/>
      <c r="EN3068" s="145"/>
      <c r="EO3068" s="145"/>
      <c r="EP3068" s="145"/>
      <c r="EQ3068" s="145"/>
      <c r="ER3068" s="145"/>
      <c r="ES3068" s="145"/>
      <c r="ET3068" s="145"/>
      <c r="EU3068" s="145"/>
      <c r="EV3068" s="145"/>
      <c r="EW3068" s="145"/>
      <c r="EX3068" s="145"/>
      <c r="EY3068" s="145"/>
      <c r="EZ3068" s="145"/>
      <c r="FA3068" s="145"/>
      <c r="FB3068" s="145"/>
      <c r="FC3068" s="145"/>
      <c r="FD3068" s="145"/>
      <c r="FE3068" s="145"/>
      <c r="FF3068" s="145"/>
      <c r="FG3068" s="145"/>
      <c r="FH3068" s="145"/>
      <c r="FI3068" s="145"/>
      <c r="FJ3068" s="145"/>
      <c r="FK3068" s="145"/>
      <c r="FL3068" s="145"/>
      <c r="FM3068" s="145"/>
      <c r="FN3068" s="145"/>
      <c r="FO3068" s="145"/>
      <c r="FP3068" s="145"/>
      <c r="FQ3068" s="145"/>
      <c r="FR3068" s="145"/>
      <c r="FS3068" s="145"/>
      <c r="FT3068" s="145"/>
      <c r="FU3068" s="145"/>
      <c r="FV3068" s="145"/>
      <c r="FW3068" s="145"/>
      <c r="FX3068" s="145"/>
      <c r="FY3068" s="145"/>
      <c r="FZ3068" s="145"/>
      <c r="GA3068" s="145"/>
      <c r="GB3068" s="145"/>
      <c r="GC3068" s="145"/>
      <c r="GD3068" s="145"/>
      <c r="GE3068" s="145"/>
      <c r="GF3068" s="145"/>
      <c r="GG3068" s="145"/>
      <c r="GH3068" s="145"/>
      <c r="GI3068" s="145"/>
      <c r="GJ3068" s="145"/>
      <c r="GK3068" s="145"/>
      <c r="GL3068" s="145"/>
      <c r="GM3068" s="145"/>
      <c r="GN3068" s="145"/>
      <c r="GO3068" s="145"/>
      <c r="GP3068" s="145"/>
      <c r="GQ3068" s="145"/>
      <c r="GR3068" s="145"/>
      <c r="GS3068" s="145"/>
      <c r="GT3068" s="145"/>
      <c r="GU3068" s="145"/>
      <c r="GV3068" s="145"/>
      <c r="GW3068" s="145"/>
      <c r="GX3068" s="145"/>
      <c r="GY3068" s="145"/>
      <c r="GZ3068" s="145"/>
      <c r="HA3068" s="145"/>
      <c r="HB3068" s="145"/>
      <c r="HC3068" s="145"/>
      <c r="HD3068" s="145"/>
      <c r="HE3068" s="145"/>
      <c r="HF3068" s="145"/>
    </row>
    <row r="3069" spans="1:214" x14ac:dyDescent="0.35">
      <c r="A3069" s="277">
        <f>A3066+1</f>
        <v>48</v>
      </c>
      <c r="B3069" s="277">
        <v>3190</v>
      </c>
      <c r="C3069" s="266" t="s">
        <v>130</v>
      </c>
      <c r="D3069" s="287">
        <v>2911</v>
      </c>
      <c r="E3069" s="276" t="s">
        <v>70</v>
      </c>
      <c r="F3069" s="276">
        <v>5</v>
      </c>
      <c r="G3069" s="277" t="s">
        <v>71</v>
      </c>
      <c r="H3069" s="136" t="s">
        <v>72</v>
      </c>
      <c r="I3069" s="181">
        <f>I3070+I3071</f>
        <v>9437462</v>
      </c>
      <c r="J3069" s="181">
        <f>J3070+J3071</f>
        <v>3242</v>
      </c>
      <c r="K3069" s="181">
        <f>K3070+K3071</f>
        <v>3242</v>
      </c>
      <c r="L3069" s="145"/>
      <c r="M3069" s="145"/>
      <c r="N3069" s="145"/>
      <c r="O3069" s="145"/>
      <c r="P3069" s="145"/>
      <c r="Q3069" s="145"/>
      <c r="R3069" s="145"/>
      <c r="S3069" s="145"/>
      <c r="T3069" s="145"/>
      <c r="U3069" s="145"/>
      <c r="V3069" s="145"/>
      <c r="W3069" s="145"/>
      <c r="X3069" s="145"/>
      <c r="Y3069" s="145"/>
      <c r="Z3069" s="145"/>
      <c r="AA3069" s="145"/>
      <c r="AB3069" s="145"/>
      <c r="AC3069" s="145"/>
      <c r="AD3069" s="145"/>
      <c r="AE3069" s="145"/>
      <c r="AF3069" s="145"/>
      <c r="AG3069" s="145"/>
      <c r="AH3069" s="145"/>
      <c r="AI3069" s="145"/>
      <c r="AJ3069" s="145"/>
      <c r="AK3069" s="145"/>
      <c r="AL3069" s="145"/>
      <c r="AM3069" s="145"/>
      <c r="AN3069" s="145"/>
      <c r="AO3069" s="145"/>
      <c r="AP3069" s="145"/>
      <c r="AQ3069" s="145"/>
      <c r="AR3069" s="145"/>
      <c r="AS3069" s="145"/>
      <c r="AT3069" s="145"/>
      <c r="AU3069" s="145"/>
      <c r="AV3069" s="145"/>
      <c r="AW3069" s="145"/>
      <c r="AX3069" s="145"/>
      <c r="AY3069" s="145"/>
      <c r="AZ3069" s="145"/>
      <c r="BA3069" s="145"/>
      <c r="BB3069" s="145"/>
      <c r="BC3069" s="145"/>
      <c r="BD3069" s="145"/>
      <c r="BE3069" s="145"/>
      <c r="BF3069" s="145"/>
      <c r="BG3069" s="145"/>
      <c r="BH3069" s="145"/>
      <c r="BI3069" s="145"/>
      <c r="BJ3069" s="145"/>
      <c r="BK3069" s="145"/>
      <c r="BL3069" s="145"/>
      <c r="BM3069" s="145"/>
      <c r="BN3069" s="145"/>
      <c r="BO3069" s="145"/>
      <c r="BP3069" s="145"/>
      <c r="BQ3069" s="145"/>
      <c r="BR3069" s="145"/>
      <c r="BS3069" s="145"/>
      <c r="BT3069" s="145"/>
      <c r="BU3069" s="145"/>
      <c r="BV3069" s="145"/>
      <c r="BW3069" s="145"/>
      <c r="BX3069" s="145"/>
      <c r="BY3069" s="145"/>
      <c r="BZ3069" s="145"/>
      <c r="CA3069" s="145"/>
      <c r="CB3069" s="145"/>
      <c r="CC3069" s="145"/>
      <c r="CD3069" s="145"/>
      <c r="CE3069" s="145"/>
      <c r="CF3069" s="145"/>
      <c r="CG3069" s="145"/>
      <c r="CH3069" s="145"/>
      <c r="CI3069" s="145"/>
      <c r="CJ3069" s="145"/>
      <c r="CK3069" s="145"/>
      <c r="CL3069" s="145"/>
      <c r="CM3069" s="145"/>
      <c r="CN3069" s="145"/>
      <c r="CO3069" s="145"/>
      <c r="CP3069" s="145"/>
      <c r="CQ3069" s="145"/>
      <c r="CR3069" s="145"/>
      <c r="CS3069" s="145"/>
      <c r="CT3069" s="145"/>
      <c r="CU3069" s="145"/>
      <c r="CV3069" s="145"/>
      <c r="CW3069" s="145"/>
      <c r="CX3069" s="145"/>
      <c r="CY3069" s="145"/>
      <c r="CZ3069" s="145"/>
      <c r="DA3069" s="145"/>
      <c r="DB3069" s="145"/>
      <c r="DC3069" s="145"/>
      <c r="DD3069" s="145"/>
      <c r="DE3069" s="145"/>
      <c r="DF3069" s="145"/>
      <c r="DG3069" s="145"/>
      <c r="DH3069" s="145"/>
      <c r="DI3069" s="145"/>
      <c r="DJ3069" s="145"/>
      <c r="DK3069" s="145"/>
      <c r="DL3069" s="145"/>
      <c r="DM3069" s="145"/>
      <c r="DN3069" s="145"/>
      <c r="DO3069" s="145"/>
      <c r="DP3069" s="145"/>
      <c r="DQ3069" s="145"/>
      <c r="DR3069" s="145"/>
      <c r="DS3069" s="145"/>
      <c r="DT3069" s="145"/>
      <c r="DU3069" s="145"/>
      <c r="DV3069" s="145"/>
      <c r="DW3069" s="145"/>
      <c r="DX3069" s="145"/>
      <c r="DY3069" s="145"/>
      <c r="DZ3069" s="145"/>
      <c r="EA3069" s="145"/>
      <c r="EB3069" s="145"/>
      <c r="EC3069" s="145"/>
      <c r="ED3069" s="145"/>
      <c r="EE3069" s="145"/>
      <c r="EF3069" s="145"/>
      <c r="EG3069" s="145"/>
      <c r="EH3069" s="145"/>
      <c r="EI3069" s="145"/>
      <c r="EJ3069" s="145"/>
      <c r="EK3069" s="145"/>
      <c r="EL3069" s="145"/>
      <c r="EM3069" s="145"/>
      <c r="EN3069" s="145"/>
      <c r="EO3069" s="145"/>
      <c r="EP3069" s="145"/>
      <c r="EQ3069" s="145"/>
      <c r="ER3069" s="145"/>
      <c r="ES3069" s="145"/>
      <c r="ET3069" s="145"/>
      <c r="EU3069" s="145"/>
      <c r="EV3069" s="145"/>
      <c r="EW3069" s="145"/>
      <c r="EX3069" s="145"/>
      <c r="EY3069" s="145"/>
      <c r="EZ3069" s="145"/>
      <c r="FA3069" s="145"/>
      <c r="FB3069" s="145"/>
      <c r="FC3069" s="145"/>
      <c r="FD3069" s="145"/>
      <c r="FE3069" s="145"/>
      <c r="FF3069" s="145"/>
      <c r="FG3069" s="145"/>
      <c r="FH3069" s="145"/>
      <c r="FI3069" s="145"/>
      <c r="FJ3069" s="145"/>
      <c r="FK3069" s="145"/>
      <c r="FL3069" s="145"/>
      <c r="FM3069" s="145"/>
      <c r="FN3069" s="145"/>
      <c r="FO3069" s="145"/>
      <c r="FP3069" s="145"/>
      <c r="FQ3069" s="145"/>
      <c r="FR3069" s="145"/>
      <c r="FS3069" s="145"/>
      <c r="FT3069" s="145"/>
      <c r="FU3069" s="145"/>
      <c r="FV3069" s="145"/>
      <c r="FW3069" s="145"/>
      <c r="FX3069" s="145"/>
      <c r="FY3069" s="145"/>
      <c r="FZ3069" s="145"/>
      <c r="GA3069" s="145"/>
      <c r="GB3069" s="145"/>
      <c r="GC3069" s="145"/>
      <c r="GD3069" s="145"/>
      <c r="GE3069" s="145"/>
      <c r="GF3069" s="145"/>
      <c r="GG3069" s="145"/>
      <c r="GH3069" s="145"/>
      <c r="GI3069" s="145"/>
      <c r="GJ3069" s="145"/>
      <c r="GK3069" s="145"/>
      <c r="GL3069" s="145"/>
      <c r="GM3069" s="145"/>
      <c r="GN3069" s="145"/>
      <c r="GO3069" s="145"/>
      <c r="GP3069" s="145"/>
      <c r="GQ3069" s="145"/>
      <c r="GR3069" s="145"/>
      <c r="GS3069" s="145"/>
      <c r="GT3069" s="145"/>
      <c r="GU3069" s="145"/>
      <c r="GV3069" s="145"/>
      <c r="GW3069" s="145"/>
      <c r="GX3069" s="145"/>
      <c r="GY3069" s="145"/>
      <c r="GZ3069" s="145"/>
      <c r="HA3069" s="145"/>
      <c r="HB3069" s="145"/>
      <c r="HC3069" s="145"/>
      <c r="HD3069" s="145"/>
      <c r="HE3069" s="145"/>
      <c r="HF3069" s="145"/>
    </row>
    <row r="3070" spans="1:214" x14ac:dyDescent="0.35">
      <c r="A3070" s="277">
        <v>79</v>
      </c>
      <c r="B3070" s="277"/>
      <c r="C3070" s="266"/>
      <c r="D3070" s="287"/>
      <c r="E3070" s="276"/>
      <c r="F3070" s="276"/>
      <c r="G3070" s="277"/>
      <c r="H3070" s="136" t="s">
        <v>73</v>
      </c>
      <c r="I3070" s="181">
        <f>D3069*K3070</f>
        <v>9239514</v>
      </c>
      <c r="J3070" s="181">
        <f>I3070/D3069</f>
        <v>3174</v>
      </c>
      <c r="K3070" s="181">
        <v>3174</v>
      </c>
      <c r="L3070" s="145"/>
      <c r="M3070" s="145"/>
      <c r="N3070" s="145"/>
      <c r="O3070" s="145"/>
      <c r="P3070" s="145"/>
      <c r="Q3070" s="145"/>
      <c r="R3070" s="145"/>
      <c r="S3070" s="145"/>
      <c r="T3070" s="145"/>
      <c r="U3070" s="145"/>
      <c r="V3070" s="145"/>
      <c r="W3070" s="145"/>
      <c r="X3070" s="145"/>
      <c r="Y3070" s="145"/>
      <c r="Z3070" s="145"/>
      <c r="AA3070" s="145"/>
      <c r="AB3070" s="145"/>
      <c r="AC3070" s="145"/>
      <c r="AD3070" s="145"/>
      <c r="AE3070" s="145"/>
      <c r="AF3070" s="145"/>
      <c r="AG3070" s="145"/>
      <c r="AH3070" s="145"/>
      <c r="AI3070" s="145"/>
      <c r="AJ3070" s="145"/>
      <c r="AK3070" s="145"/>
      <c r="AL3070" s="145"/>
      <c r="AM3070" s="145"/>
      <c r="AN3070" s="145"/>
      <c r="AO3070" s="145"/>
      <c r="AP3070" s="145"/>
      <c r="AQ3070" s="145"/>
      <c r="AR3070" s="145"/>
      <c r="AS3070" s="145"/>
      <c r="AT3070" s="145"/>
      <c r="AU3070" s="145"/>
      <c r="AV3070" s="145"/>
      <c r="AW3070" s="145"/>
      <c r="AX3070" s="145"/>
      <c r="AY3070" s="145"/>
      <c r="AZ3070" s="145"/>
      <c r="BA3070" s="145"/>
      <c r="BB3070" s="145"/>
      <c r="BC3070" s="145"/>
      <c r="BD3070" s="145"/>
      <c r="BE3070" s="145"/>
      <c r="BF3070" s="145"/>
      <c r="BG3070" s="145"/>
      <c r="BH3070" s="145"/>
      <c r="BI3070" s="145"/>
      <c r="BJ3070" s="145"/>
      <c r="BK3070" s="145"/>
      <c r="BL3070" s="145"/>
      <c r="BM3070" s="145"/>
      <c r="BN3070" s="145"/>
      <c r="BO3070" s="145"/>
      <c r="BP3070" s="145"/>
      <c r="BQ3070" s="145"/>
      <c r="BR3070" s="145"/>
      <c r="BS3070" s="145"/>
      <c r="BT3070" s="145"/>
      <c r="BU3070" s="145"/>
      <c r="BV3070" s="145"/>
      <c r="BW3070" s="145"/>
      <c r="BX3070" s="145"/>
      <c r="BY3070" s="145"/>
      <c r="BZ3070" s="145"/>
      <c r="CA3070" s="145"/>
      <c r="CB3070" s="145"/>
      <c r="CC3070" s="145"/>
      <c r="CD3070" s="145"/>
      <c r="CE3070" s="145"/>
      <c r="CF3070" s="145"/>
      <c r="CG3070" s="145"/>
      <c r="CH3070" s="145"/>
      <c r="CI3070" s="145"/>
      <c r="CJ3070" s="145"/>
      <c r="CK3070" s="145"/>
      <c r="CL3070" s="145"/>
      <c r="CM3070" s="145"/>
      <c r="CN3070" s="145"/>
      <c r="CO3070" s="145"/>
      <c r="CP3070" s="145"/>
      <c r="CQ3070" s="145"/>
      <c r="CR3070" s="145"/>
      <c r="CS3070" s="145"/>
      <c r="CT3070" s="145"/>
      <c r="CU3070" s="145"/>
      <c r="CV3070" s="145"/>
      <c r="CW3070" s="145"/>
      <c r="CX3070" s="145"/>
      <c r="CY3070" s="145"/>
      <c r="CZ3070" s="145"/>
      <c r="DA3070" s="145"/>
      <c r="DB3070" s="145"/>
      <c r="DC3070" s="145"/>
      <c r="DD3070" s="145"/>
      <c r="DE3070" s="145"/>
      <c r="DF3070" s="145"/>
      <c r="DG3070" s="145"/>
      <c r="DH3070" s="145"/>
      <c r="DI3070" s="145"/>
      <c r="DJ3070" s="145"/>
      <c r="DK3070" s="145"/>
      <c r="DL3070" s="145"/>
      <c r="DM3070" s="145"/>
      <c r="DN3070" s="145"/>
      <c r="DO3070" s="145"/>
      <c r="DP3070" s="145"/>
      <c r="DQ3070" s="145"/>
      <c r="DR3070" s="145"/>
      <c r="DS3070" s="145"/>
      <c r="DT3070" s="145"/>
      <c r="DU3070" s="145"/>
      <c r="DV3070" s="145"/>
      <c r="DW3070" s="145"/>
      <c r="DX3070" s="145"/>
      <c r="DY3070" s="145"/>
      <c r="DZ3070" s="145"/>
      <c r="EA3070" s="145"/>
      <c r="EB3070" s="145"/>
      <c r="EC3070" s="145"/>
      <c r="ED3070" s="145"/>
      <c r="EE3070" s="145"/>
      <c r="EF3070" s="145"/>
      <c r="EG3070" s="145"/>
      <c r="EH3070" s="145"/>
      <c r="EI3070" s="145"/>
      <c r="EJ3070" s="145"/>
      <c r="EK3070" s="145"/>
      <c r="EL3070" s="145"/>
      <c r="EM3070" s="145"/>
      <c r="EN3070" s="145"/>
      <c r="EO3070" s="145"/>
      <c r="EP3070" s="145"/>
      <c r="EQ3070" s="145"/>
      <c r="ER3070" s="145"/>
      <c r="ES3070" s="145"/>
      <c r="ET3070" s="145"/>
      <c r="EU3070" s="145"/>
      <c r="EV3070" s="145"/>
      <c r="EW3070" s="145"/>
      <c r="EX3070" s="145"/>
      <c r="EY3070" s="145"/>
      <c r="EZ3070" s="145"/>
      <c r="FA3070" s="145"/>
      <c r="FB3070" s="145"/>
      <c r="FC3070" s="145"/>
      <c r="FD3070" s="145"/>
      <c r="FE3070" s="145"/>
      <c r="FF3070" s="145"/>
      <c r="FG3070" s="145"/>
      <c r="FH3070" s="145"/>
      <c r="FI3070" s="145"/>
      <c r="FJ3070" s="145"/>
      <c r="FK3070" s="145"/>
      <c r="FL3070" s="145"/>
      <c r="FM3070" s="145"/>
      <c r="FN3070" s="145"/>
      <c r="FO3070" s="145"/>
      <c r="FP3070" s="145"/>
      <c r="FQ3070" s="145"/>
      <c r="FR3070" s="145"/>
      <c r="FS3070" s="145"/>
      <c r="FT3070" s="145"/>
      <c r="FU3070" s="145"/>
      <c r="FV3070" s="145"/>
      <c r="FW3070" s="145"/>
      <c r="FX3070" s="145"/>
      <c r="FY3070" s="145"/>
      <c r="FZ3070" s="145"/>
      <c r="GA3070" s="145"/>
      <c r="GB3070" s="145"/>
      <c r="GC3070" s="145"/>
      <c r="GD3070" s="145"/>
      <c r="GE3070" s="145"/>
      <c r="GF3070" s="145"/>
      <c r="GG3070" s="145"/>
      <c r="GH3070" s="145"/>
      <c r="GI3070" s="145"/>
      <c r="GJ3070" s="145"/>
      <c r="GK3070" s="145"/>
      <c r="GL3070" s="145"/>
      <c r="GM3070" s="145"/>
      <c r="GN3070" s="145"/>
      <c r="GO3070" s="145"/>
      <c r="GP3070" s="145"/>
      <c r="GQ3070" s="145"/>
      <c r="GR3070" s="145"/>
      <c r="GS3070" s="145"/>
      <c r="GT3070" s="145"/>
      <c r="GU3070" s="145"/>
      <c r="GV3070" s="145"/>
      <c r="GW3070" s="145"/>
      <c r="GX3070" s="145"/>
      <c r="GY3070" s="145"/>
      <c r="GZ3070" s="145"/>
      <c r="HA3070" s="145"/>
      <c r="HB3070" s="145"/>
      <c r="HC3070" s="145"/>
      <c r="HD3070" s="145"/>
      <c r="HE3070" s="145"/>
      <c r="HF3070" s="145"/>
    </row>
    <row r="3071" spans="1:214" x14ac:dyDescent="0.35">
      <c r="A3071" s="277">
        <v>80</v>
      </c>
      <c r="B3071" s="277"/>
      <c r="C3071" s="266"/>
      <c r="D3071" s="287"/>
      <c r="E3071" s="276"/>
      <c r="F3071" s="276"/>
      <c r="G3071" s="277"/>
      <c r="H3071" s="136" t="s">
        <v>75</v>
      </c>
      <c r="I3071" s="181">
        <f>D3069*K3071</f>
        <v>197948</v>
      </c>
      <c r="J3071" s="181">
        <f>I3071/D3069</f>
        <v>68</v>
      </c>
      <c r="K3071" s="181">
        <v>68</v>
      </c>
    </row>
    <row r="3072" spans="1:214" x14ac:dyDescent="0.35">
      <c r="A3072" s="277">
        <f>A3069+1</f>
        <v>49</v>
      </c>
      <c r="B3072" s="277">
        <v>3376</v>
      </c>
      <c r="C3072" s="266" t="s">
        <v>131</v>
      </c>
      <c r="D3072" s="287">
        <v>2525.6</v>
      </c>
      <c r="E3072" s="276" t="s">
        <v>74</v>
      </c>
      <c r="F3072" s="276">
        <v>4</v>
      </c>
      <c r="G3072" s="277" t="s">
        <v>71</v>
      </c>
      <c r="H3072" s="136" t="s">
        <v>72</v>
      </c>
      <c r="I3072" s="181">
        <f>I3073+I3074</f>
        <v>11941036.800000001</v>
      </c>
      <c r="J3072" s="181">
        <f>J3073+J3074</f>
        <v>4728</v>
      </c>
      <c r="K3072" s="181">
        <f>K3073+K3074</f>
        <v>4728</v>
      </c>
      <c r="L3072" s="145"/>
      <c r="M3072" s="145"/>
      <c r="N3072" s="145"/>
      <c r="O3072" s="145"/>
      <c r="P3072" s="145"/>
      <c r="Q3072" s="145"/>
      <c r="R3072" s="145"/>
      <c r="S3072" s="145"/>
      <c r="T3072" s="145"/>
      <c r="U3072" s="145"/>
      <c r="V3072" s="145"/>
      <c r="W3072" s="145"/>
      <c r="X3072" s="145"/>
      <c r="Y3072" s="145"/>
      <c r="Z3072" s="145"/>
      <c r="AA3072" s="145"/>
      <c r="AB3072" s="145"/>
      <c r="AC3072" s="145"/>
      <c r="AD3072" s="145"/>
      <c r="AE3072" s="145"/>
      <c r="AF3072" s="145"/>
      <c r="AG3072" s="145"/>
      <c r="AH3072" s="145"/>
      <c r="AI3072" s="145"/>
      <c r="AJ3072" s="145"/>
      <c r="AK3072" s="145"/>
      <c r="AL3072" s="145"/>
      <c r="AM3072" s="145"/>
      <c r="AN3072" s="145"/>
      <c r="AO3072" s="145"/>
      <c r="AP3072" s="145"/>
      <c r="AQ3072" s="145"/>
      <c r="AR3072" s="145"/>
      <c r="AS3072" s="145"/>
      <c r="AT3072" s="145"/>
      <c r="AU3072" s="145"/>
      <c r="AV3072" s="145"/>
      <c r="AW3072" s="145"/>
      <c r="AX3072" s="145"/>
      <c r="AY3072" s="145"/>
      <c r="AZ3072" s="145"/>
      <c r="BA3072" s="145"/>
      <c r="BB3072" s="145"/>
      <c r="BC3072" s="145"/>
      <c r="BD3072" s="145"/>
      <c r="BE3072" s="145"/>
      <c r="BF3072" s="145"/>
      <c r="BG3072" s="145"/>
      <c r="BH3072" s="145"/>
      <c r="BI3072" s="145"/>
      <c r="BJ3072" s="145"/>
      <c r="BK3072" s="145"/>
      <c r="BL3072" s="145"/>
      <c r="BM3072" s="145"/>
      <c r="BN3072" s="145"/>
      <c r="BO3072" s="145"/>
      <c r="BP3072" s="145"/>
      <c r="BQ3072" s="145"/>
      <c r="BR3072" s="145"/>
      <c r="BS3072" s="145"/>
      <c r="BT3072" s="145"/>
      <c r="BU3072" s="145"/>
      <c r="BV3072" s="145"/>
      <c r="BW3072" s="145"/>
      <c r="BX3072" s="145"/>
      <c r="BY3072" s="145"/>
      <c r="BZ3072" s="145"/>
      <c r="CA3072" s="145"/>
      <c r="CB3072" s="145"/>
      <c r="CC3072" s="145"/>
      <c r="CD3072" s="145"/>
      <c r="CE3072" s="145"/>
      <c r="CF3072" s="145"/>
      <c r="CG3072" s="145"/>
      <c r="CH3072" s="145"/>
      <c r="CI3072" s="145"/>
      <c r="CJ3072" s="145"/>
      <c r="CK3072" s="145"/>
      <c r="CL3072" s="145"/>
      <c r="CM3072" s="145"/>
      <c r="CN3072" s="145"/>
      <c r="CO3072" s="145"/>
      <c r="CP3072" s="145"/>
      <c r="CQ3072" s="145"/>
      <c r="CR3072" s="145"/>
      <c r="CS3072" s="145"/>
      <c r="CT3072" s="145"/>
      <c r="CU3072" s="145"/>
      <c r="CV3072" s="145"/>
      <c r="CW3072" s="145"/>
      <c r="CX3072" s="145"/>
      <c r="CY3072" s="145"/>
      <c r="CZ3072" s="145"/>
      <c r="DA3072" s="145"/>
      <c r="DB3072" s="145"/>
      <c r="DC3072" s="145"/>
      <c r="DD3072" s="145"/>
      <c r="DE3072" s="145"/>
      <c r="DF3072" s="145"/>
      <c r="DG3072" s="145"/>
      <c r="DH3072" s="145"/>
      <c r="DI3072" s="145"/>
      <c r="DJ3072" s="145"/>
      <c r="DK3072" s="145"/>
      <c r="DL3072" s="145"/>
      <c r="DM3072" s="145"/>
      <c r="DN3072" s="145"/>
      <c r="DO3072" s="145"/>
      <c r="DP3072" s="145"/>
      <c r="DQ3072" s="145"/>
      <c r="DR3072" s="145"/>
      <c r="DS3072" s="145"/>
      <c r="DT3072" s="145"/>
      <c r="DU3072" s="145"/>
      <c r="DV3072" s="145"/>
      <c r="DW3072" s="145"/>
      <c r="DX3072" s="145"/>
      <c r="DY3072" s="145"/>
      <c r="DZ3072" s="145"/>
      <c r="EA3072" s="145"/>
      <c r="EB3072" s="145"/>
      <c r="EC3072" s="145"/>
      <c r="ED3072" s="145"/>
      <c r="EE3072" s="145"/>
      <c r="EF3072" s="145"/>
      <c r="EG3072" s="145"/>
      <c r="EH3072" s="145"/>
      <c r="EI3072" s="145"/>
      <c r="EJ3072" s="145"/>
      <c r="EK3072" s="145"/>
      <c r="EL3072" s="145"/>
      <c r="EM3072" s="145"/>
      <c r="EN3072" s="145"/>
      <c r="EO3072" s="145"/>
      <c r="EP3072" s="145"/>
      <c r="EQ3072" s="145"/>
      <c r="ER3072" s="145"/>
      <c r="ES3072" s="145"/>
      <c r="ET3072" s="145"/>
      <c r="EU3072" s="145"/>
      <c r="EV3072" s="145"/>
      <c r="EW3072" s="145"/>
      <c r="EX3072" s="145"/>
      <c r="EY3072" s="145"/>
      <c r="EZ3072" s="145"/>
      <c r="FA3072" s="145"/>
      <c r="FB3072" s="145"/>
      <c r="FC3072" s="145"/>
      <c r="FD3072" s="145"/>
      <c r="FE3072" s="145"/>
      <c r="FF3072" s="145"/>
      <c r="FG3072" s="145"/>
      <c r="FH3072" s="145"/>
      <c r="FI3072" s="145"/>
      <c r="FJ3072" s="145"/>
      <c r="FK3072" s="145"/>
      <c r="FL3072" s="145"/>
      <c r="FM3072" s="145"/>
      <c r="FN3072" s="145"/>
      <c r="FO3072" s="145"/>
      <c r="FP3072" s="145"/>
      <c r="FQ3072" s="145"/>
      <c r="FR3072" s="145"/>
      <c r="FS3072" s="145"/>
      <c r="FT3072" s="145"/>
      <c r="FU3072" s="145"/>
      <c r="FV3072" s="145"/>
      <c r="FW3072" s="145"/>
      <c r="FX3072" s="145"/>
      <c r="FY3072" s="145"/>
      <c r="FZ3072" s="145"/>
      <c r="GA3072" s="145"/>
      <c r="GB3072" s="145"/>
      <c r="GC3072" s="145"/>
      <c r="GD3072" s="145"/>
      <c r="GE3072" s="145"/>
      <c r="GF3072" s="145"/>
      <c r="GG3072" s="145"/>
      <c r="GH3072" s="145"/>
      <c r="GI3072" s="145"/>
      <c r="GJ3072" s="145"/>
      <c r="GK3072" s="145"/>
      <c r="GL3072" s="145"/>
      <c r="GM3072" s="145"/>
      <c r="GN3072" s="145"/>
      <c r="GO3072" s="145"/>
      <c r="GP3072" s="145"/>
      <c r="GQ3072" s="145"/>
      <c r="GR3072" s="145"/>
      <c r="GS3072" s="145"/>
      <c r="GT3072" s="145"/>
      <c r="GU3072" s="145"/>
      <c r="GV3072" s="145"/>
      <c r="GW3072" s="145"/>
      <c r="GX3072" s="145"/>
      <c r="GY3072" s="145"/>
      <c r="GZ3072" s="145"/>
      <c r="HA3072" s="145"/>
      <c r="HB3072" s="145"/>
      <c r="HC3072" s="145"/>
      <c r="HD3072" s="145"/>
      <c r="HE3072" s="145"/>
      <c r="HF3072" s="145"/>
    </row>
    <row r="3073" spans="1:214" x14ac:dyDescent="0.35">
      <c r="A3073" s="277">
        <v>81</v>
      </c>
      <c r="B3073" s="277"/>
      <c r="C3073" s="266"/>
      <c r="D3073" s="287"/>
      <c r="E3073" s="276"/>
      <c r="F3073" s="276"/>
      <c r="G3073" s="277"/>
      <c r="H3073" s="136" t="s">
        <v>73</v>
      </c>
      <c r="I3073" s="181">
        <f>D3072*K3073</f>
        <v>11691002.4</v>
      </c>
      <c r="J3073" s="181">
        <f>I3073/D3072</f>
        <v>4629</v>
      </c>
      <c r="K3073" s="181">
        <v>4629</v>
      </c>
      <c r="L3073" s="145"/>
      <c r="M3073" s="145"/>
      <c r="N3073" s="145"/>
      <c r="O3073" s="145"/>
      <c r="P3073" s="145"/>
      <c r="Q3073" s="145"/>
      <c r="R3073" s="145"/>
      <c r="S3073" s="145"/>
      <c r="T3073" s="145"/>
      <c r="U3073" s="145"/>
      <c r="V3073" s="145"/>
      <c r="W3073" s="145"/>
      <c r="X3073" s="145"/>
      <c r="Y3073" s="145"/>
      <c r="Z3073" s="145"/>
      <c r="AA3073" s="145"/>
      <c r="AB3073" s="145"/>
      <c r="AC3073" s="145"/>
      <c r="AD3073" s="145"/>
      <c r="AE3073" s="145"/>
      <c r="AF3073" s="145"/>
      <c r="AG3073" s="145"/>
      <c r="AH3073" s="145"/>
      <c r="AI3073" s="145"/>
      <c r="AJ3073" s="145"/>
      <c r="AK3073" s="145"/>
      <c r="AL3073" s="145"/>
      <c r="AM3073" s="145"/>
      <c r="AN3073" s="145"/>
      <c r="AO3073" s="145"/>
      <c r="AP3073" s="145"/>
      <c r="AQ3073" s="145"/>
      <c r="AR3073" s="145"/>
      <c r="AS3073" s="145"/>
      <c r="AT3073" s="145"/>
      <c r="AU3073" s="145"/>
      <c r="AV3073" s="145"/>
      <c r="AW3073" s="145"/>
      <c r="AX3073" s="145"/>
      <c r="AY3073" s="145"/>
      <c r="AZ3073" s="145"/>
      <c r="BA3073" s="145"/>
      <c r="BB3073" s="145"/>
      <c r="BC3073" s="145"/>
      <c r="BD3073" s="145"/>
      <c r="BE3073" s="145"/>
      <c r="BF3073" s="145"/>
      <c r="BG3073" s="145"/>
      <c r="BH3073" s="145"/>
      <c r="BI3073" s="145"/>
      <c r="BJ3073" s="145"/>
      <c r="BK3073" s="145"/>
      <c r="BL3073" s="145"/>
      <c r="BM3073" s="145"/>
      <c r="BN3073" s="145"/>
      <c r="BO3073" s="145"/>
      <c r="BP3073" s="145"/>
      <c r="BQ3073" s="145"/>
      <c r="BR3073" s="145"/>
      <c r="BS3073" s="145"/>
      <c r="BT3073" s="145"/>
      <c r="BU3073" s="145"/>
      <c r="BV3073" s="145"/>
      <c r="BW3073" s="145"/>
      <c r="BX3073" s="145"/>
      <c r="BY3073" s="145"/>
      <c r="BZ3073" s="145"/>
      <c r="CA3073" s="145"/>
      <c r="CB3073" s="145"/>
      <c r="CC3073" s="145"/>
      <c r="CD3073" s="145"/>
      <c r="CE3073" s="145"/>
      <c r="CF3073" s="145"/>
      <c r="CG3073" s="145"/>
      <c r="CH3073" s="145"/>
      <c r="CI3073" s="145"/>
      <c r="CJ3073" s="145"/>
      <c r="CK3073" s="145"/>
      <c r="CL3073" s="145"/>
      <c r="CM3073" s="145"/>
      <c r="CN3073" s="145"/>
      <c r="CO3073" s="145"/>
      <c r="CP3073" s="145"/>
      <c r="CQ3073" s="145"/>
      <c r="CR3073" s="145"/>
      <c r="CS3073" s="145"/>
      <c r="CT3073" s="145"/>
      <c r="CU3073" s="145"/>
      <c r="CV3073" s="145"/>
      <c r="CW3073" s="145"/>
      <c r="CX3073" s="145"/>
      <c r="CY3073" s="145"/>
      <c r="CZ3073" s="145"/>
      <c r="DA3073" s="145"/>
      <c r="DB3073" s="145"/>
      <c r="DC3073" s="145"/>
      <c r="DD3073" s="145"/>
      <c r="DE3073" s="145"/>
      <c r="DF3073" s="145"/>
      <c r="DG3073" s="145"/>
      <c r="DH3073" s="145"/>
      <c r="DI3073" s="145"/>
      <c r="DJ3073" s="145"/>
      <c r="DK3073" s="145"/>
      <c r="DL3073" s="145"/>
      <c r="DM3073" s="145"/>
      <c r="DN3073" s="145"/>
      <c r="DO3073" s="145"/>
      <c r="DP3073" s="145"/>
      <c r="DQ3073" s="145"/>
      <c r="DR3073" s="145"/>
      <c r="DS3073" s="145"/>
      <c r="DT3073" s="145"/>
      <c r="DU3073" s="145"/>
      <c r="DV3073" s="145"/>
      <c r="DW3073" s="145"/>
      <c r="DX3073" s="145"/>
      <c r="DY3073" s="145"/>
      <c r="DZ3073" s="145"/>
      <c r="EA3073" s="145"/>
      <c r="EB3073" s="145"/>
      <c r="EC3073" s="145"/>
      <c r="ED3073" s="145"/>
      <c r="EE3073" s="145"/>
      <c r="EF3073" s="145"/>
      <c r="EG3073" s="145"/>
      <c r="EH3073" s="145"/>
      <c r="EI3073" s="145"/>
      <c r="EJ3073" s="145"/>
      <c r="EK3073" s="145"/>
      <c r="EL3073" s="145"/>
      <c r="EM3073" s="145"/>
      <c r="EN3073" s="145"/>
      <c r="EO3073" s="145"/>
      <c r="EP3073" s="145"/>
      <c r="EQ3073" s="145"/>
      <c r="ER3073" s="145"/>
      <c r="ES3073" s="145"/>
      <c r="ET3073" s="145"/>
      <c r="EU3073" s="145"/>
      <c r="EV3073" s="145"/>
      <c r="EW3073" s="145"/>
      <c r="EX3073" s="145"/>
      <c r="EY3073" s="145"/>
      <c r="EZ3073" s="145"/>
      <c r="FA3073" s="145"/>
      <c r="FB3073" s="145"/>
      <c r="FC3073" s="145"/>
      <c r="FD3073" s="145"/>
      <c r="FE3073" s="145"/>
      <c r="FF3073" s="145"/>
      <c r="FG3073" s="145"/>
      <c r="FH3073" s="145"/>
      <c r="FI3073" s="145"/>
      <c r="FJ3073" s="145"/>
      <c r="FK3073" s="145"/>
      <c r="FL3073" s="145"/>
      <c r="FM3073" s="145"/>
      <c r="FN3073" s="145"/>
      <c r="FO3073" s="145"/>
      <c r="FP3073" s="145"/>
      <c r="FQ3073" s="145"/>
      <c r="FR3073" s="145"/>
      <c r="FS3073" s="145"/>
      <c r="FT3073" s="145"/>
      <c r="FU3073" s="145"/>
      <c r="FV3073" s="145"/>
      <c r="FW3073" s="145"/>
      <c r="FX3073" s="145"/>
      <c r="FY3073" s="145"/>
      <c r="FZ3073" s="145"/>
      <c r="GA3073" s="145"/>
      <c r="GB3073" s="145"/>
      <c r="GC3073" s="145"/>
      <c r="GD3073" s="145"/>
      <c r="GE3073" s="145"/>
      <c r="GF3073" s="145"/>
      <c r="GG3073" s="145"/>
      <c r="GH3073" s="145"/>
      <c r="GI3073" s="145"/>
      <c r="GJ3073" s="145"/>
      <c r="GK3073" s="145"/>
      <c r="GL3073" s="145"/>
      <c r="GM3073" s="145"/>
      <c r="GN3073" s="145"/>
      <c r="GO3073" s="145"/>
      <c r="GP3073" s="145"/>
      <c r="GQ3073" s="145"/>
      <c r="GR3073" s="145"/>
      <c r="GS3073" s="145"/>
      <c r="GT3073" s="145"/>
      <c r="GU3073" s="145"/>
      <c r="GV3073" s="145"/>
      <c r="GW3073" s="145"/>
      <c r="GX3073" s="145"/>
      <c r="GY3073" s="145"/>
      <c r="GZ3073" s="145"/>
      <c r="HA3073" s="145"/>
      <c r="HB3073" s="145"/>
      <c r="HC3073" s="145"/>
      <c r="HD3073" s="145"/>
      <c r="HE3073" s="145"/>
      <c r="HF3073" s="145"/>
    </row>
    <row r="3074" spans="1:214" x14ac:dyDescent="0.35">
      <c r="A3074" s="277">
        <v>82</v>
      </c>
      <c r="B3074" s="277"/>
      <c r="C3074" s="266"/>
      <c r="D3074" s="287"/>
      <c r="E3074" s="276"/>
      <c r="F3074" s="276"/>
      <c r="G3074" s="277"/>
      <c r="H3074" s="136" t="s">
        <v>75</v>
      </c>
      <c r="I3074" s="181">
        <f>D3072*K3074</f>
        <v>250034.4</v>
      </c>
      <c r="J3074" s="181">
        <f>I3074/D3072</f>
        <v>99</v>
      </c>
      <c r="K3074" s="181">
        <v>99</v>
      </c>
      <c r="L3074" s="145"/>
      <c r="M3074" s="145"/>
      <c r="N3074" s="145"/>
      <c r="O3074" s="145"/>
      <c r="P3074" s="145"/>
      <c r="Q3074" s="145"/>
      <c r="R3074" s="145"/>
      <c r="S3074" s="145"/>
      <c r="T3074" s="145"/>
      <c r="U3074" s="145"/>
      <c r="V3074" s="145"/>
      <c r="W3074" s="145"/>
      <c r="X3074" s="145"/>
      <c r="Y3074" s="145"/>
      <c r="Z3074" s="145"/>
      <c r="AA3074" s="145"/>
      <c r="AB3074" s="145"/>
      <c r="AC3074" s="145"/>
      <c r="AD3074" s="145"/>
      <c r="AE3074" s="145"/>
      <c r="AF3074" s="145"/>
      <c r="AG3074" s="145"/>
      <c r="AH3074" s="145"/>
      <c r="AI3074" s="145"/>
      <c r="AJ3074" s="145"/>
      <c r="AK3074" s="145"/>
      <c r="AL3074" s="145"/>
      <c r="AM3074" s="145"/>
      <c r="AN3074" s="145"/>
      <c r="AO3074" s="145"/>
      <c r="AP3074" s="145"/>
      <c r="AQ3074" s="145"/>
      <c r="AR3074" s="145"/>
      <c r="AS3074" s="145"/>
      <c r="AT3074" s="145"/>
      <c r="AU3074" s="145"/>
      <c r="AV3074" s="145"/>
      <c r="AW3074" s="145"/>
      <c r="AX3074" s="145"/>
      <c r="AY3074" s="145"/>
      <c r="AZ3074" s="145"/>
      <c r="BA3074" s="145"/>
      <c r="BB3074" s="145"/>
      <c r="BC3074" s="145"/>
      <c r="BD3074" s="145"/>
      <c r="BE3074" s="145"/>
      <c r="BF3074" s="145"/>
      <c r="BG3074" s="145"/>
      <c r="BH3074" s="145"/>
      <c r="BI3074" s="145"/>
      <c r="BJ3074" s="145"/>
      <c r="BK3074" s="145"/>
      <c r="BL3074" s="145"/>
      <c r="BM3074" s="145"/>
      <c r="BN3074" s="145"/>
      <c r="BO3074" s="145"/>
      <c r="BP3074" s="145"/>
      <c r="BQ3074" s="145"/>
      <c r="BR3074" s="145"/>
      <c r="BS3074" s="145"/>
      <c r="BT3074" s="145"/>
      <c r="BU3074" s="145"/>
      <c r="BV3074" s="145"/>
      <c r="BW3074" s="145"/>
      <c r="BX3074" s="145"/>
      <c r="BY3074" s="145"/>
      <c r="BZ3074" s="145"/>
      <c r="CA3074" s="145"/>
      <c r="CB3074" s="145"/>
      <c r="CC3074" s="145"/>
      <c r="CD3074" s="145"/>
      <c r="CE3074" s="145"/>
      <c r="CF3074" s="145"/>
      <c r="CG3074" s="145"/>
      <c r="CH3074" s="145"/>
      <c r="CI3074" s="145"/>
      <c r="CJ3074" s="145"/>
      <c r="CK3074" s="145"/>
      <c r="CL3074" s="145"/>
      <c r="CM3074" s="145"/>
      <c r="CN3074" s="145"/>
      <c r="CO3074" s="145"/>
      <c r="CP3074" s="145"/>
      <c r="CQ3074" s="145"/>
      <c r="CR3074" s="145"/>
      <c r="CS3074" s="145"/>
      <c r="CT3074" s="145"/>
      <c r="CU3074" s="145"/>
      <c r="CV3074" s="145"/>
      <c r="CW3074" s="145"/>
      <c r="CX3074" s="145"/>
      <c r="CY3074" s="145"/>
      <c r="CZ3074" s="145"/>
      <c r="DA3074" s="145"/>
      <c r="DB3074" s="145"/>
      <c r="DC3074" s="145"/>
      <c r="DD3074" s="145"/>
      <c r="DE3074" s="145"/>
      <c r="DF3074" s="145"/>
      <c r="DG3074" s="145"/>
      <c r="DH3074" s="145"/>
      <c r="DI3074" s="145"/>
      <c r="DJ3074" s="145"/>
      <c r="DK3074" s="145"/>
      <c r="DL3074" s="145"/>
      <c r="DM3074" s="145"/>
      <c r="DN3074" s="145"/>
      <c r="DO3074" s="145"/>
      <c r="DP3074" s="145"/>
      <c r="DQ3074" s="145"/>
      <c r="DR3074" s="145"/>
      <c r="DS3074" s="145"/>
      <c r="DT3074" s="145"/>
      <c r="DU3074" s="145"/>
      <c r="DV3074" s="145"/>
      <c r="DW3074" s="145"/>
      <c r="DX3074" s="145"/>
      <c r="DY3074" s="145"/>
      <c r="DZ3074" s="145"/>
      <c r="EA3074" s="145"/>
      <c r="EB3074" s="145"/>
      <c r="EC3074" s="145"/>
      <c r="ED3074" s="145"/>
      <c r="EE3074" s="145"/>
      <c r="EF3074" s="145"/>
      <c r="EG3074" s="145"/>
      <c r="EH3074" s="145"/>
      <c r="EI3074" s="145"/>
      <c r="EJ3074" s="145"/>
      <c r="EK3074" s="145"/>
      <c r="EL3074" s="145"/>
      <c r="EM3074" s="145"/>
      <c r="EN3074" s="145"/>
      <c r="EO3074" s="145"/>
      <c r="EP3074" s="145"/>
      <c r="EQ3074" s="145"/>
      <c r="ER3074" s="145"/>
      <c r="ES3074" s="145"/>
      <c r="ET3074" s="145"/>
      <c r="EU3074" s="145"/>
      <c r="EV3074" s="145"/>
      <c r="EW3074" s="145"/>
      <c r="EX3074" s="145"/>
      <c r="EY3074" s="145"/>
      <c r="EZ3074" s="145"/>
      <c r="FA3074" s="145"/>
      <c r="FB3074" s="145"/>
      <c r="FC3074" s="145"/>
      <c r="FD3074" s="145"/>
      <c r="FE3074" s="145"/>
      <c r="FF3074" s="145"/>
      <c r="FG3074" s="145"/>
      <c r="FH3074" s="145"/>
      <c r="FI3074" s="145"/>
      <c r="FJ3074" s="145"/>
      <c r="FK3074" s="145"/>
      <c r="FL3074" s="145"/>
      <c r="FM3074" s="145"/>
      <c r="FN3074" s="145"/>
      <c r="FO3074" s="145"/>
      <c r="FP3074" s="145"/>
      <c r="FQ3074" s="145"/>
      <c r="FR3074" s="145"/>
      <c r="FS3074" s="145"/>
      <c r="FT3074" s="145"/>
      <c r="FU3074" s="145"/>
      <c r="FV3074" s="145"/>
      <c r="FW3074" s="145"/>
      <c r="FX3074" s="145"/>
      <c r="FY3074" s="145"/>
      <c r="FZ3074" s="145"/>
      <c r="GA3074" s="145"/>
      <c r="GB3074" s="145"/>
      <c r="GC3074" s="145"/>
      <c r="GD3074" s="145"/>
      <c r="GE3074" s="145"/>
      <c r="GF3074" s="145"/>
      <c r="GG3074" s="145"/>
      <c r="GH3074" s="145"/>
      <c r="GI3074" s="145"/>
      <c r="GJ3074" s="145"/>
      <c r="GK3074" s="145"/>
      <c r="GL3074" s="145"/>
      <c r="GM3074" s="145"/>
      <c r="GN3074" s="145"/>
      <c r="GO3074" s="145"/>
      <c r="GP3074" s="145"/>
      <c r="GQ3074" s="145"/>
      <c r="GR3074" s="145"/>
      <c r="GS3074" s="145"/>
      <c r="GT3074" s="145"/>
      <c r="GU3074" s="145"/>
      <c r="GV3074" s="145"/>
      <c r="GW3074" s="145"/>
      <c r="GX3074" s="145"/>
      <c r="GY3074" s="145"/>
      <c r="GZ3074" s="145"/>
      <c r="HA3074" s="145"/>
      <c r="HB3074" s="145"/>
      <c r="HC3074" s="145"/>
      <c r="HD3074" s="145"/>
      <c r="HE3074" s="145"/>
      <c r="HF3074" s="145"/>
    </row>
    <row r="3075" spans="1:214" x14ac:dyDescent="0.35">
      <c r="A3075" s="270">
        <f>A3072+1</f>
        <v>50</v>
      </c>
      <c r="B3075" s="270">
        <v>3406</v>
      </c>
      <c r="C3075" s="262" t="s">
        <v>132</v>
      </c>
      <c r="D3075" s="273">
        <v>1229.96</v>
      </c>
      <c r="E3075" s="267" t="s">
        <v>79</v>
      </c>
      <c r="F3075" s="267">
        <v>3</v>
      </c>
      <c r="G3075" s="165"/>
      <c r="H3075" s="136" t="s">
        <v>72</v>
      </c>
      <c r="I3075" s="181">
        <f>I3076+I3077+I3078+I3079+I3080+I3081</f>
        <v>12016709.199999999</v>
      </c>
      <c r="J3075" s="181">
        <f>J3076+J3077+J3078+J3079+J3080+J3081</f>
        <v>9770</v>
      </c>
      <c r="K3075" s="181">
        <f>K3076+K3077+K3078+K3079+K3080+K3081</f>
        <v>9770</v>
      </c>
      <c r="L3075" s="145"/>
      <c r="M3075" s="145"/>
      <c r="N3075" s="145"/>
      <c r="O3075" s="145"/>
      <c r="P3075" s="145"/>
      <c r="Q3075" s="145"/>
      <c r="R3075" s="145"/>
      <c r="S3075" s="145"/>
      <c r="T3075" s="145"/>
      <c r="U3075" s="145"/>
      <c r="V3075" s="145"/>
      <c r="W3075" s="145"/>
      <c r="X3075" s="145"/>
      <c r="Y3075" s="145"/>
      <c r="Z3075" s="145"/>
      <c r="AA3075" s="145"/>
      <c r="AB3075" s="145"/>
      <c r="AC3075" s="145"/>
      <c r="AD3075" s="145"/>
      <c r="AE3075" s="145"/>
      <c r="AF3075" s="145"/>
      <c r="AG3075" s="145"/>
      <c r="AH3075" s="145"/>
      <c r="AI3075" s="145"/>
      <c r="AJ3075" s="145"/>
      <c r="AK3075" s="145"/>
      <c r="AL3075" s="145"/>
      <c r="AM3075" s="145"/>
      <c r="AN3075" s="145"/>
      <c r="AO3075" s="145"/>
      <c r="AP3075" s="145"/>
      <c r="AQ3075" s="145"/>
      <c r="AR3075" s="145"/>
      <c r="AS3075" s="145"/>
      <c r="AT3075" s="145"/>
      <c r="AU3075" s="145"/>
      <c r="AV3075" s="145"/>
      <c r="AW3075" s="145"/>
      <c r="AX3075" s="145"/>
      <c r="AY3075" s="145"/>
      <c r="AZ3075" s="145"/>
      <c r="BA3075" s="145"/>
      <c r="BB3075" s="145"/>
      <c r="BC3075" s="145"/>
      <c r="BD3075" s="145"/>
      <c r="BE3075" s="145"/>
      <c r="BF3075" s="145"/>
      <c r="BG3075" s="145"/>
      <c r="BH3075" s="145"/>
      <c r="BI3075" s="145"/>
      <c r="BJ3075" s="145"/>
      <c r="BK3075" s="145"/>
      <c r="BL3075" s="145"/>
      <c r="BM3075" s="145"/>
      <c r="BN3075" s="145"/>
      <c r="BO3075" s="145"/>
      <c r="BP3075" s="145"/>
      <c r="BQ3075" s="145"/>
      <c r="BR3075" s="145"/>
      <c r="BS3075" s="145"/>
      <c r="BT3075" s="145"/>
      <c r="BU3075" s="145"/>
      <c r="BV3075" s="145"/>
      <c r="BW3075" s="145"/>
      <c r="BX3075" s="145"/>
      <c r="BY3075" s="145"/>
      <c r="BZ3075" s="145"/>
      <c r="CA3075" s="145"/>
      <c r="CB3075" s="145"/>
      <c r="CC3075" s="145"/>
      <c r="CD3075" s="145"/>
      <c r="CE3075" s="145"/>
      <c r="CF3075" s="145"/>
      <c r="CG3075" s="145"/>
      <c r="CH3075" s="145"/>
      <c r="CI3075" s="145"/>
      <c r="CJ3075" s="145"/>
      <c r="CK3075" s="145"/>
      <c r="CL3075" s="145"/>
      <c r="CM3075" s="145"/>
      <c r="CN3075" s="145"/>
      <c r="CO3075" s="145"/>
      <c r="CP3075" s="145"/>
      <c r="CQ3075" s="145"/>
      <c r="CR3075" s="145"/>
      <c r="CS3075" s="145"/>
      <c r="CT3075" s="145"/>
      <c r="CU3075" s="145"/>
      <c r="CV3075" s="145"/>
      <c r="CW3075" s="145"/>
      <c r="CX3075" s="145"/>
      <c r="CY3075" s="145"/>
      <c r="CZ3075" s="145"/>
      <c r="DA3075" s="145"/>
      <c r="DB3075" s="145"/>
      <c r="DC3075" s="145"/>
      <c r="DD3075" s="145"/>
      <c r="DE3075" s="145"/>
      <c r="DF3075" s="145"/>
      <c r="DG3075" s="145"/>
      <c r="DH3075" s="145"/>
      <c r="DI3075" s="145"/>
      <c r="DJ3075" s="145"/>
      <c r="DK3075" s="145"/>
      <c r="DL3075" s="145"/>
      <c r="DM3075" s="145"/>
      <c r="DN3075" s="145"/>
      <c r="DO3075" s="145"/>
      <c r="DP3075" s="145"/>
      <c r="DQ3075" s="145"/>
      <c r="DR3075" s="145"/>
      <c r="DS3075" s="145"/>
      <c r="DT3075" s="145"/>
      <c r="DU3075" s="145"/>
      <c r="DV3075" s="145"/>
      <c r="DW3075" s="145"/>
      <c r="DX3075" s="145"/>
      <c r="DY3075" s="145"/>
      <c r="DZ3075" s="145"/>
      <c r="EA3075" s="145"/>
      <c r="EB3075" s="145"/>
      <c r="EC3075" s="145"/>
      <c r="ED3075" s="145"/>
      <c r="EE3075" s="145"/>
      <c r="EF3075" s="145"/>
      <c r="EG3075" s="145"/>
      <c r="EH3075" s="145"/>
      <c r="EI3075" s="145"/>
      <c r="EJ3075" s="145"/>
      <c r="EK3075" s="145"/>
      <c r="EL3075" s="145"/>
      <c r="EM3075" s="145"/>
      <c r="EN3075" s="145"/>
      <c r="EO3075" s="145"/>
      <c r="EP3075" s="145"/>
      <c r="EQ3075" s="145"/>
      <c r="ER3075" s="145"/>
      <c r="ES3075" s="145"/>
      <c r="ET3075" s="145"/>
      <c r="EU3075" s="145"/>
      <c r="EV3075" s="145"/>
      <c r="EW3075" s="145"/>
      <c r="EX3075" s="145"/>
      <c r="EY3075" s="145"/>
      <c r="EZ3075" s="145"/>
      <c r="FA3075" s="145"/>
      <c r="FB3075" s="145"/>
      <c r="FC3075" s="145"/>
      <c r="FD3075" s="145"/>
      <c r="FE3075" s="145"/>
      <c r="FF3075" s="145"/>
      <c r="FG3075" s="145"/>
      <c r="FH3075" s="145"/>
      <c r="FI3075" s="145"/>
      <c r="FJ3075" s="145"/>
      <c r="FK3075" s="145"/>
      <c r="FL3075" s="145"/>
      <c r="FM3075" s="145"/>
      <c r="FN3075" s="145"/>
      <c r="FO3075" s="145"/>
      <c r="FP3075" s="145"/>
      <c r="FQ3075" s="145"/>
      <c r="FR3075" s="145"/>
      <c r="FS3075" s="145"/>
      <c r="FT3075" s="145"/>
      <c r="FU3075" s="145"/>
      <c r="FV3075" s="145"/>
      <c r="FW3075" s="145"/>
      <c r="FX3075" s="145"/>
      <c r="FY3075" s="145"/>
      <c r="FZ3075" s="145"/>
      <c r="GA3075" s="145"/>
      <c r="GB3075" s="145"/>
      <c r="GC3075" s="145"/>
      <c r="GD3075" s="145"/>
      <c r="GE3075" s="145"/>
      <c r="GF3075" s="145"/>
      <c r="GG3075" s="145"/>
      <c r="GH3075" s="145"/>
      <c r="GI3075" s="145"/>
      <c r="GJ3075" s="145"/>
      <c r="GK3075" s="145"/>
      <c r="GL3075" s="145"/>
      <c r="GM3075" s="145"/>
      <c r="GN3075" s="145"/>
      <c r="GO3075" s="145"/>
      <c r="GP3075" s="145"/>
      <c r="GQ3075" s="145"/>
      <c r="GR3075" s="145"/>
      <c r="GS3075" s="145"/>
      <c r="GT3075" s="145"/>
      <c r="GU3075" s="145"/>
      <c r="GV3075" s="145"/>
      <c r="GW3075" s="145"/>
      <c r="GX3075" s="145"/>
      <c r="GY3075" s="145"/>
      <c r="GZ3075" s="145"/>
      <c r="HA3075" s="145"/>
      <c r="HB3075" s="145"/>
      <c r="HC3075" s="145"/>
      <c r="HD3075" s="145"/>
      <c r="HE3075" s="145"/>
    </row>
    <row r="3076" spans="1:214" x14ac:dyDescent="0.35">
      <c r="A3076" s="271"/>
      <c r="B3076" s="271"/>
      <c r="C3076" s="263"/>
      <c r="D3076" s="274"/>
      <c r="E3076" s="268"/>
      <c r="F3076" s="268"/>
      <c r="G3076" s="270" t="s">
        <v>71</v>
      </c>
      <c r="H3076" s="136" t="s">
        <v>73</v>
      </c>
      <c r="I3076" s="181">
        <f>D3075*K3076</f>
        <v>5693484.8399999999</v>
      </c>
      <c r="J3076" s="181">
        <f>I3076/D3075</f>
        <v>4629</v>
      </c>
      <c r="K3076" s="181">
        <v>4629</v>
      </c>
      <c r="L3076" s="145"/>
      <c r="M3076" s="145"/>
      <c r="N3076" s="145"/>
      <c r="O3076" s="145"/>
      <c r="P3076" s="145"/>
      <c r="Q3076" s="145"/>
      <c r="R3076" s="145"/>
      <c r="S3076" s="145"/>
      <c r="T3076" s="145"/>
      <c r="U3076" s="145"/>
      <c r="V3076" s="145"/>
      <c r="W3076" s="145"/>
      <c r="X3076" s="145"/>
      <c r="Y3076" s="145"/>
      <c r="Z3076" s="145"/>
      <c r="AA3076" s="145"/>
      <c r="AB3076" s="145"/>
      <c r="AC3076" s="145"/>
      <c r="AD3076" s="145"/>
      <c r="AE3076" s="145"/>
      <c r="AF3076" s="145"/>
      <c r="AG3076" s="145"/>
      <c r="AH3076" s="145"/>
      <c r="AI3076" s="145"/>
      <c r="AJ3076" s="145"/>
      <c r="AK3076" s="145"/>
      <c r="AL3076" s="145"/>
      <c r="AM3076" s="145"/>
      <c r="AN3076" s="145"/>
      <c r="AO3076" s="145"/>
      <c r="AP3076" s="145"/>
      <c r="AQ3076" s="145"/>
      <c r="AR3076" s="145"/>
      <c r="AS3076" s="145"/>
      <c r="AT3076" s="145"/>
      <c r="AU3076" s="145"/>
      <c r="AV3076" s="145"/>
      <c r="AW3076" s="145"/>
      <c r="AX3076" s="145"/>
      <c r="AY3076" s="145"/>
      <c r="AZ3076" s="145"/>
      <c r="BA3076" s="145"/>
      <c r="BB3076" s="145"/>
      <c r="BC3076" s="145"/>
      <c r="BD3076" s="145"/>
      <c r="BE3076" s="145"/>
      <c r="BF3076" s="145"/>
      <c r="BG3076" s="145"/>
      <c r="BH3076" s="145"/>
      <c r="BI3076" s="145"/>
      <c r="BJ3076" s="145"/>
      <c r="BK3076" s="145"/>
      <c r="BL3076" s="145"/>
      <c r="BM3076" s="145"/>
      <c r="BN3076" s="145"/>
      <c r="BO3076" s="145"/>
      <c r="BP3076" s="145"/>
      <c r="BQ3076" s="145"/>
      <c r="BR3076" s="145"/>
      <c r="BS3076" s="145"/>
      <c r="BT3076" s="145"/>
      <c r="BU3076" s="145"/>
      <c r="BV3076" s="145"/>
      <c r="BW3076" s="145"/>
      <c r="BX3076" s="145"/>
      <c r="BY3076" s="145"/>
      <c r="BZ3076" s="145"/>
      <c r="CA3076" s="145"/>
      <c r="CB3076" s="145"/>
      <c r="CC3076" s="145"/>
      <c r="CD3076" s="145"/>
      <c r="CE3076" s="145"/>
      <c r="CF3076" s="145"/>
      <c r="CG3076" s="145"/>
      <c r="CH3076" s="145"/>
      <c r="CI3076" s="145"/>
      <c r="CJ3076" s="145"/>
      <c r="CK3076" s="145"/>
      <c r="CL3076" s="145"/>
      <c r="CM3076" s="145"/>
      <c r="CN3076" s="145"/>
      <c r="CO3076" s="145"/>
      <c r="CP3076" s="145"/>
      <c r="CQ3076" s="145"/>
      <c r="CR3076" s="145"/>
      <c r="CS3076" s="145"/>
      <c r="CT3076" s="145"/>
      <c r="CU3076" s="145"/>
      <c r="CV3076" s="145"/>
      <c r="CW3076" s="145"/>
      <c r="CX3076" s="145"/>
      <c r="CY3076" s="145"/>
      <c r="CZ3076" s="145"/>
      <c r="DA3076" s="145"/>
      <c r="DB3076" s="145"/>
      <c r="DC3076" s="145"/>
      <c r="DD3076" s="145"/>
      <c r="DE3076" s="145"/>
      <c r="DF3076" s="145"/>
      <c r="DG3076" s="145"/>
      <c r="DH3076" s="145"/>
      <c r="DI3076" s="145"/>
      <c r="DJ3076" s="145"/>
      <c r="DK3076" s="145"/>
      <c r="DL3076" s="145"/>
      <c r="DM3076" s="145"/>
      <c r="DN3076" s="145"/>
      <c r="DO3076" s="145"/>
      <c r="DP3076" s="145"/>
      <c r="DQ3076" s="145"/>
      <c r="DR3076" s="145"/>
      <c r="DS3076" s="145"/>
      <c r="DT3076" s="145"/>
      <c r="DU3076" s="145"/>
      <c r="DV3076" s="145"/>
      <c r="DW3076" s="145"/>
      <c r="DX3076" s="145"/>
      <c r="DY3076" s="145"/>
      <c r="DZ3076" s="145"/>
      <c r="EA3076" s="145"/>
      <c r="EB3076" s="145"/>
      <c r="EC3076" s="145"/>
      <c r="ED3076" s="145"/>
      <c r="EE3076" s="145"/>
      <c r="EF3076" s="145"/>
      <c r="EG3076" s="145"/>
      <c r="EH3076" s="145"/>
      <c r="EI3076" s="145"/>
      <c r="EJ3076" s="145"/>
      <c r="EK3076" s="145"/>
      <c r="EL3076" s="145"/>
      <c r="EM3076" s="145"/>
      <c r="EN3076" s="145"/>
      <c r="EO3076" s="145"/>
      <c r="EP3076" s="145"/>
      <c r="EQ3076" s="145"/>
      <c r="ER3076" s="145"/>
      <c r="ES3076" s="145"/>
      <c r="ET3076" s="145"/>
      <c r="EU3076" s="145"/>
      <c r="EV3076" s="145"/>
      <c r="EW3076" s="145"/>
      <c r="EX3076" s="145"/>
      <c r="EY3076" s="145"/>
      <c r="EZ3076" s="145"/>
      <c r="FA3076" s="145"/>
      <c r="FB3076" s="145"/>
      <c r="FC3076" s="145"/>
      <c r="FD3076" s="145"/>
      <c r="FE3076" s="145"/>
      <c r="FF3076" s="145"/>
      <c r="FG3076" s="145"/>
      <c r="FH3076" s="145"/>
      <c r="FI3076" s="145"/>
      <c r="FJ3076" s="145"/>
      <c r="FK3076" s="145"/>
      <c r="FL3076" s="145"/>
      <c r="FM3076" s="145"/>
      <c r="FN3076" s="145"/>
      <c r="FO3076" s="145"/>
      <c r="FP3076" s="145"/>
      <c r="FQ3076" s="145"/>
      <c r="FR3076" s="145"/>
      <c r="FS3076" s="145"/>
      <c r="FT3076" s="145"/>
      <c r="FU3076" s="145"/>
      <c r="FV3076" s="145"/>
      <c r="FW3076" s="145"/>
      <c r="FX3076" s="145"/>
      <c r="FY3076" s="145"/>
      <c r="FZ3076" s="145"/>
      <c r="GA3076" s="145"/>
      <c r="GB3076" s="145"/>
      <c r="GC3076" s="145"/>
      <c r="GD3076" s="145"/>
      <c r="GE3076" s="145"/>
      <c r="GF3076" s="145"/>
      <c r="GG3076" s="145"/>
      <c r="GH3076" s="145"/>
      <c r="GI3076" s="145"/>
      <c r="GJ3076" s="145"/>
      <c r="GK3076" s="145"/>
      <c r="GL3076" s="145"/>
      <c r="GM3076" s="145"/>
      <c r="GN3076" s="145"/>
      <c r="GO3076" s="145"/>
      <c r="GP3076" s="145"/>
      <c r="GQ3076" s="145"/>
      <c r="GR3076" s="145"/>
      <c r="GS3076" s="145"/>
      <c r="GT3076" s="145"/>
      <c r="GU3076" s="145"/>
      <c r="GV3076" s="145"/>
      <c r="GW3076" s="145"/>
      <c r="GX3076" s="145"/>
      <c r="GY3076" s="145"/>
      <c r="GZ3076" s="145"/>
      <c r="HA3076" s="145"/>
      <c r="HB3076" s="145"/>
      <c r="HC3076" s="145"/>
      <c r="HD3076" s="145"/>
      <c r="HE3076" s="145"/>
    </row>
    <row r="3077" spans="1:214" x14ac:dyDescent="0.35">
      <c r="A3077" s="271"/>
      <c r="B3077" s="271"/>
      <c r="C3077" s="263"/>
      <c r="D3077" s="274"/>
      <c r="E3077" s="268"/>
      <c r="F3077" s="268"/>
      <c r="G3077" s="272"/>
      <c r="H3077" s="136" t="s">
        <v>75</v>
      </c>
      <c r="I3077" s="181">
        <f>D3075*K3077</f>
        <v>121766.04</v>
      </c>
      <c r="J3077" s="181">
        <f>I3077/D3075</f>
        <v>99</v>
      </c>
      <c r="K3077" s="181">
        <v>99</v>
      </c>
      <c r="L3077" s="145"/>
      <c r="M3077" s="145"/>
      <c r="N3077" s="145"/>
      <c r="O3077" s="145"/>
      <c r="P3077" s="145"/>
      <c r="Q3077" s="145"/>
      <c r="R3077" s="145"/>
      <c r="S3077" s="145"/>
      <c r="T3077" s="145"/>
      <c r="U3077" s="145"/>
      <c r="V3077" s="145"/>
      <c r="W3077" s="145"/>
      <c r="X3077" s="145"/>
      <c r="Y3077" s="145"/>
      <c r="Z3077" s="145"/>
      <c r="AA3077" s="145"/>
      <c r="AB3077" s="145"/>
      <c r="AC3077" s="145"/>
      <c r="AD3077" s="145"/>
      <c r="AE3077" s="145"/>
      <c r="AF3077" s="145"/>
      <c r="AG3077" s="145"/>
      <c r="AH3077" s="145"/>
      <c r="AI3077" s="145"/>
      <c r="AJ3077" s="145"/>
      <c r="AK3077" s="145"/>
      <c r="AL3077" s="145"/>
      <c r="AM3077" s="145"/>
      <c r="AN3077" s="145"/>
      <c r="AO3077" s="145"/>
      <c r="AP3077" s="145"/>
      <c r="AQ3077" s="145"/>
      <c r="AR3077" s="145"/>
      <c r="AS3077" s="145"/>
      <c r="AT3077" s="145"/>
      <c r="AU3077" s="145"/>
      <c r="AV3077" s="145"/>
      <c r="AW3077" s="145"/>
      <c r="AX3077" s="145"/>
      <c r="AY3077" s="145"/>
      <c r="AZ3077" s="145"/>
      <c r="BA3077" s="145"/>
      <c r="BB3077" s="145"/>
      <c r="BC3077" s="145"/>
      <c r="BD3077" s="145"/>
      <c r="BE3077" s="145"/>
      <c r="BF3077" s="145"/>
      <c r="BG3077" s="145"/>
      <c r="BH3077" s="145"/>
      <c r="BI3077" s="145"/>
      <c r="BJ3077" s="145"/>
      <c r="BK3077" s="145"/>
      <c r="BL3077" s="145"/>
      <c r="BM3077" s="145"/>
      <c r="BN3077" s="145"/>
      <c r="BO3077" s="145"/>
      <c r="BP3077" s="145"/>
      <c r="BQ3077" s="145"/>
      <c r="BR3077" s="145"/>
      <c r="BS3077" s="145"/>
      <c r="BT3077" s="145"/>
      <c r="BU3077" s="145"/>
      <c r="BV3077" s="145"/>
      <c r="BW3077" s="145"/>
      <c r="BX3077" s="145"/>
      <c r="BY3077" s="145"/>
      <c r="BZ3077" s="145"/>
      <c r="CA3077" s="145"/>
      <c r="CB3077" s="145"/>
      <c r="CC3077" s="145"/>
      <c r="CD3077" s="145"/>
      <c r="CE3077" s="145"/>
      <c r="CF3077" s="145"/>
      <c r="CG3077" s="145"/>
      <c r="CH3077" s="145"/>
      <c r="CI3077" s="145"/>
      <c r="CJ3077" s="145"/>
      <c r="CK3077" s="145"/>
      <c r="CL3077" s="145"/>
      <c r="CM3077" s="145"/>
      <c r="CN3077" s="145"/>
      <c r="CO3077" s="145"/>
      <c r="CP3077" s="145"/>
      <c r="CQ3077" s="145"/>
      <c r="CR3077" s="145"/>
      <c r="CS3077" s="145"/>
      <c r="CT3077" s="145"/>
      <c r="CU3077" s="145"/>
      <c r="CV3077" s="145"/>
      <c r="CW3077" s="145"/>
      <c r="CX3077" s="145"/>
      <c r="CY3077" s="145"/>
      <c r="CZ3077" s="145"/>
      <c r="DA3077" s="145"/>
      <c r="DB3077" s="145"/>
      <c r="DC3077" s="145"/>
      <c r="DD3077" s="145"/>
      <c r="DE3077" s="145"/>
      <c r="DF3077" s="145"/>
      <c r="DG3077" s="145"/>
      <c r="DH3077" s="145"/>
      <c r="DI3077" s="145"/>
      <c r="DJ3077" s="145"/>
      <c r="DK3077" s="145"/>
      <c r="DL3077" s="145"/>
      <c r="DM3077" s="145"/>
      <c r="DN3077" s="145"/>
      <c r="DO3077" s="145"/>
      <c r="DP3077" s="145"/>
      <c r="DQ3077" s="145"/>
      <c r="DR3077" s="145"/>
      <c r="DS3077" s="145"/>
      <c r="DT3077" s="145"/>
      <c r="DU3077" s="145"/>
      <c r="DV3077" s="145"/>
      <c r="DW3077" s="145"/>
      <c r="DX3077" s="145"/>
      <c r="DY3077" s="145"/>
      <c r="DZ3077" s="145"/>
      <c r="EA3077" s="145"/>
      <c r="EB3077" s="145"/>
      <c r="EC3077" s="145"/>
      <c r="ED3077" s="145"/>
      <c r="EE3077" s="145"/>
      <c r="EF3077" s="145"/>
      <c r="EG3077" s="145"/>
      <c r="EH3077" s="145"/>
      <c r="EI3077" s="145"/>
      <c r="EJ3077" s="145"/>
      <c r="EK3077" s="145"/>
      <c r="EL3077" s="145"/>
      <c r="EM3077" s="145"/>
      <c r="EN3077" s="145"/>
      <c r="EO3077" s="145"/>
      <c r="EP3077" s="145"/>
      <c r="EQ3077" s="145"/>
      <c r="ER3077" s="145"/>
      <c r="ES3077" s="145"/>
      <c r="ET3077" s="145"/>
      <c r="EU3077" s="145"/>
      <c r="EV3077" s="145"/>
      <c r="EW3077" s="145"/>
      <c r="EX3077" s="145"/>
      <c r="EY3077" s="145"/>
      <c r="EZ3077" s="145"/>
      <c r="FA3077" s="145"/>
      <c r="FB3077" s="145"/>
      <c r="FC3077" s="145"/>
      <c r="FD3077" s="145"/>
      <c r="FE3077" s="145"/>
      <c r="FF3077" s="145"/>
      <c r="FG3077" s="145"/>
      <c r="FH3077" s="145"/>
      <c r="FI3077" s="145"/>
      <c r="FJ3077" s="145"/>
      <c r="FK3077" s="145"/>
      <c r="FL3077" s="145"/>
      <c r="FM3077" s="145"/>
      <c r="FN3077" s="145"/>
      <c r="FO3077" s="145"/>
      <c r="FP3077" s="145"/>
      <c r="FQ3077" s="145"/>
      <c r="FR3077" s="145"/>
      <c r="FS3077" s="145"/>
      <c r="FT3077" s="145"/>
      <c r="FU3077" s="145"/>
      <c r="FV3077" s="145"/>
      <c r="FW3077" s="145"/>
      <c r="FX3077" s="145"/>
      <c r="FY3077" s="145"/>
      <c r="FZ3077" s="145"/>
      <c r="GA3077" s="145"/>
      <c r="GB3077" s="145"/>
      <c r="GC3077" s="145"/>
      <c r="GD3077" s="145"/>
      <c r="GE3077" s="145"/>
      <c r="GF3077" s="145"/>
      <c r="GG3077" s="145"/>
      <c r="GH3077" s="145"/>
      <c r="GI3077" s="145"/>
      <c r="GJ3077" s="145"/>
      <c r="GK3077" s="145"/>
      <c r="GL3077" s="145"/>
      <c r="GM3077" s="145"/>
      <c r="GN3077" s="145"/>
      <c r="GO3077" s="145"/>
      <c r="GP3077" s="145"/>
      <c r="GQ3077" s="145"/>
      <c r="GR3077" s="145"/>
      <c r="GS3077" s="145"/>
      <c r="GT3077" s="145"/>
      <c r="GU3077" s="145"/>
      <c r="GV3077" s="145"/>
      <c r="GW3077" s="145"/>
      <c r="GX3077" s="145"/>
      <c r="GY3077" s="145"/>
      <c r="GZ3077" s="145"/>
      <c r="HA3077" s="145"/>
      <c r="HB3077" s="145"/>
      <c r="HC3077" s="145"/>
      <c r="HD3077" s="145"/>
      <c r="HE3077" s="145"/>
    </row>
    <row r="3078" spans="1:214" x14ac:dyDescent="0.35">
      <c r="A3078" s="271"/>
      <c r="B3078" s="271"/>
      <c r="C3078" s="263"/>
      <c r="D3078" s="274"/>
      <c r="E3078" s="268"/>
      <c r="F3078" s="268"/>
      <c r="G3078" s="311" t="s">
        <v>84</v>
      </c>
      <c r="H3078" s="136" t="s">
        <v>73</v>
      </c>
      <c r="I3078" s="181">
        <f>D3075*K3078</f>
        <v>2623504.6800000002</v>
      </c>
      <c r="J3078" s="181">
        <f>I3078/D3075</f>
        <v>2133</v>
      </c>
      <c r="K3078" s="181">
        <v>2133</v>
      </c>
      <c r="L3078" s="145"/>
      <c r="M3078" s="145"/>
      <c r="N3078" s="145"/>
      <c r="O3078" s="145"/>
      <c r="P3078" s="145"/>
      <c r="Q3078" s="145"/>
      <c r="R3078" s="145"/>
      <c r="S3078" s="145"/>
      <c r="T3078" s="145"/>
      <c r="U3078" s="145"/>
      <c r="V3078" s="145"/>
      <c r="W3078" s="145"/>
      <c r="X3078" s="145"/>
      <c r="Y3078" s="145"/>
      <c r="Z3078" s="145"/>
      <c r="AA3078" s="145"/>
      <c r="AB3078" s="145"/>
      <c r="AC3078" s="145"/>
      <c r="AD3078" s="145"/>
      <c r="AE3078" s="145"/>
      <c r="AF3078" s="145"/>
      <c r="AG3078" s="145"/>
      <c r="AH3078" s="145"/>
      <c r="AI3078" s="145"/>
      <c r="AJ3078" s="145"/>
      <c r="AK3078" s="145"/>
      <c r="AL3078" s="145"/>
      <c r="AM3078" s="145"/>
      <c r="AN3078" s="145"/>
      <c r="AO3078" s="145"/>
      <c r="AP3078" s="145"/>
      <c r="AQ3078" s="145"/>
      <c r="AR3078" s="145"/>
      <c r="AS3078" s="145"/>
      <c r="AT3078" s="145"/>
      <c r="AU3078" s="145"/>
      <c r="AV3078" s="145"/>
      <c r="AW3078" s="145"/>
      <c r="AX3078" s="145"/>
      <c r="AY3078" s="145"/>
      <c r="AZ3078" s="145"/>
      <c r="BA3078" s="145"/>
      <c r="BB3078" s="145"/>
      <c r="BC3078" s="145"/>
      <c r="BD3078" s="145"/>
      <c r="BE3078" s="145"/>
      <c r="BF3078" s="145"/>
      <c r="BG3078" s="145"/>
      <c r="BH3078" s="145"/>
      <c r="BI3078" s="145"/>
      <c r="BJ3078" s="145"/>
      <c r="BK3078" s="145"/>
      <c r="BL3078" s="145"/>
      <c r="BM3078" s="145"/>
      <c r="BN3078" s="145"/>
      <c r="BO3078" s="145"/>
      <c r="BP3078" s="145"/>
      <c r="BQ3078" s="145"/>
      <c r="BR3078" s="145"/>
      <c r="BS3078" s="145"/>
      <c r="BT3078" s="145"/>
      <c r="BU3078" s="145"/>
      <c r="BV3078" s="145"/>
      <c r="BW3078" s="145"/>
      <c r="BX3078" s="145"/>
      <c r="BY3078" s="145"/>
      <c r="BZ3078" s="145"/>
      <c r="CA3078" s="145"/>
      <c r="CB3078" s="145"/>
      <c r="CC3078" s="145"/>
      <c r="CD3078" s="145"/>
      <c r="CE3078" s="145"/>
      <c r="CF3078" s="145"/>
      <c r="CG3078" s="145"/>
      <c r="CH3078" s="145"/>
      <c r="CI3078" s="145"/>
      <c r="CJ3078" s="145"/>
      <c r="CK3078" s="145"/>
      <c r="CL3078" s="145"/>
      <c r="CM3078" s="145"/>
      <c r="CN3078" s="145"/>
      <c r="CO3078" s="145"/>
      <c r="CP3078" s="145"/>
      <c r="CQ3078" s="145"/>
      <c r="CR3078" s="145"/>
      <c r="CS3078" s="145"/>
      <c r="CT3078" s="145"/>
      <c r="CU3078" s="145"/>
      <c r="CV3078" s="145"/>
      <c r="CW3078" s="145"/>
      <c r="CX3078" s="145"/>
      <c r="CY3078" s="145"/>
      <c r="CZ3078" s="145"/>
      <c r="DA3078" s="145"/>
      <c r="DB3078" s="145"/>
      <c r="DC3078" s="145"/>
      <c r="DD3078" s="145"/>
      <c r="DE3078" s="145"/>
      <c r="DF3078" s="145"/>
      <c r="DG3078" s="145"/>
      <c r="DH3078" s="145"/>
      <c r="DI3078" s="145"/>
      <c r="DJ3078" s="145"/>
      <c r="DK3078" s="145"/>
      <c r="DL3078" s="145"/>
      <c r="DM3078" s="145"/>
      <c r="DN3078" s="145"/>
      <c r="DO3078" s="145"/>
      <c r="DP3078" s="145"/>
      <c r="DQ3078" s="145"/>
      <c r="DR3078" s="145"/>
      <c r="DS3078" s="145"/>
      <c r="DT3078" s="145"/>
      <c r="DU3078" s="145"/>
      <c r="DV3078" s="145"/>
      <c r="DW3078" s="145"/>
      <c r="DX3078" s="145"/>
      <c r="DY3078" s="145"/>
      <c r="DZ3078" s="145"/>
      <c r="EA3078" s="145"/>
      <c r="EB3078" s="145"/>
      <c r="EC3078" s="145"/>
      <c r="ED3078" s="145"/>
      <c r="EE3078" s="145"/>
      <c r="EF3078" s="145"/>
      <c r="EG3078" s="145"/>
      <c r="EH3078" s="145"/>
      <c r="EI3078" s="145"/>
      <c r="EJ3078" s="145"/>
      <c r="EK3078" s="145"/>
      <c r="EL3078" s="145"/>
      <c r="EM3078" s="145"/>
      <c r="EN3078" s="145"/>
      <c r="EO3078" s="145"/>
      <c r="EP3078" s="145"/>
      <c r="EQ3078" s="145"/>
      <c r="ER3078" s="145"/>
      <c r="ES3078" s="145"/>
      <c r="ET3078" s="145"/>
      <c r="EU3078" s="145"/>
      <c r="EV3078" s="145"/>
      <c r="EW3078" s="145"/>
      <c r="EX3078" s="145"/>
      <c r="EY3078" s="145"/>
      <c r="EZ3078" s="145"/>
      <c r="FA3078" s="145"/>
      <c r="FB3078" s="145"/>
      <c r="FC3078" s="145"/>
      <c r="FD3078" s="145"/>
      <c r="FE3078" s="145"/>
      <c r="FF3078" s="145"/>
      <c r="FG3078" s="145"/>
      <c r="FH3078" s="145"/>
      <c r="FI3078" s="145"/>
      <c r="FJ3078" s="145"/>
      <c r="FK3078" s="145"/>
      <c r="FL3078" s="145"/>
      <c r="FM3078" s="145"/>
      <c r="FN3078" s="145"/>
      <c r="FO3078" s="145"/>
      <c r="FP3078" s="145"/>
      <c r="FQ3078" s="145"/>
      <c r="FR3078" s="145"/>
      <c r="FS3078" s="145"/>
      <c r="FT3078" s="145"/>
      <c r="FU3078" s="145"/>
      <c r="FV3078" s="145"/>
      <c r="FW3078" s="145"/>
      <c r="FX3078" s="145"/>
      <c r="FY3078" s="145"/>
      <c r="FZ3078" s="145"/>
      <c r="GA3078" s="145"/>
      <c r="GB3078" s="145"/>
      <c r="GC3078" s="145"/>
      <c r="GD3078" s="145"/>
      <c r="GE3078" s="145"/>
      <c r="GF3078" s="145"/>
      <c r="GG3078" s="145"/>
      <c r="GH3078" s="145"/>
      <c r="GI3078" s="145"/>
      <c r="GJ3078" s="145"/>
      <c r="GK3078" s="145"/>
      <c r="GL3078" s="145"/>
      <c r="GM3078" s="145"/>
      <c r="GN3078" s="145"/>
      <c r="GO3078" s="145"/>
      <c r="GP3078" s="145"/>
      <c r="GQ3078" s="145"/>
      <c r="GR3078" s="145"/>
      <c r="GS3078" s="145"/>
      <c r="GT3078" s="145"/>
      <c r="GU3078" s="145"/>
      <c r="GV3078" s="145"/>
      <c r="GW3078" s="145"/>
      <c r="GX3078" s="145"/>
      <c r="GY3078" s="145"/>
      <c r="GZ3078" s="145"/>
      <c r="HA3078" s="145"/>
      <c r="HB3078" s="145"/>
      <c r="HC3078" s="145"/>
      <c r="HD3078" s="145"/>
      <c r="HE3078" s="145"/>
    </row>
    <row r="3079" spans="1:214" x14ac:dyDescent="0.35">
      <c r="A3079" s="271"/>
      <c r="B3079" s="271"/>
      <c r="C3079" s="263"/>
      <c r="D3079" s="274"/>
      <c r="E3079" s="268"/>
      <c r="F3079" s="268"/>
      <c r="G3079" s="312"/>
      <c r="H3079" s="136" t="s">
        <v>75</v>
      </c>
      <c r="I3079" s="181">
        <f>D3075*K3079</f>
        <v>56578.16</v>
      </c>
      <c r="J3079" s="181">
        <f>I3079/D3075</f>
        <v>46</v>
      </c>
      <c r="K3079" s="181">
        <v>46</v>
      </c>
      <c r="L3079" s="145"/>
      <c r="M3079" s="145"/>
      <c r="N3079" s="145"/>
      <c r="O3079" s="145"/>
      <c r="P3079" s="145"/>
      <c r="Q3079" s="145"/>
      <c r="R3079" s="145"/>
      <c r="S3079" s="145"/>
      <c r="T3079" s="145"/>
      <c r="U3079" s="145"/>
      <c r="V3079" s="145"/>
      <c r="W3079" s="145"/>
      <c r="X3079" s="145"/>
      <c r="Y3079" s="145"/>
      <c r="Z3079" s="145"/>
      <c r="AA3079" s="145"/>
      <c r="AB3079" s="145"/>
      <c r="AC3079" s="145"/>
      <c r="AD3079" s="145"/>
      <c r="AE3079" s="145"/>
      <c r="AF3079" s="145"/>
      <c r="AG3079" s="145"/>
      <c r="AH3079" s="145"/>
      <c r="AI3079" s="145"/>
      <c r="AJ3079" s="145"/>
      <c r="AK3079" s="145"/>
      <c r="AL3079" s="145"/>
      <c r="AM3079" s="145"/>
      <c r="AN3079" s="145"/>
      <c r="AO3079" s="145"/>
      <c r="AP3079" s="145"/>
      <c r="AQ3079" s="145"/>
      <c r="AR3079" s="145"/>
      <c r="AS3079" s="145"/>
      <c r="AT3079" s="145"/>
      <c r="AU3079" s="145"/>
      <c r="AV3079" s="145"/>
      <c r="AW3079" s="145"/>
      <c r="AX3079" s="145"/>
      <c r="AY3079" s="145"/>
      <c r="AZ3079" s="145"/>
      <c r="BA3079" s="145"/>
      <c r="BB3079" s="145"/>
      <c r="BC3079" s="145"/>
      <c r="BD3079" s="145"/>
      <c r="BE3079" s="145"/>
      <c r="BF3079" s="145"/>
      <c r="BG3079" s="145"/>
      <c r="BH3079" s="145"/>
      <c r="BI3079" s="145"/>
      <c r="BJ3079" s="145"/>
      <c r="BK3079" s="145"/>
      <c r="BL3079" s="145"/>
      <c r="BM3079" s="145"/>
      <c r="BN3079" s="145"/>
      <c r="BO3079" s="145"/>
      <c r="BP3079" s="145"/>
      <c r="BQ3079" s="145"/>
      <c r="BR3079" s="145"/>
      <c r="BS3079" s="145"/>
      <c r="BT3079" s="145"/>
      <c r="BU3079" s="145"/>
      <c r="BV3079" s="145"/>
      <c r="BW3079" s="145"/>
      <c r="BX3079" s="145"/>
      <c r="BY3079" s="145"/>
      <c r="BZ3079" s="145"/>
      <c r="CA3079" s="145"/>
      <c r="CB3079" s="145"/>
      <c r="CC3079" s="145"/>
      <c r="CD3079" s="145"/>
      <c r="CE3079" s="145"/>
      <c r="CF3079" s="145"/>
      <c r="CG3079" s="145"/>
      <c r="CH3079" s="145"/>
      <c r="CI3079" s="145"/>
      <c r="CJ3079" s="145"/>
      <c r="CK3079" s="145"/>
      <c r="CL3079" s="145"/>
      <c r="CM3079" s="145"/>
      <c r="CN3079" s="145"/>
      <c r="CO3079" s="145"/>
      <c r="CP3079" s="145"/>
      <c r="CQ3079" s="145"/>
      <c r="CR3079" s="145"/>
      <c r="CS3079" s="145"/>
      <c r="CT3079" s="145"/>
      <c r="CU3079" s="145"/>
      <c r="CV3079" s="145"/>
      <c r="CW3079" s="145"/>
      <c r="CX3079" s="145"/>
      <c r="CY3079" s="145"/>
      <c r="CZ3079" s="145"/>
      <c r="DA3079" s="145"/>
      <c r="DB3079" s="145"/>
      <c r="DC3079" s="145"/>
      <c r="DD3079" s="145"/>
      <c r="DE3079" s="145"/>
      <c r="DF3079" s="145"/>
      <c r="DG3079" s="145"/>
      <c r="DH3079" s="145"/>
      <c r="DI3079" s="145"/>
      <c r="DJ3079" s="145"/>
      <c r="DK3079" s="145"/>
      <c r="DL3079" s="145"/>
      <c r="DM3079" s="145"/>
      <c r="DN3079" s="145"/>
      <c r="DO3079" s="145"/>
      <c r="DP3079" s="145"/>
      <c r="DQ3079" s="145"/>
      <c r="DR3079" s="145"/>
      <c r="DS3079" s="145"/>
      <c r="DT3079" s="145"/>
      <c r="DU3079" s="145"/>
      <c r="DV3079" s="145"/>
      <c r="DW3079" s="145"/>
      <c r="DX3079" s="145"/>
      <c r="DY3079" s="145"/>
      <c r="DZ3079" s="145"/>
      <c r="EA3079" s="145"/>
      <c r="EB3079" s="145"/>
      <c r="EC3079" s="145"/>
      <c r="ED3079" s="145"/>
      <c r="EE3079" s="145"/>
      <c r="EF3079" s="145"/>
      <c r="EG3079" s="145"/>
      <c r="EH3079" s="145"/>
      <c r="EI3079" s="145"/>
      <c r="EJ3079" s="145"/>
      <c r="EK3079" s="145"/>
      <c r="EL3079" s="145"/>
      <c r="EM3079" s="145"/>
      <c r="EN3079" s="145"/>
      <c r="EO3079" s="145"/>
      <c r="EP3079" s="145"/>
      <c r="EQ3079" s="145"/>
      <c r="ER3079" s="145"/>
      <c r="ES3079" s="145"/>
      <c r="ET3079" s="145"/>
      <c r="EU3079" s="145"/>
      <c r="EV3079" s="145"/>
      <c r="EW3079" s="145"/>
      <c r="EX3079" s="145"/>
      <c r="EY3079" s="145"/>
      <c r="EZ3079" s="145"/>
      <c r="FA3079" s="145"/>
      <c r="FB3079" s="145"/>
      <c r="FC3079" s="145"/>
      <c r="FD3079" s="145"/>
      <c r="FE3079" s="145"/>
      <c r="FF3079" s="145"/>
      <c r="FG3079" s="145"/>
      <c r="FH3079" s="145"/>
      <c r="FI3079" s="145"/>
      <c r="FJ3079" s="145"/>
      <c r="FK3079" s="145"/>
      <c r="FL3079" s="145"/>
      <c r="FM3079" s="145"/>
      <c r="FN3079" s="145"/>
      <c r="FO3079" s="145"/>
      <c r="FP3079" s="145"/>
      <c r="FQ3079" s="145"/>
      <c r="FR3079" s="145"/>
      <c r="FS3079" s="145"/>
      <c r="FT3079" s="145"/>
      <c r="FU3079" s="145"/>
      <c r="FV3079" s="145"/>
      <c r="FW3079" s="145"/>
      <c r="FX3079" s="145"/>
      <c r="FY3079" s="145"/>
      <c r="FZ3079" s="145"/>
      <c r="GA3079" s="145"/>
      <c r="GB3079" s="145"/>
      <c r="GC3079" s="145"/>
      <c r="GD3079" s="145"/>
      <c r="GE3079" s="145"/>
      <c r="GF3079" s="145"/>
      <c r="GG3079" s="145"/>
      <c r="GH3079" s="145"/>
      <c r="GI3079" s="145"/>
      <c r="GJ3079" s="145"/>
      <c r="GK3079" s="145"/>
      <c r="GL3079" s="145"/>
      <c r="GM3079" s="145"/>
      <c r="GN3079" s="145"/>
      <c r="GO3079" s="145"/>
      <c r="GP3079" s="145"/>
      <c r="GQ3079" s="145"/>
      <c r="GR3079" s="145"/>
      <c r="GS3079" s="145"/>
      <c r="GT3079" s="145"/>
      <c r="GU3079" s="145"/>
      <c r="GV3079" s="145"/>
      <c r="GW3079" s="145"/>
      <c r="GX3079" s="145"/>
      <c r="GY3079" s="145"/>
      <c r="GZ3079" s="145"/>
      <c r="HA3079" s="145"/>
      <c r="HB3079" s="145"/>
      <c r="HC3079" s="145"/>
      <c r="HD3079" s="145"/>
      <c r="HE3079" s="145"/>
    </row>
    <row r="3080" spans="1:214" x14ac:dyDescent="0.35">
      <c r="A3080" s="271"/>
      <c r="B3080" s="271"/>
      <c r="C3080" s="263"/>
      <c r="D3080" s="274"/>
      <c r="E3080" s="268"/>
      <c r="F3080" s="268"/>
      <c r="G3080" s="270" t="s">
        <v>108</v>
      </c>
      <c r="H3080" s="136" t="s">
        <v>73</v>
      </c>
      <c r="I3080" s="181">
        <f>D3075*K3080</f>
        <v>3447577.88</v>
      </c>
      <c r="J3080" s="181">
        <f>I3080/D3075</f>
        <v>2803</v>
      </c>
      <c r="K3080" s="181">
        <v>2803</v>
      </c>
      <c r="L3080" s="145"/>
      <c r="M3080" s="145"/>
      <c r="N3080" s="145"/>
      <c r="O3080" s="145"/>
      <c r="P3080" s="145"/>
      <c r="Q3080" s="145"/>
      <c r="R3080" s="145"/>
      <c r="S3080" s="145"/>
      <c r="T3080" s="145"/>
      <c r="U3080" s="145"/>
      <c r="V3080" s="145"/>
      <c r="W3080" s="145"/>
      <c r="X3080" s="145"/>
      <c r="Y3080" s="145"/>
      <c r="Z3080" s="145"/>
      <c r="AA3080" s="145"/>
      <c r="AB3080" s="145"/>
      <c r="AC3080" s="145"/>
      <c r="AD3080" s="145"/>
      <c r="AE3080" s="145"/>
      <c r="AF3080" s="145"/>
      <c r="AG3080" s="145"/>
      <c r="AH3080" s="145"/>
      <c r="AI3080" s="145"/>
      <c r="AJ3080" s="145"/>
      <c r="AK3080" s="145"/>
      <c r="AL3080" s="145"/>
      <c r="AM3080" s="145"/>
      <c r="AN3080" s="145"/>
      <c r="AO3080" s="145"/>
      <c r="AP3080" s="145"/>
      <c r="AQ3080" s="145"/>
      <c r="AR3080" s="145"/>
      <c r="AS3080" s="145"/>
      <c r="AT3080" s="145"/>
      <c r="AU3080" s="145"/>
      <c r="AV3080" s="145"/>
      <c r="AW3080" s="145"/>
      <c r="AX3080" s="145"/>
      <c r="AY3080" s="145"/>
      <c r="AZ3080" s="145"/>
      <c r="BA3080" s="145"/>
      <c r="BB3080" s="145"/>
      <c r="BC3080" s="145"/>
      <c r="BD3080" s="145"/>
      <c r="BE3080" s="145"/>
      <c r="BF3080" s="145"/>
      <c r="BG3080" s="145"/>
      <c r="BH3080" s="145"/>
      <c r="BI3080" s="145"/>
      <c r="BJ3080" s="145"/>
      <c r="BK3080" s="145"/>
      <c r="BL3080" s="145"/>
      <c r="BM3080" s="145"/>
      <c r="BN3080" s="145"/>
      <c r="BO3080" s="145"/>
      <c r="BP3080" s="145"/>
      <c r="BQ3080" s="145"/>
      <c r="BR3080" s="145"/>
      <c r="BS3080" s="145"/>
      <c r="BT3080" s="145"/>
      <c r="BU3080" s="145"/>
      <c r="BV3080" s="145"/>
      <c r="BW3080" s="145"/>
      <c r="BX3080" s="145"/>
      <c r="BY3080" s="145"/>
      <c r="BZ3080" s="145"/>
      <c r="CA3080" s="145"/>
      <c r="CB3080" s="145"/>
      <c r="CC3080" s="145"/>
      <c r="CD3080" s="145"/>
      <c r="CE3080" s="145"/>
      <c r="CF3080" s="145"/>
      <c r="CG3080" s="145"/>
      <c r="CH3080" s="145"/>
      <c r="CI3080" s="145"/>
      <c r="CJ3080" s="145"/>
      <c r="CK3080" s="145"/>
      <c r="CL3080" s="145"/>
      <c r="CM3080" s="145"/>
      <c r="CN3080" s="145"/>
      <c r="CO3080" s="145"/>
      <c r="CP3080" s="145"/>
      <c r="CQ3080" s="145"/>
      <c r="CR3080" s="145"/>
      <c r="CS3080" s="145"/>
      <c r="CT3080" s="145"/>
      <c r="CU3080" s="145"/>
      <c r="CV3080" s="145"/>
      <c r="CW3080" s="145"/>
      <c r="CX3080" s="145"/>
      <c r="CY3080" s="145"/>
      <c r="CZ3080" s="145"/>
      <c r="DA3080" s="145"/>
      <c r="DB3080" s="145"/>
      <c r="DC3080" s="145"/>
      <c r="DD3080" s="145"/>
      <c r="DE3080" s="145"/>
      <c r="DF3080" s="145"/>
      <c r="DG3080" s="145"/>
      <c r="DH3080" s="145"/>
      <c r="DI3080" s="145"/>
      <c r="DJ3080" s="145"/>
      <c r="DK3080" s="145"/>
      <c r="DL3080" s="145"/>
      <c r="DM3080" s="145"/>
      <c r="DN3080" s="145"/>
      <c r="DO3080" s="145"/>
      <c r="DP3080" s="145"/>
      <c r="DQ3080" s="145"/>
      <c r="DR3080" s="145"/>
      <c r="DS3080" s="145"/>
      <c r="DT3080" s="145"/>
      <c r="DU3080" s="145"/>
      <c r="DV3080" s="145"/>
      <c r="DW3080" s="145"/>
      <c r="DX3080" s="145"/>
      <c r="DY3080" s="145"/>
      <c r="DZ3080" s="145"/>
      <c r="EA3080" s="145"/>
      <c r="EB3080" s="145"/>
      <c r="EC3080" s="145"/>
      <c r="ED3080" s="145"/>
      <c r="EE3080" s="145"/>
      <c r="EF3080" s="145"/>
      <c r="EG3080" s="145"/>
      <c r="EH3080" s="145"/>
      <c r="EI3080" s="145"/>
      <c r="EJ3080" s="145"/>
      <c r="EK3080" s="145"/>
      <c r="EL3080" s="145"/>
      <c r="EM3080" s="145"/>
      <c r="EN3080" s="145"/>
      <c r="EO3080" s="145"/>
      <c r="EP3080" s="145"/>
      <c r="EQ3080" s="145"/>
      <c r="ER3080" s="145"/>
      <c r="ES3080" s="145"/>
      <c r="ET3080" s="145"/>
      <c r="EU3080" s="145"/>
      <c r="EV3080" s="145"/>
      <c r="EW3080" s="145"/>
      <c r="EX3080" s="145"/>
      <c r="EY3080" s="145"/>
      <c r="EZ3080" s="145"/>
      <c r="FA3080" s="145"/>
      <c r="FB3080" s="145"/>
      <c r="FC3080" s="145"/>
      <c r="FD3080" s="145"/>
      <c r="FE3080" s="145"/>
      <c r="FF3080" s="145"/>
      <c r="FG3080" s="145"/>
      <c r="FH3080" s="145"/>
      <c r="FI3080" s="145"/>
      <c r="FJ3080" s="145"/>
      <c r="FK3080" s="145"/>
      <c r="FL3080" s="145"/>
      <c r="FM3080" s="145"/>
      <c r="FN3080" s="145"/>
      <c r="FO3080" s="145"/>
      <c r="FP3080" s="145"/>
      <c r="FQ3080" s="145"/>
      <c r="FR3080" s="145"/>
      <c r="FS3080" s="145"/>
      <c r="FT3080" s="145"/>
      <c r="FU3080" s="145"/>
      <c r="FV3080" s="145"/>
      <c r="FW3080" s="145"/>
      <c r="FX3080" s="145"/>
      <c r="FY3080" s="145"/>
      <c r="FZ3080" s="145"/>
      <c r="GA3080" s="145"/>
      <c r="GB3080" s="145"/>
      <c r="GC3080" s="145"/>
      <c r="GD3080" s="145"/>
      <c r="GE3080" s="145"/>
      <c r="GF3080" s="145"/>
      <c r="GG3080" s="145"/>
      <c r="GH3080" s="145"/>
      <c r="GI3080" s="145"/>
      <c r="GJ3080" s="145"/>
      <c r="GK3080" s="145"/>
      <c r="GL3080" s="145"/>
      <c r="GM3080" s="145"/>
      <c r="GN3080" s="145"/>
      <c r="GO3080" s="145"/>
      <c r="GP3080" s="145"/>
      <c r="GQ3080" s="145"/>
      <c r="GR3080" s="145"/>
      <c r="GS3080" s="145"/>
      <c r="GT3080" s="145"/>
      <c r="GU3080" s="145"/>
      <c r="GV3080" s="145"/>
      <c r="GW3080" s="145"/>
      <c r="GX3080" s="145"/>
      <c r="GY3080" s="145"/>
      <c r="GZ3080" s="145"/>
      <c r="HA3080" s="145"/>
      <c r="HB3080" s="145"/>
      <c r="HC3080" s="145"/>
      <c r="HD3080" s="145"/>
      <c r="HE3080" s="145"/>
    </row>
    <row r="3081" spans="1:214" x14ac:dyDescent="0.35">
      <c r="A3081" s="272"/>
      <c r="B3081" s="272"/>
      <c r="C3081" s="264"/>
      <c r="D3081" s="275"/>
      <c r="E3081" s="269"/>
      <c r="F3081" s="269"/>
      <c r="G3081" s="272"/>
      <c r="H3081" s="136" t="s">
        <v>75</v>
      </c>
      <c r="I3081" s="181">
        <f>D3075*K3081</f>
        <v>73797.600000000006</v>
      </c>
      <c r="J3081" s="181">
        <f>I3081/D3075</f>
        <v>60</v>
      </c>
      <c r="K3081" s="181">
        <v>60</v>
      </c>
      <c r="L3081" s="145"/>
      <c r="M3081" s="145"/>
      <c r="N3081" s="145"/>
      <c r="O3081" s="145"/>
      <c r="P3081" s="145"/>
      <c r="Q3081" s="145"/>
      <c r="R3081" s="145"/>
      <c r="S3081" s="145"/>
      <c r="T3081" s="145"/>
      <c r="U3081" s="145"/>
      <c r="V3081" s="145"/>
      <c r="W3081" s="145"/>
      <c r="X3081" s="145"/>
      <c r="Y3081" s="145"/>
      <c r="Z3081" s="145"/>
      <c r="AA3081" s="145"/>
      <c r="AB3081" s="145"/>
      <c r="AC3081" s="145"/>
      <c r="AD3081" s="145"/>
      <c r="AE3081" s="145"/>
      <c r="AF3081" s="145"/>
      <c r="AG3081" s="145"/>
      <c r="AH3081" s="145"/>
      <c r="AI3081" s="145"/>
      <c r="AJ3081" s="145"/>
      <c r="AK3081" s="145"/>
      <c r="AL3081" s="145"/>
      <c r="AM3081" s="145"/>
      <c r="AN3081" s="145"/>
      <c r="AO3081" s="145"/>
      <c r="AP3081" s="145"/>
      <c r="AQ3081" s="145"/>
      <c r="AR3081" s="145"/>
      <c r="AS3081" s="145"/>
      <c r="AT3081" s="145"/>
      <c r="AU3081" s="145"/>
      <c r="AV3081" s="145"/>
      <c r="AW3081" s="145"/>
      <c r="AX3081" s="145"/>
      <c r="AY3081" s="145"/>
      <c r="AZ3081" s="145"/>
      <c r="BA3081" s="145"/>
      <c r="BB3081" s="145"/>
      <c r="BC3081" s="145"/>
      <c r="BD3081" s="145"/>
      <c r="BE3081" s="145"/>
      <c r="BF3081" s="145"/>
      <c r="BG3081" s="145"/>
      <c r="BH3081" s="145"/>
      <c r="BI3081" s="145"/>
      <c r="BJ3081" s="145"/>
      <c r="BK3081" s="145"/>
      <c r="BL3081" s="145"/>
      <c r="BM3081" s="145"/>
      <c r="BN3081" s="145"/>
      <c r="BO3081" s="145"/>
      <c r="BP3081" s="145"/>
      <c r="BQ3081" s="145"/>
      <c r="BR3081" s="145"/>
      <c r="BS3081" s="145"/>
      <c r="BT3081" s="145"/>
      <c r="BU3081" s="145"/>
      <c r="BV3081" s="145"/>
      <c r="BW3081" s="145"/>
      <c r="BX3081" s="145"/>
      <c r="BY3081" s="145"/>
      <c r="BZ3081" s="145"/>
      <c r="CA3081" s="145"/>
      <c r="CB3081" s="145"/>
      <c r="CC3081" s="145"/>
      <c r="CD3081" s="145"/>
      <c r="CE3081" s="145"/>
      <c r="CF3081" s="145"/>
      <c r="CG3081" s="145"/>
      <c r="CH3081" s="145"/>
      <c r="CI3081" s="145"/>
      <c r="CJ3081" s="145"/>
      <c r="CK3081" s="145"/>
      <c r="CL3081" s="145"/>
      <c r="CM3081" s="145"/>
      <c r="CN3081" s="145"/>
      <c r="CO3081" s="145"/>
      <c r="CP3081" s="145"/>
      <c r="CQ3081" s="145"/>
      <c r="CR3081" s="145"/>
      <c r="CS3081" s="145"/>
      <c r="CT3081" s="145"/>
      <c r="CU3081" s="145"/>
      <c r="CV3081" s="145"/>
      <c r="CW3081" s="145"/>
      <c r="CX3081" s="145"/>
      <c r="CY3081" s="145"/>
      <c r="CZ3081" s="145"/>
      <c r="DA3081" s="145"/>
      <c r="DB3081" s="145"/>
      <c r="DC3081" s="145"/>
      <c r="DD3081" s="145"/>
      <c r="DE3081" s="145"/>
      <c r="DF3081" s="145"/>
      <c r="DG3081" s="145"/>
      <c r="DH3081" s="145"/>
      <c r="DI3081" s="145"/>
      <c r="DJ3081" s="145"/>
      <c r="DK3081" s="145"/>
      <c r="DL3081" s="145"/>
      <c r="DM3081" s="145"/>
      <c r="DN3081" s="145"/>
      <c r="DO3081" s="145"/>
      <c r="DP3081" s="145"/>
      <c r="DQ3081" s="145"/>
      <c r="DR3081" s="145"/>
      <c r="DS3081" s="145"/>
      <c r="DT3081" s="145"/>
      <c r="DU3081" s="145"/>
      <c r="DV3081" s="145"/>
      <c r="DW3081" s="145"/>
      <c r="DX3081" s="145"/>
      <c r="DY3081" s="145"/>
      <c r="DZ3081" s="145"/>
      <c r="EA3081" s="145"/>
      <c r="EB3081" s="145"/>
      <c r="EC3081" s="145"/>
      <c r="ED3081" s="145"/>
      <c r="EE3081" s="145"/>
      <c r="EF3081" s="145"/>
      <c r="EG3081" s="145"/>
      <c r="EH3081" s="145"/>
      <c r="EI3081" s="145"/>
      <c r="EJ3081" s="145"/>
      <c r="EK3081" s="145"/>
      <c r="EL3081" s="145"/>
      <c r="EM3081" s="145"/>
      <c r="EN3081" s="145"/>
      <c r="EO3081" s="145"/>
      <c r="EP3081" s="145"/>
      <c r="EQ3081" s="145"/>
      <c r="ER3081" s="145"/>
      <c r="ES3081" s="145"/>
      <c r="ET3081" s="145"/>
      <c r="EU3081" s="145"/>
      <c r="EV3081" s="145"/>
      <c r="EW3081" s="145"/>
      <c r="EX3081" s="145"/>
      <c r="EY3081" s="145"/>
      <c r="EZ3081" s="145"/>
      <c r="FA3081" s="145"/>
      <c r="FB3081" s="145"/>
      <c r="FC3081" s="145"/>
      <c r="FD3081" s="145"/>
      <c r="FE3081" s="145"/>
      <c r="FF3081" s="145"/>
      <c r="FG3081" s="145"/>
      <c r="FH3081" s="145"/>
      <c r="FI3081" s="145"/>
      <c r="FJ3081" s="145"/>
      <c r="FK3081" s="145"/>
      <c r="FL3081" s="145"/>
      <c r="FM3081" s="145"/>
      <c r="FN3081" s="145"/>
      <c r="FO3081" s="145"/>
      <c r="FP3081" s="145"/>
      <c r="FQ3081" s="145"/>
      <c r="FR3081" s="145"/>
      <c r="FS3081" s="145"/>
      <c r="FT3081" s="145"/>
      <c r="FU3081" s="145"/>
      <c r="FV3081" s="145"/>
      <c r="FW3081" s="145"/>
      <c r="FX3081" s="145"/>
      <c r="FY3081" s="145"/>
      <c r="FZ3081" s="145"/>
      <c r="GA3081" s="145"/>
      <c r="GB3081" s="145"/>
      <c r="GC3081" s="145"/>
      <c r="GD3081" s="145"/>
      <c r="GE3081" s="145"/>
      <c r="GF3081" s="145"/>
      <c r="GG3081" s="145"/>
      <c r="GH3081" s="145"/>
      <c r="GI3081" s="145"/>
      <c r="GJ3081" s="145"/>
      <c r="GK3081" s="145"/>
      <c r="GL3081" s="145"/>
      <c r="GM3081" s="145"/>
      <c r="GN3081" s="145"/>
      <c r="GO3081" s="145"/>
      <c r="GP3081" s="145"/>
      <c r="GQ3081" s="145"/>
      <c r="GR3081" s="145"/>
      <c r="GS3081" s="145"/>
      <c r="GT3081" s="145"/>
      <c r="GU3081" s="145"/>
      <c r="GV3081" s="145"/>
      <c r="GW3081" s="145"/>
      <c r="GX3081" s="145"/>
      <c r="GY3081" s="145"/>
      <c r="GZ3081" s="145"/>
      <c r="HA3081" s="145"/>
      <c r="HB3081" s="145"/>
      <c r="HC3081" s="145"/>
      <c r="HD3081" s="145"/>
      <c r="HE3081" s="145"/>
    </row>
    <row r="3082" spans="1:214" x14ac:dyDescent="0.35">
      <c r="A3082" s="277">
        <f>A3075+1</f>
        <v>51</v>
      </c>
      <c r="B3082" s="277">
        <v>3408</v>
      </c>
      <c r="C3082" s="266" t="s">
        <v>133</v>
      </c>
      <c r="D3082" s="287">
        <v>3143.51</v>
      </c>
      <c r="E3082" s="276" t="s">
        <v>74</v>
      </c>
      <c r="F3082" s="276">
        <v>5</v>
      </c>
      <c r="G3082" s="277" t="s">
        <v>71</v>
      </c>
      <c r="H3082" s="136" t="s">
        <v>72</v>
      </c>
      <c r="I3082" s="181">
        <f>I3083+I3084</f>
        <v>10191259.42</v>
      </c>
      <c r="J3082" s="181">
        <f>J3083+J3084</f>
        <v>3242</v>
      </c>
      <c r="K3082" s="181">
        <f>K3083+K3084</f>
        <v>3242</v>
      </c>
      <c r="L3082" s="145"/>
      <c r="M3082" s="145"/>
      <c r="N3082" s="145"/>
      <c r="O3082" s="145"/>
      <c r="P3082" s="145"/>
      <c r="Q3082" s="145"/>
      <c r="R3082" s="145"/>
      <c r="S3082" s="145"/>
      <c r="T3082" s="145"/>
      <c r="U3082" s="145"/>
      <c r="V3082" s="145"/>
      <c r="W3082" s="145"/>
      <c r="X3082" s="145"/>
      <c r="Y3082" s="145"/>
      <c r="Z3082" s="145"/>
      <c r="AA3082" s="145"/>
      <c r="AB3082" s="145"/>
      <c r="AC3082" s="145"/>
      <c r="AD3082" s="145"/>
      <c r="AE3082" s="145"/>
      <c r="AF3082" s="145"/>
      <c r="AG3082" s="145"/>
      <c r="AH3082" s="145"/>
      <c r="AI3082" s="145"/>
      <c r="AJ3082" s="145"/>
      <c r="AK3082" s="145"/>
      <c r="AL3082" s="145"/>
      <c r="AM3082" s="145"/>
      <c r="AN3082" s="145"/>
      <c r="AO3082" s="145"/>
      <c r="AP3082" s="145"/>
      <c r="AQ3082" s="145"/>
      <c r="AR3082" s="145"/>
      <c r="AS3082" s="145"/>
      <c r="AT3082" s="145"/>
      <c r="AU3082" s="145"/>
      <c r="AV3082" s="145"/>
      <c r="AW3082" s="145"/>
      <c r="AX3082" s="145"/>
      <c r="AY3082" s="145"/>
      <c r="AZ3082" s="145"/>
      <c r="BA3082" s="145"/>
      <c r="BB3082" s="145"/>
      <c r="BC3082" s="145"/>
      <c r="BD3082" s="145"/>
      <c r="BE3082" s="145"/>
      <c r="BF3082" s="145"/>
      <c r="BG3082" s="145"/>
      <c r="BH3082" s="145"/>
      <c r="BI3082" s="145"/>
      <c r="BJ3082" s="145"/>
      <c r="BK3082" s="145"/>
      <c r="BL3082" s="145"/>
      <c r="BM3082" s="145"/>
      <c r="BN3082" s="145"/>
      <c r="BO3082" s="145"/>
      <c r="BP3082" s="145"/>
      <c r="BQ3082" s="145"/>
      <c r="BR3082" s="145"/>
      <c r="BS3082" s="145"/>
      <c r="BT3082" s="145"/>
      <c r="BU3082" s="145"/>
      <c r="BV3082" s="145"/>
      <c r="BW3082" s="145"/>
      <c r="BX3082" s="145"/>
      <c r="BY3082" s="145"/>
      <c r="BZ3082" s="145"/>
      <c r="CA3082" s="145"/>
      <c r="CB3082" s="145"/>
      <c r="CC3082" s="145"/>
      <c r="CD3082" s="145"/>
      <c r="CE3082" s="145"/>
      <c r="CF3082" s="145"/>
      <c r="CG3082" s="145"/>
      <c r="CH3082" s="145"/>
      <c r="CI3082" s="145"/>
      <c r="CJ3082" s="145"/>
      <c r="CK3082" s="145"/>
      <c r="CL3082" s="145"/>
      <c r="CM3082" s="145"/>
      <c r="CN3082" s="145"/>
      <c r="CO3082" s="145"/>
      <c r="CP3082" s="145"/>
      <c r="CQ3082" s="145"/>
      <c r="CR3082" s="145"/>
      <c r="CS3082" s="145"/>
      <c r="CT3082" s="145"/>
      <c r="CU3082" s="145"/>
      <c r="CV3082" s="145"/>
      <c r="CW3082" s="145"/>
      <c r="CX3082" s="145"/>
      <c r="CY3082" s="145"/>
      <c r="CZ3082" s="145"/>
      <c r="DA3082" s="145"/>
      <c r="DB3082" s="145"/>
      <c r="DC3082" s="145"/>
      <c r="DD3082" s="145"/>
      <c r="DE3082" s="145"/>
      <c r="DF3082" s="145"/>
      <c r="DG3082" s="145"/>
      <c r="DH3082" s="145"/>
      <c r="DI3082" s="145"/>
      <c r="DJ3082" s="145"/>
      <c r="DK3082" s="145"/>
      <c r="DL3082" s="145"/>
      <c r="DM3082" s="145"/>
      <c r="DN3082" s="145"/>
      <c r="DO3082" s="145"/>
      <c r="DP3082" s="145"/>
      <c r="DQ3082" s="145"/>
      <c r="DR3082" s="145"/>
      <c r="DS3082" s="145"/>
      <c r="DT3082" s="145"/>
      <c r="DU3082" s="145"/>
      <c r="DV3082" s="145"/>
      <c r="DW3082" s="145"/>
      <c r="DX3082" s="145"/>
      <c r="DY3082" s="145"/>
      <c r="DZ3082" s="145"/>
      <c r="EA3082" s="145"/>
      <c r="EB3082" s="145"/>
      <c r="EC3082" s="145"/>
      <c r="ED3082" s="145"/>
      <c r="EE3082" s="145"/>
      <c r="EF3082" s="145"/>
      <c r="EG3082" s="145"/>
      <c r="EH3082" s="145"/>
      <c r="EI3082" s="145"/>
      <c r="EJ3082" s="145"/>
      <c r="EK3082" s="145"/>
      <c r="EL3082" s="145"/>
      <c r="EM3082" s="145"/>
      <c r="EN3082" s="145"/>
      <c r="EO3082" s="145"/>
      <c r="EP3082" s="145"/>
      <c r="EQ3082" s="145"/>
      <c r="ER3082" s="145"/>
      <c r="ES3082" s="145"/>
      <c r="ET3082" s="145"/>
      <c r="EU3082" s="145"/>
      <c r="EV3082" s="145"/>
      <c r="EW3082" s="145"/>
      <c r="EX3082" s="145"/>
      <c r="EY3082" s="145"/>
      <c r="EZ3082" s="145"/>
      <c r="FA3082" s="145"/>
      <c r="FB3082" s="145"/>
      <c r="FC3082" s="145"/>
      <c r="FD3082" s="145"/>
      <c r="FE3082" s="145"/>
      <c r="FF3082" s="145"/>
      <c r="FG3082" s="145"/>
      <c r="FH3082" s="145"/>
      <c r="FI3082" s="145"/>
      <c r="FJ3082" s="145"/>
      <c r="FK3082" s="145"/>
      <c r="FL3082" s="145"/>
      <c r="FM3082" s="145"/>
      <c r="FN3082" s="145"/>
      <c r="FO3082" s="145"/>
      <c r="FP3082" s="145"/>
      <c r="FQ3082" s="145"/>
      <c r="FR3082" s="145"/>
      <c r="FS3082" s="145"/>
      <c r="FT3082" s="145"/>
      <c r="FU3082" s="145"/>
      <c r="FV3082" s="145"/>
      <c r="FW3082" s="145"/>
      <c r="FX3082" s="145"/>
      <c r="FY3082" s="145"/>
      <c r="FZ3082" s="145"/>
      <c r="GA3082" s="145"/>
      <c r="GB3082" s="145"/>
      <c r="GC3082" s="145"/>
      <c r="GD3082" s="145"/>
      <c r="GE3082" s="145"/>
      <c r="GF3082" s="145"/>
      <c r="GG3082" s="145"/>
      <c r="GH3082" s="145"/>
      <c r="GI3082" s="145"/>
      <c r="GJ3082" s="145"/>
      <c r="GK3082" s="145"/>
      <c r="GL3082" s="145"/>
      <c r="GM3082" s="145"/>
      <c r="GN3082" s="145"/>
      <c r="GO3082" s="145"/>
      <c r="GP3082" s="145"/>
      <c r="GQ3082" s="145"/>
      <c r="GR3082" s="145"/>
      <c r="GS3082" s="145"/>
      <c r="GT3082" s="145"/>
      <c r="GU3082" s="145"/>
      <c r="GV3082" s="145"/>
      <c r="GW3082" s="145"/>
      <c r="GX3082" s="145"/>
      <c r="GY3082" s="145"/>
      <c r="GZ3082" s="145"/>
      <c r="HA3082" s="145"/>
      <c r="HB3082" s="145"/>
      <c r="HC3082" s="145"/>
      <c r="HD3082" s="145"/>
      <c r="HE3082" s="145"/>
    </row>
    <row r="3083" spans="1:214" x14ac:dyDescent="0.35">
      <c r="A3083" s="277">
        <v>75</v>
      </c>
      <c r="B3083" s="277"/>
      <c r="C3083" s="266"/>
      <c r="D3083" s="287"/>
      <c r="E3083" s="276"/>
      <c r="F3083" s="276"/>
      <c r="G3083" s="277"/>
      <c r="H3083" s="136" t="s">
        <v>73</v>
      </c>
      <c r="I3083" s="181">
        <f>D3082*K3083</f>
        <v>9977500.7400000002</v>
      </c>
      <c r="J3083" s="181">
        <f>I3083/D3082</f>
        <v>3174</v>
      </c>
      <c r="K3083" s="181">
        <v>3174</v>
      </c>
      <c r="L3083" s="145"/>
      <c r="M3083" s="145"/>
      <c r="N3083" s="145"/>
      <c r="O3083" s="145"/>
      <c r="P3083" s="145"/>
      <c r="Q3083" s="145"/>
      <c r="R3083" s="145"/>
      <c r="S3083" s="145"/>
      <c r="T3083" s="145"/>
      <c r="U3083" s="145"/>
      <c r="V3083" s="145"/>
      <c r="W3083" s="145"/>
      <c r="X3083" s="145"/>
      <c r="Y3083" s="145"/>
      <c r="Z3083" s="145"/>
      <c r="AA3083" s="145"/>
      <c r="AB3083" s="145"/>
      <c r="AC3083" s="145"/>
      <c r="AD3083" s="145"/>
      <c r="AE3083" s="145"/>
      <c r="AF3083" s="145"/>
      <c r="AG3083" s="145"/>
      <c r="AH3083" s="145"/>
      <c r="AI3083" s="145"/>
      <c r="AJ3083" s="145"/>
      <c r="AK3083" s="145"/>
      <c r="AL3083" s="145"/>
      <c r="AM3083" s="145"/>
      <c r="AN3083" s="145"/>
      <c r="AO3083" s="145"/>
      <c r="AP3083" s="145"/>
      <c r="AQ3083" s="145"/>
      <c r="AR3083" s="145"/>
      <c r="AS3083" s="145"/>
      <c r="AT3083" s="145"/>
      <c r="AU3083" s="145"/>
      <c r="AV3083" s="145"/>
      <c r="AW3083" s="145"/>
      <c r="AX3083" s="145"/>
      <c r="AY3083" s="145"/>
      <c r="AZ3083" s="145"/>
      <c r="BA3083" s="145"/>
      <c r="BB3083" s="145"/>
      <c r="BC3083" s="145"/>
      <c r="BD3083" s="145"/>
      <c r="BE3083" s="145"/>
      <c r="BF3083" s="145"/>
      <c r="BG3083" s="145"/>
      <c r="BH3083" s="145"/>
      <c r="BI3083" s="145"/>
      <c r="BJ3083" s="145"/>
      <c r="BK3083" s="145"/>
      <c r="BL3083" s="145"/>
      <c r="BM3083" s="145"/>
      <c r="BN3083" s="145"/>
      <c r="BO3083" s="145"/>
      <c r="BP3083" s="145"/>
      <c r="BQ3083" s="145"/>
      <c r="BR3083" s="145"/>
      <c r="BS3083" s="145"/>
      <c r="BT3083" s="145"/>
      <c r="BU3083" s="145"/>
      <c r="BV3083" s="145"/>
      <c r="BW3083" s="145"/>
      <c r="BX3083" s="145"/>
      <c r="BY3083" s="145"/>
      <c r="BZ3083" s="145"/>
      <c r="CA3083" s="145"/>
      <c r="CB3083" s="145"/>
      <c r="CC3083" s="145"/>
      <c r="CD3083" s="145"/>
      <c r="CE3083" s="145"/>
      <c r="CF3083" s="145"/>
      <c r="CG3083" s="145"/>
      <c r="CH3083" s="145"/>
      <c r="CI3083" s="145"/>
      <c r="CJ3083" s="145"/>
      <c r="CK3083" s="145"/>
      <c r="CL3083" s="145"/>
      <c r="CM3083" s="145"/>
      <c r="CN3083" s="145"/>
      <c r="CO3083" s="145"/>
      <c r="CP3083" s="145"/>
      <c r="CQ3083" s="145"/>
      <c r="CR3083" s="145"/>
      <c r="CS3083" s="145"/>
      <c r="CT3083" s="145"/>
      <c r="CU3083" s="145"/>
      <c r="CV3083" s="145"/>
      <c r="CW3083" s="145"/>
      <c r="CX3083" s="145"/>
      <c r="CY3083" s="145"/>
      <c r="CZ3083" s="145"/>
      <c r="DA3083" s="145"/>
      <c r="DB3083" s="145"/>
      <c r="DC3083" s="145"/>
      <c r="DD3083" s="145"/>
      <c r="DE3083" s="145"/>
      <c r="DF3083" s="145"/>
      <c r="DG3083" s="145"/>
      <c r="DH3083" s="145"/>
      <c r="DI3083" s="145"/>
      <c r="DJ3083" s="145"/>
      <c r="DK3083" s="145"/>
      <c r="DL3083" s="145"/>
      <c r="DM3083" s="145"/>
      <c r="DN3083" s="145"/>
      <c r="DO3083" s="145"/>
      <c r="DP3083" s="145"/>
      <c r="DQ3083" s="145"/>
      <c r="DR3083" s="145"/>
      <c r="DS3083" s="145"/>
      <c r="DT3083" s="145"/>
      <c r="DU3083" s="145"/>
      <c r="DV3083" s="145"/>
      <c r="DW3083" s="145"/>
      <c r="DX3083" s="145"/>
      <c r="DY3083" s="145"/>
      <c r="DZ3083" s="145"/>
      <c r="EA3083" s="145"/>
      <c r="EB3083" s="145"/>
      <c r="EC3083" s="145"/>
      <c r="ED3083" s="145"/>
      <c r="EE3083" s="145"/>
      <c r="EF3083" s="145"/>
      <c r="EG3083" s="145"/>
      <c r="EH3083" s="145"/>
      <c r="EI3083" s="145"/>
      <c r="EJ3083" s="145"/>
      <c r="EK3083" s="145"/>
      <c r="EL3083" s="145"/>
      <c r="EM3083" s="145"/>
      <c r="EN3083" s="145"/>
      <c r="EO3083" s="145"/>
      <c r="EP3083" s="145"/>
      <c r="EQ3083" s="145"/>
      <c r="ER3083" s="145"/>
      <c r="ES3083" s="145"/>
      <c r="ET3083" s="145"/>
      <c r="EU3083" s="145"/>
      <c r="EV3083" s="145"/>
      <c r="EW3083" s="145"/>
      <c r="EX3083" s="145"/>
      <c r="EY3083" s="145"/>
      <c r="EZ3083" s="145"/>
      <c r="FA3083" s="145"/>
      <c r="FB3083" s="145"/>
      <c r="FC3083" s="145"/>
      <c r="FD3083" s="145"/>
      <c r="FE3083" s="145"/>
      <c r="FF3083" s="145"/>
      <c r="FG3083" s="145"/>
      <c r="FH3083" s="145"/>
      <c r="FI3083" s="145"/>
      <c r="FJ3083" s="145"/>
      <c r="FK3083" s="145"/>
      <c r="FL3083" s="145"/>
      <c r="FM3083" s="145"/>
      <c r="FN3083" s="145"/>
      <c r="FO3083" s="145"/>
      <c r="FP3083" s="145"/>
      <c r="FQ3083" s="145"/>
      <c r="FR3083" s="145"/>
      <c r="FS3083" s="145"/>
      <c r="FT3083" s="145"/>
      <c r="FU3083" s="145"/>
      <c r="FV3083" s="145"/>
      <c r="FW3083" s="145"/>
      <c r="FX3083" s="145"/>
      <c r="FY3083" s="145"/>
      <c r="FZ3083" s="145"/>
      <c r="GA3083" s="145"/>
      <c r="GB3083" s="145"/>
      <c r="GC3083" s="145"/>
      <c r="GD3083" s="145"/>
      <c r="GE3083" s="145"/>
      <c r="GF3083" s="145"/>
      <c r="GG3083" s="145"/>
      <c r="GH3083" s="145"/>
      <c r="GI3083" s="145"/>
      <c r="GJ3083" s="145"/>
      <c r="GK3083" s="145"/>
      <c r="GL3083" s="145"/>
      <c r="GM3083" s="145"/>
      <c r="GN3083" s="145"/>
      <c r="GO3083" s="145"/>
      <c r="GP3083" s="145"/>
      <c r="GQ3083" s="145"/>
      <c r="GR3083" s="145"/>
      <c r="GS3083" s="145"/>
      <c r="GT3083" s="145"/>
      <c r="GU3083" s="145"/>
      <c r="GV3083" s="145"/>
      <c r="GW3083" s="145"/>
      <c r="GX3083" s="145"/>
      <c r="GY3083" s="145"/>
      <c r="GZ3083" s="145"/>
      <c r="HA3083" s="145"/>
      <c r="HB3083" s="145"/>
      <c r="HC3083" s="145"/>
      <c r="HD3083" s="145"/>
      <c r="HE3083" s="145"/>
    </row>
    <row r="3084" spans="1:214" x14ac:dyDescent="0.35">
      <c r="A3084" s="277">
        <v>76</v>
      </c>
      <c r="B3084" s="277"/>
      <c r="C3084" s="266"/>
      <c r="D3084" s="287"/>
      <c r="E3084" s="276"/>
      <c r="F3084" s="276"/>
      <c r="G3084" s="277"/>
      <c r="H3084" s="136" t="s">
        <v>75</v>
      </c>
      <c r="I3084" s="181">
        <f>D3082*K3084</f>
        <v>213758.68</v>
      </c>
      <c r="J3084" s="181">
        <f>I3084/D3082</f>
        <v>68</v>
      </c>
      <c r="K3084" s="181">
        <v>68</v>
      </c>
      <c r="L3084" s="145"/>
      <c r="M3084" s="145"/>
      <c r="N3084" s="145"/>
      <c r="O3084" s="145"/>
      <c r="P3084" s="145"/>
      <c r="Q3084" s="145"/>
      <c r="R3084" s="145"/>
      <c r="S3084" s="145"/>
      <c r="T3084" s="145"/>
      <c r="U3084" s="145"/>
      <c r="V3084" s="145"/>
      <c r="W3084" s="145"/>
      <c r="X3084" s="145"/>
      <c r="Y3084" s="145"/>
      <c r="Z3084" s="145"/>
      <c r="AA3084" s="145"/>
      <c r="AB3084" s="145"/>
      <c r="AC3084" s="145"/>
      <c r="AD3084" s="145"/>
      <c r="AE3084" s="145"/>
      <c r="AF3084" s="145"/>
      <c r="AG3084" s="145"/>
      <c r="AH3084" s="145"/>
      <c r="AI3084" s="145"/>
      <c r="AJ3084" s="145"/>
      <c r="AK3084" s="145"/>
      <c r="AL3084" s="145"/>
      <c r="AM3084" s="145"/>
      <c r="AN3084" s="145"/>
      <c r="AO3084" s="145"/>
      <c r="AP3084" s="145"/>
      <c r="AQ3084" s="145"/>
      <c r="AR3084" s="145"/>
      <c r="AS3084" s="145"/>
      <c r="AT3084" s="145"/>
      <c r="AU3084" s="145"/>
      <c r="AV3084" s="145"/>
      <c r="AW3084" s="145"/>
      <c r="AX3084" s="145"/>
      <c r="AY3084" s="145"/>
      <c r="AZ3084" s="145"/>
      <c r="BA3084" s="145"/>
      <c r="BB3084" s="145"/>
      <c r="BC3084" s="145"/>
      <c r="BD3084" s="145"/>
      <c r="BE3084" s="145"/>
      <c r="BF3084" s="145"/>
      <c r="BG3084" s="145"/>
      <c r="BH3084" s="145"/>
      <c r="BI3084" s="145"/>
      <c r="BJ3084" s="145"/>
      <c r="BK3084" s="145"/>
      <c r="BL3084" s="145"/>
      <c r="BM3084" s="145"/>
      <c r="BN3084" s="145"/>
      <c r="BO3084" s="145"/>
      <c r="BP3084" s="145"/>
      <c r="BQ3084" s="145"/>
      <c r="BR3084" s="145"/>
      <c r="BS3084" s="145"/>
      <c r="BT3084" s="145"/>
      <c r="BU3084" s="145"/>
      <c r="BV3084" s="145"/>
      <c r="BW3084" s="145"/>
      <c r="BX3084" s="145"/>
      <c r="BY3084" s="145"/>
      <c r="BZ3084" s="145"/>
      <c r="CA3084" s="145"/>
      <c r="CB3084" s="145"/>
      <c r="CC3084" s="145"/>
      <c r="CD3084" s="145"/>
      <c r="CE3084" s="145"/>
      <c r="CF3084" s="145"/>
      <c r="CG3084" s="145"/>
      <c r="CH3084" s="145"/>
      <c r="CI3084" s="145"/>
      <c r="CJ3084" s="145"/>
      <c r="CK3084" s="145"/>
      <c r="CL3084" s="145"/>
      <c r="CM3084" s="145"/>
      <c r="CN3084" s="145"/>
      <c r="CO3084" s="145"/>
      <c r="CP3084" s="145"/>
      <c r="CQ3084" s="145"/>
      <c r="CR3084" s="145"/>
      <c r="CS3084" s="145"/>
      <c r="CT3084" s="145"/>
      <c r="CU3084" s="145"/>
      <c r="CV3084" s="145"/>
      <c r="CW3084" s="145"/>
      <c r="CX3084" s="145"/>
      <c r="CY3084" s="145"/>
      <c r="CZ3084" s="145"/>
      <c r="DA3084" s="145"/>
      <c r="DB3084" s="145"/>
      <c r="DC3084" s="145"/>
      <c r="DD3084" s="145"/>
      <c r="DE3084" s="145"/>
      <c r="DF3084" s="145"/>
      <c r="DG3084" s="145"/>
      <c r="DH3084" s="145"/>
      <c r="DI3084" s="145"/>
      <c r="DJ3084" s="145"/>
      <c r="DK3084" s="145"/>
      <c r="DL3084" s="145"/>
      <c r="DM3084" s="145"/>
      <c r="DN3084" s="145"/>
      <c r="DO3084" s="145"/>
      <c r="DP3084" s="145"/>
      <c r="DQ3084" s="145"/>
      <c r="DR3084" s="145"/>
      <c r="DS3084" s="145"/>
      <c r="DT3084" s="145"/>
      <c r="DU3084" s="145"/>
      <c r="DV3084" s="145"/>
      <c r="DW3084" s="145"/>
      <c r="DX3084" s="145"/>
      <c r="DY3084" s="145"/>
      <c r="DZ3084" s="145"/>
      <c r="EA3084" s="145"/>
      <c r="EB3084" s="145"/>
      <c r="EC3084" s="145"/>
      <c r="ED3084" s="145"/>
      <c r="EE3084" s="145"/>
      <c r="EF3084" s="145"/>
      <c r="EG3084" s="145"/>
      <c r="EH3084" s="145"/>
      <c r="EI3084" s="145"/>
      <c r="EJ3084" s="145"/>
      <c r="EK3084" s="145"/>
      <c r="EL3084" s="145"/>
      <c r="EM3084" s="145"/>
      <c r="EN3084" s="145"/>
      <c r="EO3084" s="145"/>
      <c r="EP3084" s="145"/>
      <c r="EQ3084" s="145"/>
      <c r="ER3084" s="145"/>
      <c r="ES3084" s="145"/>
      <c r="ET3084" s="145"/>
      <c r="EU3084" s="145"/>
      <c r="EV3084" s="145"/>
      <c r="EW3084" s="145"/>
      <c r="EX3084" s="145"/>
      <c r="EY3084" s="145"/>
      <c r="EZ3084" s="145"/>
      <c r="FA3084" s="145"/>
      <c r="FB3084" s="145"/>
      <c r="FC3084" s="145"/>
      <c r="FD3084" s="145"/>
      <c r="FE3084" s="145"/>
      <c r="FF3084" s="145"/>
      <c r="FG3084" s="145"/>
      <c r="FH3084" s="145"/>
      <c r="FI3084" s="145"/>
      <c r="FJ3084" s="145"/>
      <c r="FK3084" s="145"/>
      <c r="FL3084" s="145"/>
      <c r="FM3084" s="145"/>
      <c r="FN3084" s="145"/>
      <c r="FO3084" s="145"/>
      <c r="FP3084" s="145"/>
      <c r="FQ3084" s="145"/>
      <c r="FR3084" s="145"/>
      <c r="FS3084" s="145"/>
      <c r="FT3084" s="145"/>
      <c r="FU3084" s="145"/>
      <c r="FV3084" s="145"/>
      <c r="FW3084" s="145"/>
      <c r="FX3084" s="145"/>
      <c r="FY3084" s="145"/>
      <c r="FZ3084" s="145"/>
      <c r="GA3084" s="145"/>
      <c r="GB3084" s="145"/>
      <c r="GC3084" s="145"/>
      <c r="GD3084" s="145"/>
      <c r="GE3084" s="145"/>
      <c r="GF3084" s="145"/>
      <c r="GG3084" s="145"/>
      <c r="GH3084" s="145"/>
      <c r="GI3084" s="145"/>
      <c r="GJ3084" s="145"/>
      <c r="GK3084" s="145"/>
      <c r="GL3084" s="145"/>
      <c r="GM3084" s="145"/>
      <c r="GN3084" s="145"/>
      <c r="GO3084" s="145"/>
      <c r="GP3084" s="145"/>
      <c r="GQ3084" s="145"/>
      <c r="GR3084" s="145"/>
      <c r="GS3084" s="145"/>
      <c r="GT3084" s="145"/>
      <c r="GU3084" s="145"/>
      <c r="GV3084" s="145"/>
      <c r="GW3084" s="145"/>
      <c r="GX3084" s="145"/>
      <c r="GY3084" s="145"/>
      <c r="GZ3084" s="145"/>
      <c r="HA3084" s="145"/>
      <c r="HB3084" s="145"/>
      <c r="HC3084" s="145"/>
      <c r="HD3084" s="145"/>
      <c r="HE3084" s="145"/>
    </row>
    <row r="3085" spans="1:214" x14ac:dyDescent="0.35">
      <c r="A3085" s="270">
        <f>A3082+1</f>
        <v>52</v>
      </c>
      <c r="B3085" s="270">
        <v>3416</v>
      </c>
      <c r="C3085" s="262" t="s">
        <v>134</v>
      </c>
      <c r="D3085" s="273">
        <v>887</v>
      </c>
      <c r="E3085" s="267" t="s">
        <v>74</v>
      </c>
      <c r="F3085" s="267">
        <v>3</v>
      </c>
      <c r="G3085" s="270" t="s">
        <v>84</v>
      </c>
      <c r="H3085" s="136" t="s">
        <v>72</v>
      </c>
      <c r="I3085" s="181">
        <f>I3086+I3087</f>
        <v>925141</v>
      </c>
      <c r="J3085" s="181">
        <f>J3086+J3087</f>
        <v>1043</v>
      </c>
      <c r="K3085" s="181">
        <f>K3086+K3087</f>
        <v>1043</v>
      </c>
      <c r="L3085" s="145"/>
      <c r="M3085" s="145"/>
      <c r="N3085" s="145"/>
      <c r="O3085" s="145"/>
      <c r="P3085" s="145"/>
      <c r="Q3085" s="145"/>
      <c r="R3085" s="145"/>
      <c r="S3085" s="145"/>
      <c r="T3085" s="145"/>
      <c r="U3085" s="145"/>
      <c r="V3085" s="145"/>
      <c r="W3085" s="145"/>
      <c r="X3085" s="145"/>
      <c r="Y3085" s="145"/>
      <c r="Z3085" s="145"/>
      <c r="AA3085" s="145"/>
      <c r="AB3085" s="145"/>
      <c r="AC3085" s="145"/>
      <c r="AD3085" s="145"/>
      <c r="AE3085" s="145"/>
      <c r="AF3085" s="145"/>
      <c r="AG3085" s="145"/>
      <c r="AH3085" s="145"/>
      <c r="AI3085" s="145"/>
      <c r="AJ3085" s="145"/>
      <c r="AK3085" s="145"/>
      <c r="AL3085" s="145"/>
      <c r="AM3085" s="145"/>
      <c r="AN3085" s="145"/>
      <c r="AO3085" s="145"/>
      <c r="AP3085" s="145"/>
      <c r="AQ3085" s="145"/>
      <c r="AR3085" s="145"/>
      <c r="AS3085" s="145"/>
      <c r="AT3085" s="145"/>
      <c r="AU3085" s="145"/>
      <c r="AV3085" s="145"/>
      <c r="AW3085" s="145"/>
      <c r="AX3085" s="145"/>
      <c r="AY3085" s="145"/>
      <c r="AZ3085" s="145"/>
      <c r="BA3085" s="145"/>
      <c r="BB3085" s="145"/>
      <c r="BC3085" s="145"/>
      <c r="BD3085" s="145"/>
      <c r="BE3085" s="145"/>
      <c r="BF3085" s="145"/>
      <c r="BG3085" s="145"/>
      <c r="BH3085" s="145"/>
      <c r="BI3085" s="145"/>
      <c r="BJ3085" s="145"/>
      <c r="BK3085" s="145"/>
      <c r="BL3085" s="145"/>
      <c r="BM3085" s="145"/>
      <c r="BN3085" s="145"/>
      <c r="BO3085" s="145"/>
      <c r="BP3085" s="145"/>
      <c r="BQ3085" s="145"/>
      <c r="BR3085" s="145"/>
      <c r="BS3085" s="145"/>
      <c r="BT3085" s="145"/>
      <c r="BU3085" s="145"/>
      <c r="BV3085" s="145"/>
      <c r="BW3085" s="145"/>
      <c r="BX3085" s="145"/>
      <c r="BY3085" s="145"/>
      <c r="BZ3085" s="145"/>
      <c r="CA3085" s="145"/>
      <c r="CB3085" s="145"/>
      <c r="CC3085" s="145"/>
      <c r="CD3085" s="145"/>
      <c r="CE3085" s="145"/>
      <c r="CF3085" s="145"/>
      <c r="CG3085" s="145"/>
      <c r="CH3085" s="145"/>
      <c r="CI3085" s="145"/>
      <c r="CJ3085" s="145"/>
      <c r="CK3085" s="145"/>
      <c r="CL3085" s="145"/>
      <c r="CM3085" s="145"/>
      <c r="CN3085" s="145"/>
      <c r="CO3085" s="145"/>
      <c r="CP3085" s="145"/>
      <c r="CQ3085" s="145"/>
      <c r="CR3085" s="145"/>
      <c r="CS3085" s="145"/>
      <c r="CT3085" s="145"/>
      <c r="CU3085" s="145"/>
      <c r="CV3085" s="145"/>
      <c r="CW3085" s="145"/>
      <c r="CX3085" s="145"/>
      <c r="CY3085" s="145"/>
      <c r="CZ3085" s="145"/>
      <c r="DA3085" s="145"/>
      <c r="DB3085" s="145"/>
      <c r="DC3085" s="145"/>
      <c r="DD3085" s="145"/>
      <c r="DE3085" s="145"/>
      <c r="DF3085" s="145"/>
      <c r="DG3085" s="145"/>
      <c r="DH3085" s="145"/>
      <c r="DI3085" s="145"/>
      <c r="DJ3085" s="145"/>
      <c r="DK3085" s="145"/>
      <c r="DL3085" s="145"/>
      <c r="DM3085" s="145"/>
      <c r="DN3085" s="145"/>
      <c r="DO3085" s="145"/>
      <c r="DP3085" s="145"/>
      <c r="DQ3085" s="145"/>
      <c r="DR3085" s="145"/>
      <c r="DS3085" s="145"/>
      <c r="DT3085" s="145"/>
      <c r="DU3085" s="145"/>
      <c r="DV3085" s="145"/>
      <c r="DW3085" s="145"/>
      <c r="DX3085" s="145"/>
      <c r="DY3085" s="145"/>
      <c r="DZ3085" s="145"/>
      <c r="EA3085" s="145"/>
      <c r="EB3085" s="145"/>
      <c r="EC3085" s="145"/>
      <c r="ED3085" s="145"/>
      <c r="EE3085" s="145"/>
      <c r="EF3085" s="145"/>
      <c r="EG3085" s="145"/>
      <c r="EH3085" s="145"/>
      <c r="EI3085" s="145"/>
      <c r="EJ3085" s="145"/>
      <c r="EK3085" s="145"/>
      <c r="EL3085" s="145"/>
      <c r="EM3085" s="145"/>
      <c r="EN3085" s="145"/>
      <c r="EO3085" s="145"/>
      <c r="EP3085" s="145"/>
      <c r="EQ3085" s="145"/>
      <c r="ER3085" s="145"/>
      <c r="ES3085" s="145"/>
      <c r="ET3085" s="145"/>
      <c r="EU3085" s="145"/>
      <c r="EV3085" s="145"/>
      <c r="EW3085" s="145"/>
      <c r="EX3085" s="145"/>
      <c r="EY3085" s="145"/>
      <c r="EZ3085" s="145"/>
      <c r="FA3085" s="145"/>
      <c r="FB3085" s="145"/>
      <c r="FC3085" s="145"/>
      <c r="FD3085" s="145"/>
      <c r="FE3085" s="145"/>
      <c r="FF3085" s="145"/>
      <c r="FG3085" s="145"/>
      <c r="FH3085" s="145"/>
      <c r="FI3085" s="145"/>
      <c r="FJ3085" s="145"/>
      <c r="FK3085" s="145"/>
      <c r="FL3085" s="145"/>
      <c r="FM3085" s="145"/>
      <c r="FN3085" s="145"/>
      <c r="FO3085" s="145"/>
      <c r="FP3085" s="145"/>
      <c r="FQ3085" s="145"/>
      <c r="FR3085" s="145"/>
      <c r="FS3085" s="145"/>
      <c r="FT3085" s="145"/>
      <c r="FU3085" s="145"/>
      <c r="FV3085" s="145"/>
      <c r="FW3085" s="145"/>
      <c r="FX3085" s="145"/>
      <c r="FY3085" s="145"/>
      <c r="FZ3085" s="145"/>
      <c r="GA3085" s="145"/>
      <c r="GB3085" s="145"/>
      <c r="GC3085" s="145"/>
      <c r="GD3085" s="145"/>
      <c r="GE3085" s="145"/>
      <c r="GF3085" s="145"/>
      <c r="GG3085" s="145"/>
      <c r="GH3085" s="145"/>
      <c r="GI3085" s="145"/>
      <c r="GJ3085" s="145"/>
      <c r="GK3085" s="145"/>
      <c r="GL3085" s="145"/>
      <c r="GM3085" s="145"/>
      <c r="GN3085" s="145"/>
      <c r="GO3085" s="145"/>
      <c r="GP3085" s="145"/>
      <c r="GQ3085" s="145"/>
      <c r="GR3085" s="145"/>
      <c r="GS3085" s="145"/>
      <c r="GT3085" s="145"/>
      <c r="GU3085" s="145"/>
      <c r="GV3085" s="145"/>
      <c r="GW3085" s="145"/>
      <c r="GX3085" s="145"/>
      <c r="GY3085" s="145"/>
      <c r="GZ3085" s="145"/>
      <c r="HA3085" s="145"/>
      <c r="HB3085" s="145"/>
      <c r="HC3085" s="145"/>
      <c r="HD3085" s="145"/>
      <c r="HE3085" s="145"/>
    </row>
    <row r="3086" spans="1:214" x14ac:dyDescent="0.35">
      <c r="A3086" s="271"/>
      <c r="B3086" s="271"/>
      <c r="C3086" s="263"/>
      <c r="D3086" s="274"/>
      <c r="E3086" s="268"/>
      <c r="F3086" s="268"/>
      <c r="G3086" s="271"/>
      <c r="H3086" s="136" t="s">
        <v>73</v>
      </c>
      <c r="I3086" s="181">
        <f>D3085*K3086</f>
        <v>905627</v>
      </c>
      <c r="J3086" s="181">
        <f>I3086/D3085</f>
        <v>1021</v>
      </c>
      <c r="K3086" s="181">
        <v>1021</v>
      </c>
      <c r="L3086" s="145"/>
      <c r="M3086" s="145"/>
      <c r="N3086" s="145"/>
      <c r="O3086" s="145"/>
      <c r="P3086" s="145"/>
      <c r="Q3086" s="145"/>
      <c r="R3086" s="145"/>
      <c r="S3086" s="145"/>
      <c r="T3086" s="145"/>
      <c r="U3086" s="145"/>
      <c r="V3086" s="145"/>
      <c r="W3086" s="145"/>
      <c r="X3086" s="145"/>
      <c r="Y3086" s="145"/>
      <c r="Z3086" s="145"/>
      <c r="AA3086" s="145"/>
      <c r="AB3086" s="145"/>
      <c r="AC3086" s="145"/>
      <c r="AD3086" s="145"/>
      <c r="AE3086" s="145"/>
      <c r="AF3086" s="145"/>
      <c r="AG3086" s="145"/>
      <c r="AH3086" s="145"/>
      <c r="AI3086" s="145"/>
      <c r="AJ3086" s="145"/>
      <c r="AK3086" s="145"/>
      <c r="AL3086" s="145"/>
      <c r="AM3086" s="145"/>
      <c r="AN3086" s="145"/>
      <c r="AO3086" s="145"/>
      <c r="AP3086" s="145"/>
      <c r="AQ3086" s="145"/>
      <c r="AR3086" s="145"/>
      <c r="AS3086" s="145"/>
      <c r="AT3086" s="145"/>
      <c r="AU3086" s="145"/>
      <c r="AV3086" s="145"/>
      <c r="AW3086" s="145"/>
      <c r="AX3086" s="145"/>
      <c r="AY3086" s="145"/>
      <c r="AZ3086" s="145"/>
      <c r="BA3086" s="145"/>
      <c r="BB3086" s="145"/>
      <c r="BC3086" s="145"/>
      <c r="BD3086" s="145"/>
      <c r="BE3086" s="145"/>
      <c r="BF3086" s="145"/>
      <c r="BG3086" s="145"/>
      <c r="BH3086" s="145"/>
      <c r="BI3086" s="145"/>
      <c r="BJ3086" s="145"/>
      <c r="BK3086" s="145"/>
      <c r="BL3086" s="145"/>
      <c r="BM3086" s="145"/>
      <c r="BN3086" s="145"/>
      <c r="BO3086" s="145"/>
      <c r="BP3086" s="145"/>
      <c r="BQ3086" s="145"/>
      <c r="BR3086" s="145"/>
      <c r="BS3086" s="145"/>
      <c r="BT3086" s="145"/>
      <c r="BU3086" s="145"/>
      <c r="BV3086" s="145"/>
      <c r="BW3086" s="145"/>
      <c r="BX3086" s="145"/>
      <c r="BY3086" s="145"/>
      <c r="BZ3086" s="145"/>
      <c r="CA3086" s="145"/>
      <c r="CB3086" s="145"/>
      <c r="CC3086" s="145"/>
      <c r="CD3086" s="145"/>
      <c r="CE3086" s="145"/>
      <c r="CF3086" s="145"/>
      <c r="CG3086" s="145"/>
      <c r="CH3086" s="145"/>
      <c r="CI3086" s="145"/>
      <c r="CJ3086" s="145"/>
      <c r="CK3086" s="145"/>
      <c r="CL3086" s="145"/>
      <c r="CM3086" s="145"/>
      <c r="CN3086" s="145"/>
      <c r="CO3086" s="145"/>
      <c r="CP3086" s="145"/>
      <c r="CQ3086" s="145"/>
      <c r="CR3086" s="145"/>
      <c r="CS3086" s="145"/>
      <c r="CT3086" s="145"/>
      <c r="CU3086" s="145"/>
      <c r="CV3086" s="145"/>
      <c r="CW3086" s="145"/>
      <c r="CX3086" s="145"/>
      <c r="CY3086" s="145"/>
      <c r="CZ3086" s="145"/>
      <c r="DA3086" s="145"/>
      <c r="DB3086" s="145"/>
      <c r="DC3086" s="145"/>
      <c r="DD3086" s="145"/>
      <c r="DE3086" s="145"/>
      <c r="DF3086" s="145"/>
      <c r="DG3086" s="145"/>
      <c r="DH3086" s="145"/>
      <c r="DI3086" s="145"/>
      <c r="DJ3086" s="145"/>
      <c r="DK3086" s="145"/>
      <c r="DL3086" s="145"/>
      <c r="DM3086" s="145"/>
      <c r="DN3086" s="145"/>
      <c r="DO3086" s="145"/>
      <c r="DP3086" s="145"/>
      <c r="DQ3086" s="145"/>
      <c r="DR3086" s="145"/>
      <c r="DS3086" s="145"/>
      <c r="DT3086" s="145"/>
      <c r="DU3086" s="145"/>
      <c r="DV3086" s="145"/>
      <c r="DW3086" s="145"/>
      <c r="DX3086" s="145"/>
      <c r="DY3086" s="145"/>
      <c r="DZ3086" s="145"/>
      <c r="EA3086" s="145"/>
      <c r="EB3086" s="145"/>
      <c r="EC3086" s="145"/>
      <c r="ED3086" s="145"/>
      <c r="EE3086" s="145"/>
      <c r="EF3086" s="145"/>
      <c r="EG3086" s="145"/>
      <c r="EH3086" s="145"/>
      <c r="EI3086" s="145"/>
      <c r="EJ3086" s="145"/>
      <c r="EK3086" s="145"/>
      <c r="EL3086" s="145"/>
      <c r="EM3086" s="145"/>
      <c r="EN3086" s="145"/>
      <c r="EO3086" s="145"/>
      <c r="EP3086" s="145"/>
      <c r="EQ3086" s="145"/>
      <c r="ER3086" s="145"/>
      <c r="ES3086" s="145"/>
      <c r="ET3086" s="145"/>
      <c r="EU3086" s="145"/>
      <c r="EV3086" s="145"/>
      <c r="EW3086" s="145"/>
      <c r="EX3086" s="145"/>
      <c r="EY3086" s="145"/>
      <c r="EZ3086" s="145"/>
      <c r="FA3086" s="145"/>
      <c r="FB3086" s="145"/>
      <c r="FC3086" s="145"/>
      <c r="FD3086" s="145"/>
      <c r="FE3086" s="145"/>
      <c r="FF3086" s="145"/>
      <c r="FG3086" s="145"/>
      <c r="FH3086" s="145"/>
      <c r="FI3086" s="145"/>
      <c r="FJ3086" s="145"/>
      <c r="FK3086" s="145"/>
      <c r="FL3086" s="145"/>
      <c r="FM3086" s="145"/>
      <c r="FN3086" s="145"/>
      <c r="FO3086" s="145"/>
      <c r="FP3086" s="145"/>
      <c r="FQ3086" s="145"/>
      <c r="FR3086" s="145"/>
      <c r="FS3086" s="145"/>
      <c r="FT3086" s="145"/>
      <c r="FU3086" s="145"/>
      <c r="FV3086" s="145"/>
      <c r="FW3086" s="145"/>
      <c r="FX3086" s="145"/>
      <c r="FY3086" s="145"/>
      <c r="FZ3086" s="145"/>
      <c r="GA3086" s="145"/>
      <c r="GB3086" s="145"/>
      <c r="GC3086" s="145"/>
      <c r="GD3086" s="145"/>
      <c r="GE3086" s="145"/>
      <c r="GF3086" s="145"/>
      <c r="GG3086" s="145"/>
      <c r="GH3086" s="145"/>
      <c r="GI3086" s="145"/>
      <c r="GJ3086" s="145"/>
      <c r="GK3086" s="145"/>
      <c r="GL3086" s="145"/>
      <c r="GM3086" s="145"/>
      <c r="GN3086" s="145"/>
      <c r="GO3086" s="145"/>
      <c r="GP3086" s="145"/>
      <c r="GQ3086" s="145"/>
      <c r="GR3086" s="145"/>
      <c r="GS3086" s="145"/>
      <c r="GT3086" s="145"/>
      <c r="GU3086" s="145"/>
      <c r="GV3086" s="145"/>
      <c r="GW3086" s="145"/>
      <c r="GX3086" s="145"/>
      <c r="GY3086" s="145"/>
      <c r="GZ3086" s="145"/>
      <c r="HA3086" s="145"/>
      <c r="HB3086" s="145"/>
      <c r="HC3086" s="145"/>
      <c r="HD3086" s="145"/>
      <c r="HE3086" s="145"/>
    </row>
    <row r="3087" spans="1:214" x14ac:dyDescent="0.35">
      <c r="A3087" s="271"/>
      <c r="B3087" s="271"/>
      <c r="C3087" s="263"/>
      <c r="D3087" s="274"/>
      <c r="E3087" s="268"/>
      <c r="F3087" s="268"/>
      <c r="G3087" s="272"/>
      <c r="H3087" s="136" t="s">
        <v>75</v>
      </c>
      <c r="I3087" s="181">
        <f>D3085*K3087</f>
        <v>19514</v>
      </c>
      <c r="J3087" s="181">
        <f>I3087/D3085</f>
        <v>22</v>
      </c>
      <c r="K3087" s="181">
        <v>22</v>
      </c>
      <c r="L3087" s="145"/>
      <c r="M3087" s="145"/>
      <c r="N3087" s="145"/>
      <c r="O3087" s="145"/>
      <c r="P3087" s="145"/>
      <c r="Q3087" s="145"/>
      <c r="R3087" s="145"/>
      <c r="S3087" s="145"/>
      <c r="T3087" s="145"/>
      <c r="U3087" s="145"/>
      <c r="V3087" s="145"/>
      <c r="W3087" s="145"/>
      <c r="X3087" s="145"/>
      <c r="Y3087" s="145"/>
      <c r="Z3087" s="145"/>
      <c r="AA3087" s="145"/>
      <c r="AB3087" s="145"/>
      <c r="AC3087" s="145"/>
      <c r="AD3087" s="145"/>
      <c r="AE3087" s="145"/>
      <c r="AF3087" s="145"/>
      <c r="AG3087" s="145"/>
      <c r="AH3087" s="145"/>
      <c r="AI3087" s="145"/>
      <c r="AJ3087" s="145"/>
      <c r="AK3087" s="145"/>
      <c r="AL3087" s="145"/>
      <c r="AM3087" s="145"/>
      <c r="AN3087" s="145"/>
      <c r="AO3087" s="145"/>
      <c r="AP3087" s="145"/>
      <c r="AQ3087" s="145"/>
      <c r="AR3087" s="145"/>
      <c r="AS3087" s="145"/>
      <c r="AT3087" s="145"/>
      <c r="AU3087" s="145"/>
      <c r="AV3087" s="145"/>
      <c r="AW3087" s="145"/>
      <c r="AX3087" s="145"/>
      <c r="AY3087" s="145"/>
      <c r="AZ3087" s="145"/>
      <c r="BA3087" s="145"/>
      <c r="BB3087" s="145"/>
      <c r="BC3087" s="145"/>
      <c r="BD3087" s="145"/>
      <c r="BE3087" s="145"/>
      <c r="BF3087" s="145"/>
      <c r="BG3087" s="145"/>
      <c r="BH3087" s="145"/>
      <c r="BI3087" s="145"/>
      <c r="BJ3087" s="145"/>
      <c r="BK3087" s="145"/>
      <c r="BL3087" s="145"/>
      <c r="BM3087" s="145"/>
      <c r="BN3087" s="145"/>
      <c r="BO3087" s="145"/>
      <c r="BP3087" s="145"/>
      <c r="BQ3087" s="145"/>
      <c r="BR3087" s="145"/>
      <c r="BS3087" s="145"/>
      <c r="BT3087" s="145"/>
      <c r="BU3087" s="145"/>
      <c r="BV3087" s="145"/>
      <c r="BW3087" s="145"/>
      <c r="BX3087" s="145"/>
      <c r="BY3087" s="145"/>
      <c r="BZ3087" s="145"/>
      <c r="CA3087" s="145"/>
      <c r="CB3087" s="145"/>
      <c r="CC3087" s="145"/>
      <c r="CD3087" s="145"/>
      <c r="CE3087" s="145"/>
      <c r="CF3087" s="145"/>
      <c r="CG3087" s="145"/>
      <c r="CH3087" s="145"/>
      <c r="CI3087" s="145"/>
      <c r="CJ3087" s="145"/>
      <c r="CK3087" s="145"/>
      <c r="CL3087" s="145"/>
      <c r="CM3087" s="145"/>
      <c r="CN3087" s="145"/>
      <c r="CO3087" s="145"/>
      <c r="CP3087" s="145"/>
      <c r="CQ3087" s="145"/>
      <c r="CR3087" s="145"/>
      <c r="CS3087" s="145"/>
      <c r="CT3087" s="145"/>
      <c r="CU3087" s="145"/>
      <c r="CV3087" s="145"/>
      <c r="CW3087" s="145"/>
      <c r="CX3087" s="145"/>
      <c r="CY3087" s="145"/>
      <c r="CZ3087" s="145"/>
      <c r="DA3087" s="145"/>
      <c r="DB3087" s="145"/>
      <c r="DC3087" s="145"/>
      <c r="DD3087" s="145"/>
      <c r="DE3087" s="145"/>
      <c r="DF3087" s="145"/>
      <c r="DG3087" s="145"/>
      <c r="DH3087" s="145"/>
      <c r="DI3087" s="145"/>
      <c r="DJ3087" s="145"/>
      <c r="DK3087" s="145"/>
      <c r="DL3087" s="145"/>
      <c r="DM3087" s="145"/>
      <c r="DN3087" s="145"/>
      <c r="DO3087" s="145"/>
      <c r="DP3087" s="145"/>
      <c r="DQ3087" s="145"/>
      <c r="DR3087" s="145"/>
      <c r="DS3087" s="145"/>
      <c r="DT3087" s="145"/>
      <c r="DU3087" s="145"/>
      <c r="DV3087" s="145"/>
      <c r="DW3087" s="145"/>
      <c r="DX3087" s="145"/>
      <c r="DY3087" s="145"/>
      <c r="DZ3087" s="145"/>
      <c r="EA3087" s="145"/>
      <c r="EB3087" s="145"/>
      <c r="EC3087" s="145"/>
      <c r="ED3087" s="145"/>
      <c r="EE3087" s="145"/>
      <c r="EF3087" s="145"/>
      <c r="EG3087" s="145"/>
      <c r="EH3087" s="145"/>
      <c r="EI3087" s="145"/>
      <c r="EJ3087" s="145"/>
      <c r="EK3087" s="145"/>
      <c r="EL3087" s="145"/>
      <c r="EM3087" s="145"/>
      <c r="EN3087" s="145"/>
      <c r="EO3087" s="145"/>
      <c r="EP3087" s="145"/>
      <c r="EQ3087" s="145"/>
      <c r="ER3087" s="145"/>
      <c r="ES3087" s="145"/>
      <c r="ET3087" s="145"/>
      <c r="EU3087" s="145"/>
      <c r="EV3087" s="145"/>
      <c r="EW3087" s="145"/>
      <c r="EX3087" s="145"/>
      <c r="EY3087" s="145"/>
      <c r="EZ3087" s="145"/>
      <c r="FA3087" s="145"/>
      <c r="FB3087" s="145"/>
      <c r="FC3087" s="145"/>
      <c r="FD3087" s="145"/>
      <c r="FE3087" s="145"/>
      <c r="FF3087" s="145"/>
      <c r="FG3087" s="145"/>
      <c r="FH3087" s="145"/>
      <c r="FI3087" s="145"/>
      <c r="FJ3087" s="145"/>
      <c r="FK3087" s="145"/>
      <c r="FL3087" s="145"/>
      <c r="FM3087" s="145"/>
      <c r="FN3087" s="145"/>
      <c r="FO3087" s="145"/>
      <c r="FP3087" s="145"/>
      <c r="FQ3087" s="145"/>
      <c r="FR3087" s="145"/>
      <c r="FS3087" s="145"/>
      <c r="FT3087" s="145"/>
      <c r="FU3087" s="145"/>
      <c r="FV3087" s="145"/>
      <c r="FW3087" s="145"/>
      <c r="FX3087" s="145"/>
      <c r="FY3087" s="145"/>
      <c r="FZ3087" s="145"/>
      <c r="GA3087" s="145"/>
      <c r="GB3087" s="145"/>
      <c r="GC3087" s="145"/>
      <c r="GD3087" s="145"/>
      <c r="GE3087" s="145"/>
      <c r="GF3087" s="145"/>
      <c r="GG3087" s="145"/>
      <c r="GH3087" s="145"/>
      <c r="GI3087" s="145"/>
      <c r="GJ3087" s="145"/>
      <c r="GK3087" s="145"/>
      <c r="GL3087" s="145"/>
      <c r="GM3087" s="145"/>
      <c r="GN3087" s="145"/>
      <c r="GO3087" s="145"/>
      <c r="GP3087" s="145"/>
      <c r="GQ3087" s="145"/>
      <c r="GR3087" s="145"/>
      <c r="GS3087" s="145"/>
      <c r="GT3087" s="145"/>
      <c r="GU3087" s="145"/>
      <c r="GV3087" s="145"/>
      <c r="GW3087" s="145"/>
      <c r="GX3087" s="145"/>
      <c r="GY3087" s="145"/>
      <c r="GZ3087" s="145"/>
      <c r="HA3087" s="145"/>
      <c r="HB3087" s="145"/>
      <c r="HC3087" s="145"/>
      <c r="HD3087" s="145"/>
      <c r="HE3087" s="145"/>
    </row>
    <row r="3088" spans="1:214" x14ac:dyDescent="0.35">
      <c r="A3088" s="270">
        <f>A3085+1</f>
        <v>53</v>
      </c>
      <c r="B3088" s="270">
        <v>3417</v>
      </c>
      <c r="C3088" s="262" t="s">
        <v>135</v>
      </c>
      <c r="D3088" s="273">
        <v>921.5</v>
      </c>
      <c r="E3088" s="267" t="s">
        <v>74</v>
      </c>
      <c r="F3088" s="267">
        <v>3</v>
      </c>
      <c r="G3088" s="167"/>
      <c r="H3088" s="136" t="s">
        <v>72</v>
      </c>
      <c r="I3088" s="181">
        <f>I3089+I3090+I3091+I3092</f>
        <v>5781491</v>
      </c>
      <c r="J3088" s="181">
        <f>J3089+J3090+J3091+J3092</f>
        <v>6274</v>
      </c>
      <c r="K3088" s="181">
        <f>K3089+K3090+K3091+K3092</f>
        <v>6274</v>
      </c>
      <c r="L3088" s="145"/>
      <c r="M3088" s="145"/>
      <c r="N3088" s="145"/>
      <c r="O3088" s="145"/>
      <c r="P3088" s="145"/>
      <c r="Q3088" s="145"/>
      <c r="R3088" s="145"/>
      <c r="S3088" s="145"/>
      <c r="T3088" s="145"/>
      <c r="U3088" s="145"/>
      <c r="V3088" s="145"/>
      <c r="W3088" s="145"/>
      <c r="X3088" s="145"/>
      <c r="Y3088" s="145"/>
      <c r="Z3088" s="145"/>
      <c r="AA3088" s="145"/>
      <c r="AB3088" s="145"/>
      <c r="AC3088" s="145"/>
      <c r="AD3088" s="145"/>
      <c r="AE3088" s="145"/>
      <c r="AF3088" s="145"/>
      <c r="AG3088" s="145"/>
      <c r="AH3088" s="145"/>
      <c r="AI3088" s="145"/>
      <c r="AJ3088" s="145"/>
      <c r="AK3088" s="145"/>
      <c r="AL3088" s="145"/>
      <c r="AM3088" s="145"/>
      <c r="AN3088" s="145"/>
      <c r="AO3088" s="145"/>
      <c r="AP3088" s="145"/>
      <c r="AQ3088" s="145"/>
      <c r="AR3088" s="145"/>
      <c r="AS3088" s="145"/>
      <c r="AT3088" s="145"/>
      <c r="AU3088" s="145"/>
      <c r="AV3088" s="145"/>
      <c r="AW3088" s="145"/>
      <c r="AX3088" s="145"/>
      <c r="AY3088" s="145"/>
      <c r="AZ3088" s="145"/>
      <c r="BA3088" s="145"/>
      <c r="BB3088" s="145"/>
      <c r="BC3088" s="145"/>
      <c r="BD3088" s="145"/>
      <c r="BE3088" s="145"/>
      <c r="BF3088" s="145"/>
      <c r="BG3088" s="145"/>
      <c r="BH3088" s="145"/>
      <c r="BI3088" s="145"/>
      <c r="BJ3088" s="145"/>
      <c r="BK3088" s="145"/>
      <c r="BL3088" s="145"/>
      <c r="BM3088" s="145"/>
      <c r="BN3088" s="145"/>
      <c r="BO3088" s="145"/>
      <c r="BP3088" s="145"/>
      <c r="BQ3088" s="145"/>
      <c r="BR3088" s="145"/>
      <c r="BS3088" s="145"/>
      <c r="BT3088" s="145"/>
      <c r="BU3088" s="145"/>
      <c r="BV3088" s="145"/>
      <c r="BW3088" s="145"/>
      <c r="BX3088" s="145"/>
      <c r="BY3088" s="145"/>
      <c r="BZ3088" s="145"/>
      <c r="CA3088" s="145"/>
      <c r="CB3088" s="145"/>
      <c r="CC3088" s="145"/>
      <c r="CD3088" s="145"/>
      <c r="CE3088" s="145"/>
      <c r="CF3088" s="145"/>
      <c r="CG3088" s="145"/>
      <c r="CH3088" s="145"/>
      <c r="CI3088" s="145"/>
      <c r="CJ3088" s="145"/>
      <c r="CK3088" s="145"/>
      <c r="CL3088" s="145"/>
      <c r="CM3088" s="145"/>
      <c r="CN3088" s="145"/>
      <c r="CO3088" s="145"/>
      <c r="CP3088" s="145"/>
      <c r="CQ3088" s="145"/>
      <c r="CR3088" s="145"/>
      <c r="CS3088" s="145"/>
      <c r="CT3088" s="145"/>
      <c r="CU3088" s="145"/>
      <c r="CV3088" s="145"/>
      <c r="CW3088" s="145"/>
      <c r="CX3088" s="145"/>
      <c r="CY3088" s="145"/>
      <c r="CZ3088" s="145"/>
      <c r="DA3088" s="145"/>
      <c r="DB3088" s="145"/>
      <c r="DC3088" s="145"/>
      <c r="DD3088" s="145"/>
      <c r="DE3088" s="145"/>
      <c r="DF3088" s="145"/>
      <c r="DG3088" s="145"/>
      <c r="DH3088" s="145"/>
      <c r="DI3088" s="145"/>
      <c r="DJ3088" s="145"/>
      <c r="DK3088" s="145"/>
      <c r="DL3088" s="145"/>
      <c r="DM3088" s="145"/>
      <c r="DN3088" s="145"/>
      <c r="DO3088" s="145"/>
      <c r="DP3088" s="145"/>
      <c r="DQ3088" s="145"/>
      <c r="DR3088" s="145"/>
      <c r="DS3088" s="145"/>
      <c r="DT3088" s="145"/>
      <c r="DU3088" s="145"/>
      <c r="DV3088" s="145"/>
      <c r="DW3088" s="145"/>
      <c r="DX3088" s="145"/>
      <c r="DY3088" s="145"/>
      <c r="DZ3088" s="145"/>
      <c r="EA3088" s="145"/>
      <c r="EB3088" s="145"/>
      <c r="EC3088" s="145"/>
      <c r="ED3088" s="145"/>
      <c r="EE3088" s="145"/>
      <c r="EF3088" s="145"/>
      <c r="EG3088" s="145"/>
      <c r="EH3088" s="145"/>
      <c r="EI3088" s="145"/>
      <c r="EJ3088" s="145"/>
      <c r="EK3088" s="145"/>
      <c r="EL3088" s="145"/>
      <c r="EM3088" s="145"/>
      <c r="EN3088" s="145"/>
      <c r="EO3088" s="145"/>
      <c r="EP3088" s="145"/>
      <c r="EQ3088" s="145"/>
      <c r="ER3088" s="145"/>
      <c r="ES3088" s="145"/>
      <c r="ET3088" s="145"/>
      <c r="EU3088" s="145"/>
      <c r="EV3088" s="145"/>
      <c r="EW3088" s="145"/>
      <c r="EX3088" s="145"/>
      <c r="EY3088" s="145"/>
      <c r="EZ3088" s="145"/>
      <c r="FA3088" s="145"/>
      <c r="FB3088" s="145"/>
      <c r="FC3088" s="145"/>
      <c r="FD3088" s="145"/>
      <c r="FE3088" s="145"/>
      <c r="FF3088" s="145"/>
      <c r="FG3088" s="145"/>
      <c r="FH3088" s="145"/>
      <c r="FI3088" s="145"/>
      <c r="FJ3088" s="145"/>
      <c r="FK3088" s="145"/>
      <c r="FL3088" s="145"/>
      <c r="FM3088" s="145"/>
      <c r="FN3088" s="145"/>
      <c r="FO3088" s="145"/>
      <c r="FP3088" s="145"/>
      <c r="FQ3088" s="145"/>
      <c r="FR3088" s="145"/>
      <c r="FS3088" s="145"/>
      <c r="FT3088" s="145"/>
      <c r="FU3088" s="145"/>
      <c r="FV3088" s="145"/>
      <c r="FW3088" s="145"/>
      <c r="FX3088" s="145"/>
      <c r="FY3088" s="145"/>
      <c r="FZ3088" s="145"/>
      <c r="GA3088" s="145"/>
      <c r="GB3088" s="145"/>
      <c r="GC3088" s="145"/>
      <c r="GD3088" s="145"/>
      <c r="GE3088" s="145"/>
      <c r="GF3088" s="145"/>
      <c r="GG3088" s="145"/>
      <c r="GH3088" s="145"/>
      <c r="GI3088" s="145"/>
      <c r="GJ3088" s="145"/>
      <c r="GK3088" s="145"/>
      <c r="GL3088" s="145"/>
      <c r="GM3088" s="145"/>
      <c r="GN3088" s="145"/>
      <c r="GO3088" s="145"/>
      <c r="GP3088" s="145"/>
      <c r="GQ3088" s="145"/>
      <c r="GR3088" s="145"/>
      <c r="GS3088" s="145"/>
      <c r="GT3088" s="145"/>
      <c r="GU3088" s="145"/>
      <c r="GV3088" s="145"/>
      <c r="GW3088" s="145"/>
      <c r="GX3088" s="145"/>
      <c r="GY3088" s="145"/>
      <c r="GZ3088" s="145"/>
      <c r="HA3088" s="145"/>
      <c r="HB3088" s="145"/>
      <c r="HC3088" s="145"/>
      <c r="HD3088" s="145"/>
      <c r="HE3088" s="145"/>
    </row>
    <row r="3089" spans="1:214" x14ac:dyDescent="0.35">
      <c r="A3089" s="271"/>
      <c r="B3089" s="271"/>
      <c r="C3089" s="263"/>
      <c r="D3089" s="274"/>
      <c r="E3089" s="268"/>
      <c r="F3089" s="268"/>
      <c r="G3089" s="270" t="s">
        <v>84</v>
      </c>
      <c r="H3089" s="136" t="s">
        <v>73</v>
      </c>
      <c r="I3089" s="181">
        <f>D3088*K3089</f>
        <v>940851.5</v>
      </c>
      <c r="J3089" s="181">
        <f>I3089/D3088</f>
        <v>1021</v>
      </c>
      <c r="K3089" s="181">
        <v>1021</v>
      </c>
      <c r="L3089" s="145"/>
      <c r="M3089" s="145"/>
      <c r="N3089" s="145"/>
      <c r="O3089" s="145"/>
      <c r="P3089" s="145"/>
      <c r="Q3089" s="145"/>
      <c r="R3089" s="145"/>
      <c r="S3089" s="145"/>
      <c r="T3089" s="145"/>
      <c r="U3089" s="145"/>
      <c r="V3089" s="145"/>
      <c r="W3089" s="145"/>
      <c r="X3089" s="145"/>
      <c r="Y3089" s="145"/>
      <c r="Z3089" s="145"/>
      <c r="AA3089" s="145"/>
      <c r="AB3089" s="145"/>
      <c r="AC3089" s="145"/>
      <c r="AD3089" s="145"/>
      <c r="AE3089" s="145"/>
      <c r="AF3089" s="145"/>
      <c r="AG3089" s="145"/>
      <c r="AH3089" s="145"/>
      <c r="AI3089" s="145"/>
      <c r="AJ3089" s="145"/>
      <c r="AK3089" s="145"/>
      <c r="AL3089" s="145"/>
      <c r="AM3089" s="145"/>
      <c r="AN3089" s="145"/>
      <c r="AO3089" s="145"/>
      <c r="AP3089" s="145"/>
      <c r="AQ3089" s="145"/>
      <c r="AR3089" s="145"/>
      <c r="AS3089" s="145"/>
      <c r="AT3089" s="145"/>
      <c r="AU3089" s="145"/>
      <c r="AV3089" s="145"/>
      <c r="AW3089" s="145"/>
      <c r="AX3089" s="145"/>
      <c r="AY3089" s="145"/>
      <c r="AZ3089" s="145"/>
      <c r="BA3089" s="145"/>
      <c r="BB3089" s="145"/>
      <c r="BC3089" s="145"/>
      <c r="BD3089" s="145"/>
      <c r="BE3089" s="145"/>
      <c r="BF3089" s="145"/>
      <c r="BG3089" s="145"/>
      <c r="BH3089" s="145"/>
      <c r="BI3089" s="145"/>
      <c r="BJ3089" s="145"/>
      <c r="BK3089" s="145"/>
      <c r="BL3089" s="145"/>
      <c r="BM3089" s="145"/>
      <c r="BN3089" s="145"/>
      <c r="BO3089" s="145"/>
      <c r="BP3089" s="145"/>
      <c r="BQ3089" s="145"/>
      <c r="BR3089" s="145"/>
      <c r="BS3089" s="145"/>
      <c r="BT3089" s="145"/>
      <c r="BU3089" s="145"/>
      <c r="BV3089" s="145"/>
      <c r="BW3089" s="145"/>
      <c r="BX3089" s="145"/>
      <c r="BY3089" s="145"/>
      <c r="BZ3089" s="145"/>
      <c r="CA3089" s="145"/>
      <c r="CB3089" s="145"/>
      <c r="CC3089" s="145"/>
      <c r="CD3089" s="145"/>
      <c r="CE3089" s="145"/>
      <c r="CF3089" s="145"/>
      <c r="CG3089" s="145"/>
      <c r="CH3089" s="145"/>
      <c r="CI3089" s="145"/>
      <c r="CJ3089" s="145"/>
      <c r="CK3089" s="145"/>
      <c r="CL3089" s="145"/>
      <c r="CM3089" s="145"/>
      <c r="CN3089" s="145"/>
      <c r="CO3089" s="145"/>
      <c r="CP3089" s="145"/>
      <c r="CQ3089" s="145"/>
      <c r="CR3089" s="145"/>
      <c r="CS3089" s="145"/>
      <c r="CT3089" s="145"/>
      <c r="CU3089" s="145"/>
      <c r="CV3089" s="145"/>
      <c r="CW3089" s="145"/>
      <c r="CX3089" s="145"/>
      <c r="CY3089" s="145"/>
      <c r="CZ3089" s="145"/>
      <c r="DA3089" s="145"/>
      <c r="DB3089" s="145"/>
      <c r="DC3089" s="145"/>
      <c r="DD3089" s="145"/>
      <c r="DE3089" s="145"/>
      <c r="DF3089" s="145"/>
      <c r="DG3089" s="145"/>
      <c r="DH3089" s="145"/>
      <c r="DI3089" s="145"/>
      <c r="DJ3089" s="145"/>
      <c r="DK3089" s="145"/>
      <c r="DL3089" s="145"/>
      <c r="DM3089" s="145"/>
      <c r="DN3089" s="145"/>
      <c r="DO3089" s="145"/>
      <c r="DP3089" s="145"/>
      <c r="DQ3089" s="145"/>
      <c r="DR3089" s="145"/>
      <c r="DS3089" s="145"/>
      <c r="DT3089" s="145"/>
      <c r="DU3089" s="145"/>
      <c r="DV3089" s="145"/>
      <c r="DW3089" s="145"/>
      <c r="DX3089" s="145"/>
      <c r="DY3089" s="145"/>
      <c r="DZ3089" s="145"/>
      <c r="EA3089" s="145"/>
      <c r="EB3089" s="145"/>
      <c r="EC3089" s="145"/>
      <c r="ED3089" s="145"/>
      <c r="EE3089" s="145"/>
      <c r="EF3089" s="145"/>
      <c r="EG3089" s="145"/>
      <c r="EH3089" s="145"/>
      <c r="EI3089" s="145"/>
      <c r="EJ3089" s="145"/>
      <c r="EK3089" s="145"/>
      <c r="EL3089" s="145"/>
      <c r="EM3089" s="145"/>
      <c r="EN3089" s="145"/>
      <c r="EO3089" s="145"/>
      <c r="EP3089" s="145"/>
      <c r="EQ3089" s="145"/>
      <c r="ER3089" s="145"/>
      <c r="ES3089" s="145"/>
      <c r="ET3089" s="145"/>
      <c r="EU3089" s="145"/>
      <c r="EV3089" s="145"/>
      <c r="EW3089" s="145"/>
      <c r="EX3089" s="145"/>
      <c r="EY3089" s="145"/>
      <c r="EZ3089" s="145"/>
      <c r="FA3089" s="145"/>
      <c r="FB3089" s="145"/>
      <c r="FC3089" s="145"/>
      <c r="FD3089" s="145"/>
      <c r="FE3089" s="145"/>
      <c r="FF3089" s="145"/>
      <c r="FG3089" s="145"/>
      <c r="FH3089" s="145"/>
      <c r="FI3089" s="145"/>
      <c r="FJ3089" s="145"/>
      <c r="FK3089" s="145"/>
      <c r="FL3089" s="145"/>
      <c r="FM3089" s="145"/>
      <c r="FN3089" s="145"/>
      <c r="FO3089" s="145"/>
      <c r="FP3089" s="145"/>
      <c r="FQ3089" s="145"/>
      <c r="FR3089" s="145"/>
      <c r="FS3089" s="145"/>
      <c r="FT3089" s="145"/>
      <c r="FU3089" s="145"/>
      <c r="FV3089" s="145"/>
      <c r="FW3089" s="145"/>
      <c r="FX3089" s="145"/>
      <c r="FY3089" s="145"/>
      <c r="FZ3089" s="145"/>
      <c r="GA3089" s="145"/>
      <c r="GB3089" s="145"/>
      <c r="GC3089" s="145"/>
      <c r="GD3089" s="145"/>
      <c r="GE3089" s="145"/>
      <c r="GF3089" s="145"/>
      <c r="GG3089" s="145"/>
      <c r="GH3089" s="145"/>
      <c r="GI3089" s="145"/>
      <c r="GJ3089" s="145"/>
      <c r="GK3089" s="145"/>
      <c r="GL3089" s="145"/>
      <c r="GM3089" s="145"/>
      <c r="GN3089" s="145"/>
      <c r="GO3089" s="145"/>
      <c r="GP3089" s="145"/>
      <c r="GQ3089" s="145"/>
      <c r="GR3089" s="145"/>
      <c r="GS3089" s="145"/>
      <c r="GT3089" s="145"/>
      <c r="GU3089" s="145"/>
      <c r="GV3089" s="145"/>
      <c r="GW3089" s="145"/>
      <c r="GX3089" s="145"/>
      <c r="GY3089" s="145"/>
      <c r="GZ3089" s="145"/>
      <c r="HA3089" s="145"/>
      <c r="HB3089" s="145"/>
      <c r="HC3089" s="145"/>
      <c r="HD3089" s="145"/>
      <c r="HE3089" s="145"/>
    </row>
    <row r="3090" spans="1:214" x14ac:dyDescent="0.35">
      <c r="A3090" s="271"/>
      <c r="B3090" s="271"/>
      <c r="C3090" s="263"/>
      <c r="D3090" s="274"/>
      <c r="E3090" s="268"/>
      <c r="F3090" s="268"/>
      <c r="G3090" s="272"/>
      <c r="H3090" s="136" t="s">
        <v>75</v>
      </c>
      <c r="I3090" s="181">
        <f>D3088*K3090</f>
        <v>20273</v>
      </c>
      <c r="J3090" s="181">
        <f>I3090/D3088</f>
        <v>22</v>
      </c>
      <c r="K3090" s="181">
        <v>22</v>
      </c>
      <c r="L3090" s="145"/>
      <c r="M3090" s="145"/>
      <c r="N3090" s="145"/>
      <c r="O3090" s="145"/>
      <c r="P3090" s="145"/>
      <c r="Q3090" s="145"/>
      <c r="R3090" s="145"/>
      <c r="S3090" s="145"/>
      <c r="T3090" s="145"/>
      <c r="U3090" s="145"/>
      <c r="V3090" s="145"/>
      <c r="W3090" s="145"/>
      <c r="X3090" s="145"/>
      <c r="Y3090" s="145"/>
      <c r="Z3090" s="145"/>
      <c r="AA3090" s="145"/>
      <c r="AB3090" s="145"/>
      <c r="AC3090" s="145"/>
      <c r="AD3090" s="145"/>
      <c r="AE3090" s="145"/>
      <c r="AF3090" s="145"/>
      <c r="AG3090" s="145"/>
      <c r="AH3090" s="145"/>
      <c r="AI3090" s="145"/>
      <c r="AJ3090" s="145"/>
      <c r="AK3090" s="145"/>
      <c r="AL3090" s="145"/>
      <c r="AM3090" s="145"/>
      <c r="AN3090" s="145"/>
      <c r="AO3090" s="145"/>
      <c r="AP3090" s="145"/>
      <c r="AQ3090" s="145"/>
      <c r="AR3090" s="145"/>
      <c r="AS3090" s="145"/>
      <c r="AT3090" s="145"/>
      <c r="AU3090" s="145"/>
      <c r="AV3090" s="145"/>
      <c r="AW3090" s="145"/>
      <c r="AX3090" s="145"/>
      <c r="AY3090" s="145"/>
      <c r="AZ3090" s="145"/>
      <c r="BA3090" s="145"/>
      <c r="BB3090" s="145"/>
      <c r="BC3090" s="145"/>
      <c r="BD3090" s="145"/>
      <c r="BE3090" s="145"/>
      <c r="BF3090" s="145"/>
      <c r="BG3090" s="145"/>
      <c r="BH3090" s="145"/>
      <c r="BI3090" s="145"/>
      <c r="BJ3090" s="145"/>
      <c r="BK3090" s="145"/>
      <c r="BL3090" s="145"/>
      <c r="BM3090" s="145"/>
      <c r="BN3090" s="145"/>
      <c r="BO3090" s="145"/>
      <c r="BP3090" s="145"/>
      <c r="BQ3090" s="145"/>
      <c r="BR3090" s="145"/>
      <c r="BS3090" s="145"/>
      <c r="BT3090" s="145"/>
      <c r="BU3090" s="145"/>
      <c r="BV3090" s="145"/>
      <c r="BW3090" s="145"/>
      <c r="BX3090" s="145"/>
      <c r="BY3090" s="145"/>
      <c r="BZ3090" s="145"/>
      <c r="CA3090" s="145"/>
      <c r="CB3090" s="145"/>
      <c r="CC3090" s="145"/>
      <c r="CD3090" s="145"/>
      <c r="CE3090" s="145"/>
      <c r="CF3090" s="145"/>
      <c r="CG3090" s="145"/>
      <c r="CH3090" s="145"/>
      <c r="CI3090" s="145"/>
      <c r="CJ3090" s="145"/>
      <c r="CK3090" s="145"/>
      <c r="CL3090" s="145"/>
      <c r="CM3090" s="145"/>
      <c r="CN3090" s="145"/>
      <c r="CO3090" s="145"/>
      <c r="CP3090" s="145"/>
      <c r="CQ3090" s="145"/>
      <c r="CR3090" s="145"/>
      <c r="CS3090" s="145"/>
      <c r="CT3090" s="145"/>
      <c r="CU3090" s="145"/>
      <c r="CV3090" s="145"/>
      <c r="CW3090" s="145"/>
      <c r="CX3090" s="145"/>
      <c r="CY3090" s="145"/>
      <c r="CZ3090" s="145"/>
      <c r="DA3090" s="145"/>
      <c r="DB3090" s="145"/>
      <c r="DC3090" s="145"/>
      <c r="DD3090" s="145"/>
      <c r="DE3090" s="145"/>
      <c r="DF3090" s="145"/>
      <c r="DG3090" s="145"/>
      <c r="DH3090" s="145"/>
      <c r="DI3090" s="145"/>
      <c r="DJ3090" s="145"/>
      <c r="DK3090" s="145"/>
      <c r="DL3090" s="145"/>
      <c r="DM3090" s="145"/>
      <c r="DN3090" s="145"/>
      <c r="DO3090" s="145"/>
      <c r="DP3090" s="145"/>
      <c r="DQ3090" s="145"/>
      <c r="DR3090" s="145"/>
      <c r="DS3090" s="145"/>
      <c r="DT3090" s="145"/>
      <c r="DU3090" s="145"/>
      <c r="DV3090" s="145"/>
      <c r="DW3090" s="145"/>
      <c r="DX3090" s="145"/>
      <c r="DY3090" s="145"/>
      <c r="DZ3090" s="145"/>
      <c r="EA3090" s="145"/>
      <c r="EB3090" s="145"/>
      <c r="EC3090" s="145"/>
      <c r="ED3090" s="145"/>
      <c r="EE3090" s="145"/>
      <c r="EF3090" s="145"/>
      <c r="EG3090" s="145"/>
      <c r="EH3090" s="145"/>
      <c r="EI3090" s="145"/>
      <c r="EJ3090" s="145"/>
      <c r="EK3090" s="145"/>
      <c r="EL3090" s="145"/>
      <c r="EM3090" s="145"/>
      <c r="EN3090" s="145"/>
      <c r="EO3090" s="145"/>
      <c r="EP3090" s="145"/>
      <c r="EQ3090" s="145"/>
      <c r="ER3090" s="145"/>
      <c r="ES3090" s="145"/>
      <c r="ET3090" s="145"/>
      <c r="EU3090" s="145"/>
      <c r="EV3090" s="145"/>
      <c r="EW3090" s="145"/>
      <c r="EX3090" s="145"/>
      <c r="EY3090" s="145"/>
      <c r="EZ3090" s="145"/>
      <c r="FA3090" s="145"/>
      <c r="FB3090" s="145"/>
      <c r="FC3090" s="145"/>
      <c r="FD3090" s="145"/>
      <c r="FE3090" s="145"/>
      <c r="FF3090" s="145"/>
      <c r="FG3090" s="145"/>
      <c r="FH3090" s="145"/>
      <c r="FI3090" s="145"/>
      <c r="FJ3090" s="145"/>
      <c r="FK3090" s="145"/>
      <c r="FL3090" s="145"/>
      <c r="FM3090" s="145"/>
      <c r="FN3090" s="145"/>
      <c r="FO3090" s="145"/>
      <c r="FP3090" s="145"/>
      <c r="FQ3090" s="145"/>
      <c r="FR3090" s="145"/>
      <c r="FS3090" s="145"/>
      <c r="FT3090" s="145"/>
      <c r="FU3090" s="145"/>
      <c r="FV3090" s="145"/>
      <c r="FW3090" s="145"/>
      <c r="FX3090" s="145"/>
      <c r="FY3090" s="145"/>
      <c r="FZ3090" s="145"/>
      <c r="GA3090" s="145"/>
      <c r="GB3090" s="145"/>
      <c r="GC3090" s="145"/>
      <c r="GD3090" s="145"/>
      <c r="GE3090" s="145"/>
      <c r="GF3090" s="145"/>
      <c r="GG3090" s="145"/>
      <c r="GH3090" s="145"/>
      <c r="GI3090" s="145"/>
      <c r="GJ3090" s="145"/>
      <c r="GK3090" s="145"/>
      <c r="GL3090" s="145"/>
      <c r="GM3090" s="145"/>
      <c r="GN3090" s="145"/>
      <c r="GO3090" s="145"/>
      <c r="GP3090" s="145"/>
      <c r="GQ3090" s="145"/>
      <c r="GR3090" s="145"/>
      <c r="GS3090" s="145"/>
      <c r="GT3090" s="145"/>
      <c r="GU3090" s="145"/>
      <c r="GV3090" s="145"/>
      <c r="GW3090" s="145"/>
      <c r="GX3090" s="145"/>
      <c r="GY3090" s="145"/>
      <c r="GZ3090" s="145"/>
      <c r="HA3090" s="145"/>
      <c r="HB3090" s="145"/>
      <c r="HC3090" s="145"/>
      <c r="HD3090" s="145"/>
      <c r="HE3090" s="145"/>
    </row>
    <row r="3091" spans="1:214" x14ac:dyDescent="0.35">
      <c r="A3091" s="271"/>
      <c r="B3091" s="271"/>
      <c r="C3091" s="263"/>
      <c r="D3091" s="274"/>
      <c r="E3091" s="268"/>
      <c r="F3091" s="268"/>
      <c r="G3091" s="270" t="s">
        <v>81</v>
      </c>
      <c r="H3091" s="136" t="s">
        <v>73</v>
      </c>
      <c r="I3091" s="181">
        <f>D3088*K3091</f>
        <v>4719001.5</v>
      </c>
      <c r="J3091" s="181">
        <f>I3091/D3088</f>
        <v>5121</v>
      </c>
      <c r="K3091" s="181">
        <v>5121</v>
      </c>
      <c r="L3091" s="145"/>
      <c r="M3091" s="145"/>
      <c r="N3091" s="145"/>
      <c r="O3091" s="145"/>
      <c r="P3091" s="145"/>
      <c r="Q3091" s="145"/>
      <c r="R3091" s="145"/>
      <c r="S3091" s="145"/>
      <c r="T3091" s="145"/>
      <c r="U3091" s="145"/>
      <c r="V3091" s="145"/>
      <c r="W3091" s="145"/>
      <c r="X3091" s="145"/>
      <c r="Y3091" s="145"/>
      <c r="Z3091" s="145"/>
      <c r="AA3091" s="145"/>
      <c r="AB3091" s="145"/>
      <c r="AC3091" s="145"/>
      <c r="AD3091" s="145"/>
      <c r="AE3091" s="145"/>
      <c r="AF3091" s="145"/>
      <c r="AG3091" s="145"/>
      <c r="AH3091" s="145"/>
      <c r="AI3091" s="145"/>
      <c r="AJ3091" s="145"/>
      <c r="AK3091" s="145"/>
      <c r="AL3091" s="145"/>
      <c r="AM3091" s="145"/>
      <c r="AN3091" s="145"/>
      <c r="AO3091" s="145"/>
      <c r="AP3091" s="145"/>
      <c r="AQ3091" s="145"/>
      <c r="AR3091" s="145"/>
      <c r="AS3091" s="145"/>
      <c r="AT3091" s="145"/>
      <c r="AU3091" s="145"/>
      <c r="AV3091" s="145"/>
      <c r="AW3091" s="145"/>
      <c r="AX3091" s="145"/>
      <c r="AY3091" s="145"/>
      <c r="AZ3091" s="145"/>
      <c r="BA3091" s="145"/>
      <c r="BB3091" s="145"/>
      <c r="BC3091" s="145"/>
      <c r="BD3091" s="145"/>
      <c r="BE3091" s="145"/>
      <c r="BF3091" s="145"/>
      <c r="BG3091" s="145"/>
      <c r="BH3091" s="145"/>
      <c r="BI3091" s="145"/>
      <c r="BJ3091" s="145"/>
      <c r="BK3091" s="145"/>
      <c r="BL3091" s="145"/>
      <c r="BM3091" s="145"/>
      <c r="BN3091" s="145"/>
      <c r="BO3091" s="145"/>
      <c r="BP3091" s="145"/>
      <c r="BQ3091" s="145"/>
      <c r="BR3091" s="145"/>
      <c r="BS3091" s="145"/>
      <c r="BT3091" s="145"/>
      <c r="BU3091" s="145"/>
      <c r="BV3091" s="145"/>
      <c r="BW3091" s="145"/>
      <c r="BX3091" s="145"/>
      <c r="BY3091" s="145"/>
      <c r="BZ3091" s="145"/>
      <c r="CA3091" s="145"/>
      <c r="CB3091" s="145"/>
      <c r="CC3091" s="145"/>
      <c r="CD3091" s="145"/>
      <c r="CE3091" s="145"/>
      <c r="CF3091" s="145"/>
      <c r="CG3091" s="145"/>
      <c r="CH3091" s="145"/>
      <c r="CI3091" s="145"/>
      <c r="CJ3091" s="145"/>
      <c r="CK3091" s="145"/>
      <c r="CL3091" s="145"/>
      <c r="CM3091" s="145"/>
      <c r="CN3091" s="145"/>
      <c r="CO3091" s="145"/>
      <c r="CP3091" s="145"/>
      <c r="CQ3091" s="145"/>
      <c r="CR3091" s="145"/>
      <c r="CS3091" s="145"/>
      <c r="CT3091" s="145"/>
      <c r="CU3091" s="145"/>
      <c r="CV3091" s="145"/>
      <c r="CW3091" s="145"/>
      <c r="CX3091" s="145"/>
      <c r="CY3091" s="145"/>
      <c r="CZ3091" s="145"/>
      <c r="DA3091" s="145"/>
      <c r="DB3091" s="145"/>
      <c r="DC3091" s="145"/>
      <c r="DD3091" s="145"/>
      <c r="DE3091" s="145"/>
      <c r="DF3091" s="145"/>
      <c r="DG3091" s="145"/>
      <c r="DH3091" s="145"/>
      <c r="DI3091" s="145"/>
      <c r="DJ3091" s="145"/>
      <c r="DK3091" s="145"/>
      <c r="DL3091" s="145"/>
      <c r="DM3091" s="145"/>
      <c r="DN3091" s="145"/>
      <c r="DO3091" s="145"/>
      <c r="DP3091" s="145"/>
      <c r="DQ3091" s="145"/>
      <c r="DR3091" s="145"/>
      <c r="DS3091" s="145"/>
      <c r="DT3091" s="145"/>
      <c r="DU3091" s="145"/>
      <c r="DV3091" s="145"/>
      <c r="DW3091" s="145"/>
      <c r="DX3091" s="145"/>
      <c r="DY3091" s="145"/>
      <c r="DZ3091" s="145"/>
      <c r="EA3091" s="145"/>
      <c r="EB3091" s="145"/>
      <c r="EC3091" s="145"/>
      <c r="ED3091" s="145"/>
      <c r="EE3091" s="145"/>
      <c r="EF3091" s="145"/>
      <c r="EG3091" s="145"/>
      <c r="EH3091" s="145"/>
      <c r="EI3091" s="145"/>
      <c r="EJ3091" s="145"/>
      <c r="EK3091" s="145"/>
      <c r="EL3091" s="145"/>
      <c r="EM3091" s="145"/>
      <c r="EN3091" s="145"/>
      <c r="EO3091" s="145"/>
      <c r="EP3091" s="145"/>
      <c r="EQ3091" s="145"/>
      <c r="ER3091" s="145"/>
      <c r="ES3091" s="145"/>
      <c r="ET3091" s="145"/>
      <c r="EU3091" s="145"/>
      <c r="EV3091" s="145"/>
      <c r="EW3091" s="145"/>
      <c r="EX3091" s="145"/>
      <c r="EY3091" s="145"/>
      <c r="EZ3091" s="145"/>
      <c r="FA3091" s="145"/>
      <c r="FB3091" s="145"/>
      <c r="FC3091" s="145"/>
      <c r="FD3091" s="145"/>
      <c r="FE3091" s="145"/>
      <c r="FF3091" s="145"/>
      <c r="FG3091" s="145"/>
      <c r="FH3091" s="145"/>
      <c r="FI3091" s="145"/>
      <c r="FJ3091" s="145"/>
      <c r="FK3091" s="145"/>
      <c r="FL3091" s="145"/>
      <c r="FM3091" s="145"/>
      <c r="FN3091" s="145"/>
      <c r="FO3091" s="145"/>
      <c r="FP3091" s="145"/>
      <c r="FQ3091" s="145"/>
      <c r="FR3091" s="145"/>
      <c r="FS3091" s="145"/>
      <c r="FT3091" s="145"/>
      <c r="FU3091" s="145"/>
      <c r="FV3091" s="145"/>
      <c r="FW3091" s="145"/>
      <c r="FX3091" s="145"/>
      <c r="FY3091" s="145"/>
      <c r="FZ3091" s="145"/>
      <c r="GA3091" s="145"/>
      <c r="GB3091" s="145"/>
      <c r="GC3091" s="145"/>
      <c r="GD3091" s="145"/>
      <c r="GE3091" s="145"/>
      <c r="GF3091" s="145"/>
      <c r="GG3091" s="145"/>
      <c r="GH3091" s="145"/>
      <c r="GI3091" s="145"/>
      <c r="GJ3091" s="145"/>
      <c r="GK3091" s="145"/>
      <c r="GL3091" s="145"/>
      <c r="GM3091" s="145"/>
      <c r="GN3091" s="145"/>
      <c r="GO3091" s="145"/>
      <c r="GP3091" s="145"/>
      <c r="GQ3091" s="145"/>
      <c r="GR3091" s="145"/>
      <c r="GS3091" s="145"/>
      <c r="GT3091" s="145"/>
      <c r="GU3091" s="145"/>
      <c r="GV3091" s="145"/>
      <c r="GW3091" s="145"/>
      <c r="GX3091" s="145"/>
      <c r="GY3091" s="145"/>
      <c r="GZ3091" s="145"/>
      <c r="HA3091" s="145"/>
      <c r="HB3091" s="145"/>
      <c r="HC3091" s="145"/>
      <c r="HD3091" s="145"/>
      <c r="HE3091" s="145"/>
    </row>
    <row r="3092" spans="1:214" x14ac:dyDescent="0.35">
      <c r="A3092" s="272"/>
      <c r="B3092" s="272"/>
      <c r="C3092" s="264"/>
      <c r="D3092" s="275"/>
      <c r="E3092" s="269"/>
      <c r="F3092" s="269"/>
      <c r="G3092" s="272"/>
      <c r="H3092" s="136" t="s">
        <v>75</v>
      </c>
      <c r="I3092" s="181">
        <f>D3088*K3092</f>
        <v>101365</v>
      </c>
      <c r="J3092" s="181">
        <f>I3092/D3088</f>
        <v>110</v>
      </c>
      <c r="K3092" s="181">
        <v>110</v>
      </c>
      <c r="L3092" s="145"/>
      <c r="M3092" s="145"/>
      <c r="N3092" s="145"/>
      <c r="O3092" s="145"/>
      <c r="P3092" s="145"/>
      <c r="Q3092" s="145"/>
      <c r="R3092" s="145"/>
      <c r="S3092" s="145"/>
      <c r="T3092" s="145"/>
      <c r="U3092" s="145"/>
      <c r="V3092" s="145"/>
      <c r="W3092" s="145"/>
      <c r="X3092" s="145"/>
      <c r="Y3092" s="145"/>
      <c r="Z3092" s="145"/>
      <c r="AA3092" s="145"/>
      <c r="AB3092" s="145"/>
      <c r="AC3092" s="145"/>
      <c r="AD3092" s="145"/>
      <c r="AE3092" s="145"/>
      <c r="AF3092" s="145"/>
      <c r="AG3092" s="145"/>
      <c r="AH3092" s="145"/>
      <c r="AI3092" s="145"/>
      <c r="AJ3092" s="145"/>
      <c r="AK3092" s="145"/>
      <c r="AL3092" s="145"/>
      <c r="AM3092" s="145"/>
      <c r="AN3092" s="145"/>
      <c r="AO3092" s="145"/>
      <c r="AP3092" s="145"/>
      <c r="AQ3092" s="145"/>
      <c r="AR3092" s="145"/>
      <c r="AS3092" s="145"/>
      <c r="AT3092" s="145"/>
      <c r="AU3092" s="145"/>
      <c r="AV3092" s="145"/>
      <c r="AW3092" s="145"/>
      <c r="AX3092" s="145"/>
      <c r="AY3092" s="145"/>
      <c r="AZ3092" s="145"/>
      <c r="BA3092" s="145"/>
      <c r="BB3092" s="145"/>
      <c r="BC3092" s="145"/>
      <c r="BD3092" s="145"/>
      <c r="BE3092" s="145"/>
      <c r="BF3092" s="145"/>
      <c r="BG3092" s="145"/>
      <c r="BH3092" s="145"/>
      <c r="BI3092" s="145"/>
      <c r="BJ3092" s="145"/>
      <c r="BK3092" s="145"/>
      <c r="BL3092" s="145"/>
      <c r="BM3092" s="145"/>
      <c r="BN3092" s="145"/>
      <c r="BO3092" s="145"/>
      <c r="BP3092" s="145"/>
      <c r="BQ3092" s="145"/>
      <c r="BR3092" s="145"/>
      <c r="BS3092" s="145"/>
      <c r="BT3092" s="145"/>
      <c r="BU3092" s="145"/>
      <c r="BV3092" s="145"/>
      <c r="BW3092" s="145"/>
      <c r="BX3092" s="145"/>
      <c r="BY3092" s="145"/>
      <c r="BZ3092" s="145"/>
      <c r="CA3092" s="145"/>
      <c r="CB3092" s="145"/>
      <c r="CC3092" s="145"/>
      <c r="CD3092" s="145"/>
      <c r="CE3092" s="145"/>
      <c r="CF3092" s="145"/>
      <c r="CG3092" s="145"/>
      <c r="CH3092" s="145"/>
      <c r="CI3092" s="145"/>
      <c r="CJ3092" s="145"/>
      <c r="CK3092" s="145"/>
      <c r="CL3092" s="145"/>
      <c r="CM3092" s="145"/>
      <c r="CN3092" s="145"/>
      <c r="CO3092" s="145"/>
      <c r="CP3092" s="145"/>
      <c r="CQ3092" s="145"/>
      <c r="CR3092" s="145"/>
      <c r="CS3092" s="145"/>
      <c r="CT3092" s="145"/>
      <c r="CU3092" s="145"/>
      <c r="CV3092" s="145"/>
      <c r="CW3092" s="145"/>
      <c r="CX3092" s="145"/>
      <c r="CY3092" s="145"/>
      <c r="CZ3092" s="145"/>
      <c r="DA3092" s="145"/>
      <c r="DB3092" s="145"/>
      <c r="DC3092" s="145"/>
      <c r="DD3092" s="145"/>
      <c r="DE3092" s="145"/>
      <c r="DF3092" s="145"/>
      <c r="DG3092" s="145"/>
      <c r="DH3092" s="145"/>
      <c r="DI3092" s="145"/>
      <c r="DJ3092" s="145"/>
      <c r="DK3092" s="145"/>
      <c r="DL3092" s="145"/>
      <c r="DM3092" s="145"/>
      <c r="DN3092" s="145"/>
      <c r="DO3092" s="145"/>
      <c r="DP3092" s="145"/>
      <c r="DQ3092" s="145"/>
      <c r="DR3092" s="145"/>
      <c r="DS3092" s="145"/>
      <c r="DT3092" s="145"/>
      <c r="DU3092" s="145"/>
      <c r="DV3092" s="145"/>
      <c r="DW3092" s="145"/>
      <c r="DX3092" s="145"/>
      <c r="DY3092" s="145"/>
      <c r="DZ3092" s="145"/>
      <c r="EA3092" s="145"/>
      <c r="EB3092" s="145"/>
      <c r="EC3092" s="145"/>
      <c r="ED3092" s="145"/>
      <c r="EE3092" s="145"/>
      <c r="EF3092" s="145"/>
      <c r="EG3092" s="145"/>
      <c r="EH3092" s="145"/>
      <c r="EI3092" s="145"/>
      <c r="EJ3092" s="145"/>
      <c r="EK3092" s="145"/>
      <c r="EL3092" s="145"/>
      <c r="EM3092" s="145"/>
      <c r="EN3092" s="145"/>
      <c r="EO3092" s="145"/>
      <c r="EP3092" s="145"/>
      <c r="EQ3092" s="145"/>
      <c r="ER3092" s="145"/>
      <c r="ES3092" s="145"/>
      <c r="ET3092" s="145"/>
      <c r="EU3092" s="145"/>
      <c r="EV3092" s="145"/>
      <c r="EW3092" s="145"/>
      <c r="EX3092" s="145"/>
      <c r="EY3092" s="145"/>
      <c r="EZ3092" s="145"/>
      <c r="FA3092" s="145"/>
      <c r="FB3092" s="145"/>
      <c r="FC3092" s="145"/>
      <c r="FD3092" s="145"/>
      <c r="FE3092" s="145"/>
      <c r="FF3092" s="145"/>
      <c r="FG3092" s="145"/>
      <c r="FH3092" s="145"/>
      <c r="FI3092" s="145"/>
      <c r="FJ3092" s="145"/>
      <c r="FK3092" s="145"/>
      <c r="FL3092" s="145"/>
      <c r="FM3092" s="145"/>
      <c r="FN3092" s="145"/>
      <c r="FO3092" s="145"/>
      <c r="FP3092" s="145"/>
      <c r="FQ3092" s="145"/>
      <c r="FR3092" s="145"/>
      <c r="FS3092" s="145"/>
      <c r="FT3092" s="145"/>
      <c r="FU3092" s="145"/>
      <c r="FV3092" s="145"/>
      <c r="FW3092" s="145"/>
      <c r="FX3092" s="145"/>
      <c r="FY3092" s="145"/>
      <c r="FZ3092" s="145"/>
      <c r="GA3092" s="145"/>
      <c r="GB3092" s="145"/>
      <c r="GC3092" s="145"/>
      <c r="GD3092" s="145"/>
      <c r="GE3092" s="145"/>
      <c r="GF3092" s="145"/>
      <c r="GG3092" s="145"/>
      <c r="GH3092" s="145"/>
      <c r="GI3092" s="145"/>
      <c r="GJ3092" s="145"/>
      <c r="GK3092" s="145"/>
      <c r="GL3092" s="145"/>
      <c r="GM3092" s="145"/>
      <c r="GN3092" s="145"/>
      <c r="GO3092" s="145"/>
      <c r="GP3092" s="145"/>
      <c r="GQ3092" s="145"/>
      <c r="GR3092" s="145"/>
      <c r="GS3092" s="145"/>
      <c r="GT3092" s="145"/>
      <c r="GU3092" s="145"/>
      <c r="GV3092" s="145"/>
      <c r="GW3092" s="145"/>
      <c r="GX3092" s="145"/>
      <c r="GY3092" s="145"/>
      <c r="GZ3092" s="145"/>
      <c r="HA3092" s="145"/>
      <c r="HB3092" s="145"/>
      <c r="HC3092" s="145"/>
      <c r="HD3092" s="145"/>
      <c r="HE3092" s="145"/>
    </row>
    <row r="3093" spans="1:214" x14ac:dyDescent="0.35">
      <c r="A3093" s="277">
        <f>A3088+1</f>
        <v>54</v>
      </c>
      <c r="B3093" s="277">
        <v>2427</v>
      </c>
      <c r="C3093" s="266" t="s">
        <v>136</v>
      </c>
      <c r="D3093" s="287">
        <v>3713.1</v>
      </c>
      <c r="E3093" s="276" t="s">
        <v>74</v>
      </c>
      <c r="F3093" s="276">
        <v>5</v>
      </c>
      <c r="G3093" s="277" t="s">
        <v>71</v>
      </c>
      <c r="H3093" s="136" t="s">
        <v>72</v>
      </c>
      <c r="I3093" s="181">
        <f>I3094+I3095</f>
        <v>12037870.199999999</v>
      </c>
      <c r="J3093" s="181">
        <f>J3094+J3095</f>
        <v>3242</v>
      </c>
      <c r="K3093" s="181">
        <f>K3094+K3095</f>
        <v>3242</v>
      </c>
    </row>
    <row r="3094" spans="1:214" x14ac:dyDescent="0.35">
      <c r="A3094" s="277">
        <v>75</v>
      </c>
      <c r="B3094" s="277"/>
      <c r="C3094" s="266"/>
      <c r="D3094" s="287"/>
      <c r="E3094" s="276"/>
      <c r="F3094" s="276"/>
      <c r="G3094" s="277"/>
      <c r="H3094" s="136" t="s">
        <v>73</v>
      </c>
      <c r="I3094" s="181">
        <f>D3093*K3094</f>
        <v>11785379.4</v>
      </c>
      <c r="J3094" s="181">
        <f>I3094/D3093</f>
        <v>3174</v>
      </c>
      <c r="K3094" s="181">
        <v>3174</v>
      </c>
      <c r="L3094" s="145"/>
      <c r="M3094" s="145"/>
      <c r="N3094" s="145"/>
      <c r="O3094" s="145"/>
      <c r="P3094" s="145"/>
      <c r="Q3094" s="145"/>
      <c r="R3094" s="145"/>
      <c r="S3094" s="145"/>
      <c r="T3094" s="145"/>
      <c r="U3094" s="145"/>
      <c r="V3094" s="145"/>
      <c r="W3094" s="145"/>
      <c r="X3094" s="145"/>
      <c r="Y3094" s="145"/>
      <c r="Z3094" s="145"/>
      <c r="AA3094" s="145"/>
      <c r="AB3094" s="145"/>
      <c r="AC3094" s="145"/>
      <c r="AD3094" s="145"/>
      <c r="AE3094" s="145"/>
      <c r="AF3094" s="145"/>
      <c r="AG3094" s="145"/>
      <c r="AH3094" s="145"/>
      <c r="AI3094" s="145"/>
      <c r="AJ3094" s="145"/>
      <c r="AK3094" s="145"/>
      <c r="AL3094" s="145"/>
      <c r="AM3094" s="145"/>
      <c r="AN3094" s="145"/>
      <c r="AO3094" s="145"/>
      <c r="AP3094" s="145"/>
      <c r="AQ3094" s="145"/>
      <c r="AR3094" s="145"/>
      <c r="AS3094" s="145"/>
      <c r="AT3094" s="145"/>
      <c r="AU3094" s="145"/>
      <c r="AV3094" s="145"/>
      <c r="AW3094" s="145"/>
      <c r="AX3094" s="145"/>
      <c r="AY3094" s="145"/>
      <c r="AZ3094" s="145"/>
      <c r="BA3094" s="145"/>
      <c r="BB3094" s="145"/>
      <c r="BC3094" s="145"/>
      <c r="BD3094" s="145"/>
      <c r="BE3094" s="145"/>
      <c r="BF3094" s="145"/>
      <c r="BG3094" s="145"/>
      <c r="BH3094" s="145"/>
      <c r="BI3094" s="145"/>
      <c r="BJ3094" s="145"/>
      <c r="BK3094" s="145"/>
      <c r="BL3094" s="145"/>
      <c r="BM3094" s="145"/>
      <c r="BN3094" s="145"/>
      <c r="BO3094" s="145"/>
      <c r="BP3094" s="145"/>
      <c r="BQ3094" s="145"/>
      <c r="BR3094" s="145"/>
      <c r="BS3094" s="145"/>
      <c r="BT3094" s="145"/>
      <c r="BU3094" s="145"/>
      <c r="BV3094" s="145"/>
      <c r="BW3094" s="145"/>
      <c r="BX3094" s="145"/>
      <c r="BY3094" s="145"/>
      <c r="BZ3094" s="145"/>
      <c r="CA3094" s="145"/>
      <c r="CB3094" s="145"/>
      <c r="CC3094" s="145"/>
      <c r="CD3094" s="145"/>
      <c r="CE3094" s="145"/>
      <c r="CF3094" s="145"/>
      <c r="CG3094" s="145"/>
      <c r="CH3094" s="145"/>
      <c r="CI3094" s="145"/>
      <c r="CJ3094" s="145"/>
      <c r="CK3094" s="145"/>
      <c r="CL3094" s="145"/>
      <c r="CM3094" s="145"/>
      <c r="CN3094" s="145"/>
      <c r="CO3094" s="145"/>
      <c r="CP3094" s="145"/>
      <c r="CQ3094" s="145"/>
      <c r="CR3094" s="145"/>
      <c r="CS3094" s="145"/>
      <c r="CT3094" s="145"/>
      <c r="CU3094" s="145"/>
      <c r="CV3094" s="145"/>
      <c r="CW3094" s="145"/>
      <c r="CX3094" s="145"/>
      <c r="CY3094" s="145"/>
      <c r="CZ3094" s="145"/>
      <c r="DA3094" s="145"/>
      <c r="DB3094" s="145"/>
      <c r="DC3094" s="145"/>
      <c r="DD3094" s="145"/>
      <c r="DE3094" s="145"/>
      <c r="DF3094" s="145"/>
      <c r="DG3094" s="145"/>
      <c r="DH3094" s="145"/>
      <c r="DI3094" s="145"/>
      <c r="DJ3094" s="145"/>
      <c r="DK3094" s="145"/>
      <c r="DL3094" s="145"/>
      <c r="DM3094" s="145"/>
      <c r="DN3094" s="145"/>
      <c r="DO3094" s="145"/>
      <c r="DP3094" s="145"/>
      <c r="DQ3094" s="145"/>
      <c r="DR3094" s="145"/>
      <c r="DS3094" s="145"/>
      <c r="DT3094" s="145"/>
      <c r="DU3094" s="145"/>
      <c r="DV3094" s="145"/>
      <c r="DW3094" s="145"/>
      <c r="DX3094" s="145"/>
      <c r="DY3094" s="145"/>
      <c r="DZ3094" s="145"/>
      <c r="EA3094" s="145"/>
      <c r="EB3094" s="145"/>
      <c r="EC3094" s="145"/>
      <c r="ED3094" s="145"/>
      <c r="EE3094" s="145"/>
      <c r="EF3094" s="145"/>
      <c r="EG3094" s="145"/>
      <c r="EH3094" s="145"/>
      <c r="EI3094" s="145"/>
      <c r="EJ3094" s="145"/>
      <c r="EK3094" s="145"/>
      <c r="EL3094" s="145"/>
      <c r="EM3094" s="145"/>
      <c r="EN3094" s="145"/>
      <c r="EO3094" s="145"/>
      <c r="EP3094" s="145"/>
      <c r="EQ3094" s="145"/>
      <c r="ER3094" s="145"/>
      <c r="ES3094" s="145"/>
      <c r="ET3094" s="145"/>
      <c r="EU3094" s="145"/>
      <c r="EV3094" s="145"/>
      <c r="EW3094" s="145"/>
      <c r="EX3094" s="145"/>
      <c r="EY3094" s="145"/>
      <c r="EZ3094" s="145"/>
      <c r="FA3094" s="145"/>
      <c r="FB3094" s="145"/>
      <c r="FC3094" s="145"/>
      <c r="FD3094" s="145"/>
      <c r="FE3094" s="145"/>
      <c r="FF3094" s="145"/>
      <c r="FG3094" s="145"/>
      <c r="FH3094" s="145"/>
      <c r="FI3094" s="145"/>
      <c r="FJ3094" s="145"/>
      <c r="FK3094" s="145"/>
      <c r="FL3094" s="145"/>
      <c r="FM3094" s="145"/>
      <c r="FN3094" s="145"/>
      <c r="FO3094" s="145"/>
      <c r="FP3094" s="145"/>
      <c r="FQ3094" s="145"/>
      <c r="FR3094" s="145"/>
      <c r="FS3094" s="145"/>
      <c r="FT3094" s="145"/>
      <c r="FU3094" s="145"/>
      <c r="FV3094" s="145"/>
      <c r="FW3094" s="145"/>
      <c r="FX3094" s="145"/>
      <c r="FY3094" s="145"/>
      <c r="FZ3094" s="145"/>
      <c r="GA3094" s="145"/>
      <c r="GB3094" s="145"/>
      <c r="GC3094" s="145"/>
      <c r="GD3094" s="145"/>
      <c r="GE3094" s="145"/>
      <c r="GF3094" s="145"/>
      <c r="GG3094" s="145"/>
      <c r="GH3094" s="145"/>
      <c r="GI3094" s="145"/>
      <c r="GJ3094" s="145"/>
      <c r="GK3094" s="145"/>
      <c r="GL3094" s="145"/>
      <c r="GM3094" s="145"/>
      <c r="GN3094" s="145"/>
      <c r="GO3094" s="145"/>
      <c r="GP3094" s="145"/>
      <c r="GQ3094" s="145"/>
      <c r="GR3094" s="145"/>
      <c r="GS3094" s="145"/>
      <c r="GT3094" s="145"/>
      <c r="GU3094" s="145"/>
      <c r="GV3094" s="145"/>
      <c r="GW3094" s="145"/>
      <c r="GX3094" s="145"/>
      <c r="GY3094" s="145"/>
      <c r="GZ3094" s="145"/>
      <c r="HA3094" s="145"/>
      <c r="HB3094" s="145"/>
      <c r="HC3094" s="145"/>
      <c r="HD3094" s="145"/>
      <c r="HE3094" s="145"/>
    </row>
    <row r="3095" spans="1:214" x14ac:dyDescent="0.35">
      <c r="A3095" s="277">
        <v>76</v>
      </c>
      <c r="B3095" s="277"/>
      <c r="C3095" s="266"/>
      <c r="D3095" s="287"/>
      <c r="E3095" s="276"/>
      <c r="F3095" s="276"/>
      <c r="G3095" s="277"/>
      <c r="H3095" s="136" t="s">
        <v>75</v>
      </c>
      <c r="I3095" s="181">
        <f>D3093*K3095</f>
        <v>252490.8</v>
      </c>
      <c r="J3095" s="181">
        <f>I3095/D3093</f>
        <v>68</v>
      </c>
      <c r="K3095" s="181">
        <v>68</v>
      </c>
      <c r="L3095" s="145"/>
      <c r="M3095" s="145"/>
      <c r="N3095" s="145"/>
      <c r="O3095" s="145"/>
      <c r="P3095" s="145"/>
      <c r="Q3095" s="145"/>
      <c r="R3095" s="145"/>
      <c r="S3095" s="145"/>
      <c r="T3095" s="145"/>
      <c r="U3095" s="145"/>
      <c r="V3095" s="145"/>
      <c r="W3095" s="145"/>
      <c r="X3095" s="145"/>
      <c r="Y3095" s="145"/>
      <c r="Z3095" s="145"/>
      <c r="AA3095" s="145"/>
      <c r="AB3095" s="145"/>
      <c r="AC3095" s="145"/>
      <c r="AD3095" s="145"/>
      <c r="AE3095" s="145"/>
      <c r="AF3095" s="145"/>
      <c r="AG3095" s="145"/>
      <c r="AH3095" s="145"/>
      <c r="AI3095" s="145"/>
      <c r="AJ3095" s="145"/>
      <c r="AK3095" s="145"/>
      <c r="AL3095" s="145"/>
      <c r="AM3095" s="145"/>
      <c r="AN3095" s="145"/>
      <c r="AO3095" s="145"/>
      <c r="AP3095" s="145"/>
      <c r="AQ3095" s="145"/>
      <c r="AR3095" s="145"/>
      <c r="AS3095" s="145"/>
      <c r="AT3095" s="145"/>
      <c r="AU3095" s="145"/>
      <c r="AV3095" s="145"/>
      <c r="AW3095" s="145"/>
      <c r="AX3095" s="145"/>
      <c r="AY3095" s="145"/>
      <c r="AZ3095" s="145"/>
      <c r="BA3095" s="145"/>
      <c r="BB3095" s="145"/>
      <c r="BC3095" s="145"/>
      <c r="BD3095" s="145"/>
      <c r="BE3095" s="145"/>
      <c r="BF3095" s="145"/>
      <c r="BG3095" s="145"/>
      <c r="BH3095" s="145"/>
      <c r="BI3095" s="145"/>
      <c r="BJ3095" s="145"/>
      <c r="BK3095" s="145"/>
      <c r="BL3095" s="145"/>
      <c r="BM3095" s="145"/>
      <c r="BN3095" s="145"/>
      <c r="BO3095" s="145"/>
      <c r="BP3095" s="145"/>
      <c r="BQ3095" s="145"/>
      <c r="BR3095" s="145"/>
      <c r="BS3095" s="145"/>
      <c r="BT3095" s="145"/>
      <c r="BU3095" s="145"/>
      <c r="BV3095" s="145"/>
      <c r="BW3095" s="145"/>
      <c r="BX3095" s="145"/>
      <c r="BY3095" s="145"/>
      <c r="BZ3095" s="145"/>
      <c r="CA3095" s="145"/>
      <c r="CB3095" s="145"/>
      <c r="CC3095" s="145"/>
      <c r="CD3095" s="145"/>
      <c r="CE3095" s="145"/>
      <c r="CF3095" s="145"/>
      <c r="CG3095" s="145"/>
      <c r="CH3095" s="145"/>
      <c r="CI3095" s="145"/>
      <c r="CJ3095" s="145"/>
      <c r="CK3095" s="145"/>
      <c r="CL3095" s="145"/>
      <c r="CM3095" s="145"/>
      <c r="CN3095" s="145"/>
      <c r="CO3095" s="145"/>
      <c r="CP3095" s="145"/>
      <c r="CQ3095" s="145"/>
      <c r="CR3095" s="145"/>
      <c r="CS3095" s="145"/>
      <c r="CT3095" s="145"/>
      <c r="CU3095" s="145"/>
      <c r="CV3095" s="145"/>
      <c r="CW3095" s="145"/>
      <c r="CX3095" s="145"/>
      <c r="CY3095" s="145"/>
      <c r="CZ3095" s="145"/>
      <c r="DA3095" s="145"/>
      <c r="DB3095" s="145"/>
      <c r="DC3095" s="145"/>
      <c r="DD3095" s="145"/>
      <c r="DE3095" s="145"/>
      <c r="DF3095" s="145"/>
      <c r="DG3095" s="145"/>
      <c r="DH3095" s="145"/>
      <c r="DI3095" s="145"/>
      <c r="DJ3095" s="145"/>
      <c r="DK3095" s="145"/>
      <c r="DL3095" s="145"/>
      <c r="DM3095" s="145"/>
      <c r="DN3095" s="145"/>
      <c r="DO3095" s="145"/>
      <c r="DP3095" s="145"/>
      <c r="DQ3095" s="145"/>
      <c r="DR3095" s="145"/>
      <c r="DS3095" s="145"/>
      <c r="DT3095" s="145"/>
      <c r="DU3095" s="145"/>
      <c r="DV3095" s="145"/>
      <c r="DW3095" s="145"/>
      <c r="DX3095" s="145"/>
      <c r="DY3095" s="145"/>
      <c r="DZ3095" s="145"/>
      <c r="EA3095" s="145"/>
      <c r="EB3095" s="145"/>
      <c r="EC3095" s="145"/>
      <c r="ED3095" s="145"/>
      <c r="EE3095" s="145"/>
      <c r="EF3095" s="145"/>
      <c r="EG3095" s="145"/>
      <c r="EH3095" s="145"/>
      <c r="EI3095" s="145"/>
      <c r="EJ3095" s="145"/>
      <c r="EK3095" s="145"/>
      <c r="EL3095" s="145"/>
      <c r="EM3095" s="145"/>
      <c r="EN3095" s="145"/>
      <c r="EO3095" s="145"/>
      <c r="EP3095" s="145"/>
      <c r="EQ3095" s="145"/>
      <c r="ER3095" s="145"/>
      <c r="ES3095" s="145"/>
      <c r="ET3095" s="145"/>
      <c r="EU3095" s="145"/>
      <c r="EV3095" s="145"/>
      <c r="EW3095" s="145"/>
      <c r="EX3095" s="145"/>
      <c r="EY3095" s="145"/>
      <c r="EZ3095" s="145"/>
      <c r="FA3095" s="145"/>
      <c r="FB3095" s="145"/>
      <c r="FC3095" s="145"/>
      <c r="FD3095" s="145"/>
      <c r="FE3095" s="145"/>
      <c r="FF3095" s="145"/>
      <c r="FG3095" s="145"/>
      <c r="FH3095" s="145"/>
      <c r="FI3095" s="145"/>
      <c r="FJ3095" s="145"/>
      <c r="FK3095" s="145"/>
      <c r="FL3095" s="145"/>
      <c r="FM3095" s="145"/>
      <c r="FN3095" s="145"/>
      <c r="FO3095" s="145"/>
      <c r="FP3095" s="145"/>
      <c r="FQ3095" s="145"/>
      <c r="FR3095" s="145"/>
      <c r="FS3095" s="145"/>
      <c r="FT3095" s="145"/>
      <c r="FU3095" s="145"/>
      <c r="FV3095" s="145"/>
      <c r="FW3095" s="145"/>
      <c r="FX3095" s="145"/>
      <c r="FY3095" s="145"/>
      <c r="FZ3095" s="145"/>
      <c r="GA3095" s="145"/>
      <c r="GB3095" s="145"/>
      <c r="GC3095" s="145"/>
      <c r="GD3095" s="145"/>
      <c r="GE3095" s="145"/>
      <c r="GF3095" s="145"/>
      <c r="GG3095" s="145"/>
      <c r="GH3095" s="145"/>
      <c r="GI3095" s="145"/>
      <c r="GJ3095" s="145"/>
      <c r="GK3095" s="145"/>
      <c r="GL3095" s="145"/>
      <c r="GM3095" s="145"/>
      <c r="GN3095" s="145"/>
      <c r="GO3095" s="145"/>
      <c r="GP3095" s="145"/>
      <c r="GQ3095" s="145"/>
      <c r="GR3095" s="145"/>
      <c r="GS3095" s="145"/>
      <c r="GT3095" s="145"/>
      <c r="GU3095" s="145"/>
      <c r="GV3095" s="145"/>
      <c r="GW3095" s="145"/>
      <c r="GX3095" s="145"/>
      <c r="GY3095" s="145"/>
      <c r="GZ3095" s="145"/>
      <c r="HA3095" s="145"/>
      <c r="HB3095" s="145"/>
      <c r="HC3095" s="145"/>
      <c r="HD3095" s="145"/>
      <c r="HE3095" s="145"/>
    </row>
    <row r="3096" spans="1:214" x14ac:dyDescent="0.35">
      <c r="A3096" s="277">
        <f>A3093+1</f>
        <v>55</v>
      </c>
      <c r="B3096" s="277">
        <v>8169</v>
      </c>
      <c r="C3096" s="266" t="s">
        <v>583</v>
      </c>
      <c r="D3096" s="287">
        <v>3616.91</v>
      </c>
      <c r="E3096" s="276" t="s">
        <v>74</v>
      </c>
      <c r="F3096" s="276">
        <v>4</v>
      </c>
      <c r="G3096" s="277" t="s">
        <v>71</v>
      </c>
      <c r="H3096" s="136" t="s">
        <v>72</v>
      </c>
      <c r="I3096" s="181">
        <f>I3097+I3098</f>
        <v>17100750.48</v>
      </c>
      <c r="J3096" s="181">
        <f>J3097+J3098</f>
        <v>4728</v>
      </c>
      <c r="K3096" s="181">
        <f>K3097+K3098</f>
        <v>4728</v>
      </c>
      <c r="L3096" s="145"/>
      <c r="M3096" s="145"/>
      <c r="N3096" s="145"/>
      <c r="O3096" s="145"/>
      <c r="P3096" s="145"/>
      <c r="Q3096" s="145"/>
      <c r="R3096" s="145"/>
      <c r="S3096" s="145"/>
      <c r="T3096" s="145"/>
      <c r="U3096" s="145"/>
      <c r="V3096" s="145"/>
      <c r="W3096" s="145"/>
      <c r="X3096" s="145"/>
      <c r="Y3096" s="145"/>
      <c r="Z3096" s="145"/>
      <c r="AA3096" s="145"/>
      <c r="AB3096" s="145"/>
      <c r="AC3096" s="145"/>
      <c r="AD3096" s="145"/>
      <c r="AE3096" s="145"/>
      <c r="AF3096" s="145"/>
      <c r="AG3096" s="145"/>
      <c r="AH3096" s="145"/>
      <c r="AI3096" s="145"/>
      <c r="AJ3096" s="145"/>
      <c r="AK3096" s="145"/>
      <c r="AL3096" s="145"/>
      <c r="AM3096" s="145"/>
      <c r="AN3096" s="145"/>
      <c r="AO3096" s="145"/>
      <c r="AP3096" s="145"/>
      <c r="AQ3096" s="145"/>
      <c r="AR3096" s="145"/>
      <c r="AS3096" s="145"/>
      <c r="AT3096" s="145"/>
      <c r="AU3096" s="145"/>
      <c r="AV3096" s="145"/>
      <c r="AW3096" s="145"/>
      <c r="AX3096" s="145"/>
      <c r="AY3096" s="145"/>
      <c r="AZ3096" s="145"/>
      <c r="BA3096" s="145"/>
      <c r="BB3096" s="145"/>
      <c r="BC3096" s="145"/>
      <c r="BD3096" s="145"/>
      <c r="BE3096" s="145"/>
      <c r="BF3096" s="145"/>
      <c r="BG3096" s="145"/>
      <c r="BH3096" s="145"/>
      <c r="BI3096" s="145"/>
      <c r="BJ3096" s="145"/>
      <c r="BK3096" s="145"/>
      <c r="BL3096" s="145"/>
      <c r="BM3096" s="145"/>
      <c r="BN3096" s="145"/>
      <c r="BO3096" s="145"/>
      <c r="BP3096" s="145"/>
      <c r="BQ3096" s="145"/>
      <c r="BR3096" s="145"/>
      <c r="BS3096" s="145"/>
      <c r="BT3096" s="145"/>
      <c r="BU3096" s="145"/>
      <c r="BV3096" s="145"/>
      <c r="BW3096" s="145"/>
      <c r="BX3096" s="145"/>
      <c r="BY3096" s="145"/>
      <c r="BZ3096" s="145"/>
      <c r="CA3096" s="145"/>
      <c r="CB3096" s="145"/>
      <c r="CC3096" s="145"/>
      <c r="CD3096" s="145"/>
      <c r="CE3096" s="145"/>
      <c r="CF3096" s="145"/>
      <c r="CG3096" s="145"/>
      <c r="CH3096" s="145"/>
      <c r="CI3096" s="145"/>
      <c r="CJ3096" s="145"/>
      <c r="CK3096" s="145"/>
      <c r="CL3096" s="145"/>
      <c r="CM3096" s="145"/>
      <c r="CN3096" s="145"/>
      <c r="CO3096" s="145"/>
      <c r="CP3096" s="145"/>
      <c r="CQ3096" s="145"/>
      <c r="CR3096" s="145"/>
      <c r="CS3096" s="145"/>
      <c r="CT3096" s="145"/>
      <c r="CU3096" s="145"/>
      <c r="CV3096" s="145"/>
      <c r="CW3096" s="145"/>
      <c r="CX3096" s="145"/>
      <c r="CY3096" s="145"/>
      <c r="CZ3096" s="145"/>
      <c r="DA3096" s="145"/>
      <c r="DB3096" s="145"/>
      <c r="DC3096" s="145"/>
      <c r="DD3096" s="145"/>
      <c r="DE3096" s="145"/>
      <c r="DF3096" s="145"/>
      <c r="DG3096" s="145"/>
      <c r="DH3096" s="145"/>
      <c r="DI3096" s="145"/>
      <c r="DJ3096" s="145"/>
      <c r="DK3096" s="145"/>
      <c r="DL3096" s="145"/>
      <c r="DM3096" s="145"/>
      <c r="DN3096" s="145"/>
      <c r="DO3096" s="145"/>
      <c r="DP3096" s="145"/>
      <c r="DQ3096" s="145"/>
      <c r="DR3096" s="145"/>
      <c r="DS3096" s="145"/>
      <c r="DT3096" s="145"/>
      <c r="DU3096" s="145"/>
      <c r="DV3096" s="145"/>
      <c r="DW3096" s="145"/>
      <c r="DX3096" s="145"/>
      <c r="DY3096" s="145"/>
      <c r="DZ3096" s="145"/>
      <c r="EA3096" s="145"/>
      <c r="EB3096" s="145"/>
      <c r="EC3096" s="145"/>
      <c r="ED3096" s="145"/>
      <c r="EE3096" s="145"/>
      <c r="EF3096" s="145"/>
      <c r="EG3096" s="145"/>
      <c r="EH3096" s="145"/>
      <c r="EI3096" s="145"/>
      <c r="EJ3096" s="145"/>
      <c r="EK3096" s="145"/>
      <c r="EL3096" s="145"/>
      <c r="EM3096" s="145"/>
      <c r="EN3096" s="145"/>
      <c r="EO3096" s="145"/>
      <c r="EP3096" s="145"/>
      <c r="EQ3096" s="145"/>
      <c r="ER3096" s="145"/>
      <c r="ES3096" s="145"/>
      <c r="ET3096" s="145"/>
      <c r="EU3096" s="145"/>
      <c r="EV3096" s="145"/>
      <c r="EW3096" s="145"/>
      <c r="EX3096" s="145"/>
      <c r="EY3096" s="145"/>
      <c r="EZ3096" s="145"/>
      <c r="FA3096" s="145"/>
      <c r="FB3096" s="145"/>
      <c r="FC3096" s="145"/>
      <c r="FD3096" s="145"/>
      <c r="FE3096" s="145"/>
      <c r="FF3096" s="145"/>
      <c r="FG3096" s="145"/>
      <c r="FH3096" s="145"/>
      <c r="FI3096" s="145"/>
      <c r="FJ3096" s="145"/>
      <c r="FK3096" s="145"/>
      <c r="FL3096" s="145"/>
      <c r="FM3096" s="145"/>
      <c r="FN3096" s="145"/>
      <c r="FO3096" s="145"/>
      <c r="FP3096" s="145"/>
      <c r="FQ3096" s="145"/>
      <c r="FR3096" s="145"/>
      <c r="FS3096" s="145"/>
      <c r="FT3096" s="145"/>
      <c r="FU3096" s="145"/>
      <c r="FV3096" s="145"/>
      <c r="FW3096" s="145"/>
      <c r="FX3096" s="145"/>
      <c r="FY3096" s="145"/>
      <c r="FZ3096" s="145"/>
      <c r="GA3096" s="145"/>
      <c r="GB3096" s="145"/>
      <c r="GC3096" s="145"/>
      <c r="GD3096" s="145"/>
      <c r="GE3096" s="145"/>
      <c r="GF3096" s="145"/>
      <c r="GG3096" s="145"/>
      <c r="GH3096" s="145"/>
      <c r="GI3096" s="145"/>
      <c r="GJ3096" s="145"/>
      <c r="GK3096" s="145"/>
      <c r="GL3096" s="145"/>
      <c r="GM3096" s="145"/>
      <c r="GN3096" s="145"/>
      <c r="GO3096" s="145"/>
      <c r="GP3096" s="145"/>
      <c r="GQ3096" s="145"/>
      <c r="GR3096" s="145"/>
      <c r="GS3096" s="145"/>
      <c r="GT3096" s="145"/>
      <c r="GU3096" s="145"/>
      <c r="GV3096" s="145"/>
      <c r="GW3096" s="145"/>
      <c r="GX3096" s="145"/>
      <c r="GY3096" s="145"/>
      <c r="GZ3096" s="145"/>
      <c r="HA3096" s="145"/>
      <c r="HB3096" s="145"/>
      <c r="HC3096" s="145"/>
      <c r="HD3096" s="145"/>
      <c r="HE3096" s="145"/>
    </row>
    <row r="3097" spans="1:214" x14ac:dyDescent="0.35">
      <c r="A3097" s="277">
        <v>75</v>
      </c>
      <c r="B3097" s="277"/>
      <c r="C3097" s="266"/>
      <c r="D3097" s="287"/>
      <c r="E3097" s="276"/>
      <c r="F3097" s="276"/>
      <c r="G3097" s="277"/>
      <c r="H3097" s="136" t="s">
        <v>73</v>
      </c>
      <c r="I3097" s="181">
        <f>D3096*K3097</f>
        <v>16742676.390000001</v>
      </c>
      <c r="J3097" s="181">
        <f>I3097/D3096</f>
        <v>4629</v>
      </c>
      <c r="K3097" s="181">
        <v>4629</v>
      </c>
    </row>
    <row r="3098" spans="1:214" x14ac:dyDescent="0.35">
      <c r="A3098" s="277">
        <v>76</v>
      </c>
      <c r="B3098" s="277"/>
      <c r="C3098" s="266"/>
      <c r="D3098" s="287"/>
      <c r="E3098" s="276"/>
      <c r="F3098" s="276"/>
      <c r="G3098" s="277"/>
      <c r="H3098" s="136" t="s">
        <v>75</v>
      </c>
      <c r="I3098" s="181">
        <f>D3096*K3098</f>
        <v>358074.09</v>
      </c>
      <c r="J3098" s="181">
        <f>I3098/D3096</f>
        <v>99</v>
      </c>
      <c r="K3098" s="181">
        <v>99</v>
      </c>
    </row>
    <row r="3099" spans="1:214" x14ac:dyDescent="0.35">
      <c r="A3099" s="270">
        <f>A3096+1</f>
        <v>56</v>
      </c>
      <c r="B3099" s="270">
        <v>2536</v>
      </c>
      <c r="C3099" s="262" t="s">
        <v>137</v>
      </c>
      <c r="D3099" s="273">
        <v>775.9</v>
      </c>
      <c r="E3099" s="267" t="s">
        <v>79</v>
      </c>
      <c r="F3099" s="267">
        <v>3</v>
      </c>
      <c r="G3099" s="270" t="s">
        <v>84</v>
      </c>
      <c r="H3099" s="136" t="s">
        <v>72</v>
      </c>
      <c r="I3099" s="181">
        <f>I3100+I3101</f>
        <v>3875620.5</v>
      </c>
      <c r="J3099" s="181">
        <f>J3100+J3101</f>
        <v>4995</v>
      </c>
      <c r="K3099" s="181">
        <f>K3100+K3101</f>
        <v>4995</v>
      </c>
      <c r="L3099" s="145"/>
      <c r="M3099" s="145"/>
      <c r="N3099" s="145"/>
      <c r="O3099" s="145"/>
      <c r="P3099" s="145"/>
      <c r="Q3099" s="145"/>
      <c r="R3099" s="145"/>
      <c r="S3099" s="145"/>
      <c r="T3099" s="145"/>
      <c r="U3099" s="145"/>
      <c r="V3099" s="145"/>
      <c r="W3099" s="145"/>
      <c r="X3099" s="145"/>
      <c r="Y3099" s="145"/>
      <c r="Z3099" s="145"/>
      <c r="AA3099" s="145"/>
      <c r="AB3099" s="145"/>
      <c r="AC3099" s="145"/>
      <c r="AD3099" s="145"/>
      <c r="AE3099" s="145"/>
      <c r="AF3099" s="145"/>
      <c r="AG3099" s="145"/>
      <c r="AH3099" s="145"/>
      <c r="AI3099" s="145"/>
      <c r="AJ3099" s="145"/>
      <c r="AK3099" s="145"/>
      <c r="AL3099" s="145"/>
      <c r="AM3099" s="145"/>
      <c r="AN3099" s="145"/>
      <c r="AO3099" s="145"/>
      <c r="AP3099" s="145"/>
      <c r="AQ3099" s="145"/>
      <c r="AR3099" s="145"/>
      <c r="AS3099" s="145"/>
      <c r="AT3099" s="145"/>
      <c r="AU3099" s="145"/>
      <c r="AV3099" s="145"/>
      <c r="AW3099" s="145"/>
      <c r="AX3099" s="145"/>
      <c r="AY3099" s="145"/>
      <c r="AZ3099" s="145"/>
      <c r="BA3099" s="145"/>
      <c r="BB3099" s="145"/>
      <c r="BC3099" s="145"/>
      <c r="BD3099" s="145"/>
      <c r="BE3099" s="145"/>
      <c r="BF3099" s="145"/>
      <c r="BG3099" s="145"/>
      <c r="BH3099" s="145"/>
      <c r="BI3099" s="145"/>
      <c r="BJ3099" s="145"/>
      <c r="BK3099" s="145"/>
      <c r="BL3099" s="145"/>
      <c r="BM3099" s="145"/>
      <c r="BN3099" s="145"/>
      <c r="BO3099" s="145"/>
      <c r="BP3099" s="145"/>
      <c r="BQ3099" s="145"/>
      <c r="BR3099" s="145"/>
      <c r="BS3099" s="145"/>
      <c r="BT3099" s="145"/>
      <c r="BU3099" s="145"/>
      <c r="BV3099" s="145"/>
      <c r="BW3099" s="145"/>
      <c r="BX3099" s="145"/>
      <c r="BY3099" s="145"/>
      <c r="BZ3099" s="145"/>
      <c r="CA3099" s="145"/>
      <c r="CB3099" s="145"/>
      <c r="CC3099" s="145"/>
      <c r="CD3099" s="145"/>
      <c r="CE3099" s="145"/>
      <c r="CF3099" s="145"/>
      <c r="CG3099" s="145"/>
      <c r="CH3099" s="145"/>
      <c r="CI3099" s="145"/>
      <c r="CJ3099" s="145"/>
      <c r="CK3099" s="145"/>
      <c r="CL3099" s="145"/>
      <c r="CM3099" s="145"/>
      <c r="CN3099" s="145"/>
      <c r="CO3099" s="145"/>
      <c r="CP3099" s="145"/>
      <c r="CQ3099" s="145"/>
      <c r="CR3099" s="145"/>
      <c r="CS3099" s="145"/>
      <c r="CT3099" s="145"/>
      <c r="CU3099" s="145"/>
      <c r="CV3099" s="145"/>
      <c r="CW3099" s="145"/>
      <c r="CX3099" s="145"/>
      <c r="CY3099" s="145"/>
      <c r="CZ3099" s="145"/>
      <c r="DA3099" s="145"/>
      <c r="DB3099" s="145"/>
      <c r="DC3099" s="145"/>
      <c r="DD3099" s="145"/>
      <c r="DE3099" s="145"/>
      <c r="DF3099" s="145"/>
      <c r="DG3099" s="145"/>
      <c r="DH3099" s="145"/>
      <c r="DI3099" s="145"/>
      <c r="DJ3099" s="145"/>
      <c r="DK3099" s="145"/>
      <c r="DL3099" s="145"/>
      <c r="DM3099" s="145"/>
      <c r="DN3099" s="145"/>
      <c r="DO3099" s="145"/>
      <c r="DP3099" s="145"/>
      <c r="DQ3099" s="145"/>
      <c r="DR3099" s="145"/>
      <c r="DS3099" s="145"/>
      <c r="DT3099" s="145"/>
      <c r="DU3099" s="145"/>
      <c r="DV3099" s="145"/>
      <c r="DW3099" s="145"/>
      <c r="DX3099" s="145"/>
      <c r="DY3099" s="145"/>
      <c r="DZ3099" s="145"/>
      <c r="EA3099" s="145"/>
      <c r="EB3099" s="145"/>
      <c r="EC3099" s="145"/>
      <c r="ED3099" s="145"/>
      <c r="EE3099" s="145"/>
      <c r="EF3099" s="145"/>
      <c r="EG3099" s="145"/>
      <c r="EH3099" s="145"/>
      <c r="EI3099" s="145"/>
      <c r="EJ3099" s="145"/>
      <c r="EK3099" s="145"/>
      <c r="EL3099" s="145"/>
      <c r="EM3099" s="145"/>
      <c r="EN3099" s="145"/>
      <c r="EO3099" s="145"/>
      <c r="EP3099" s="145"/>
      <c r="EQ3099" s="145"/>
      <c r="ER3099" s="145"/>
      <c r="ES3099" s="145"/>
      <c r="ET3099" s="145"/>
      <c r="EU3099" s="145"/>
      <c r="EV3099" s="145"/>
      <c r="EW3099" s="145"/>
      <c r="EX3099" s="145"/>
      <c r="EY3099" s="145"/>
      <c r="EZ3099" s="145"/>
      <c r="FA3099" s="145"/>
      <c r="FB3099" s="145"/>
      <c r="FC3099" s="145"/>
      <c r="FD3099" s="145"/>
      <c r="FE3099" s="145"/>
      <c r="FF3099" s="145"/>
      <c r="FG3099" s="145"/>
      <c r="FH3099" s="145"/>
      <c r="FI3099" s="145"/>
      <c r="FJ3099" s="145"/>
      <c r="FK3099" s="145"/>
      <c r="FL3099" s="145"/>
      <c r="FM3099" s="145"/>
      <c r="FN3099" s="145"/>
      <c r="FO3099" s="145"/>
      <c r="FP3099" s="145"/>
      <c r="FQ3099" s="145"/>
      <c r="FR3099" s="145"/>
      <c r="FS3099" s="145"/>
      <c r="FT3099" s="145"/>
      <c r="FU3099" s="145"/>
      <c r="FV3099" s="145"/>
      <c r="FW3099" s="145"/>
      <c r="FX3099" s="145"/>
      <c r="FY3099" s="145"/>
      <c r="FZ3099" s="145"/>
      <c r="GA3099" s="145"/>
      <c r="GB3099" s="145"/>
      <c r="GC3099" s="145"/>
      <c r="GD3099" s="145"/>
      <c r="GE3099" s="145"/>
      <c r="GF3099" s="145"/>
      <c r="GG3099" s="145"/>
      <c r="GH3099" s="145"/>
      <c r="GI3099" s="145"/>
      <c r="GJ3099" s="145"/>
      <c r="GK3099" s="145"/>
      <c r="GL3099" s="145"/>
      <c r="GM3099" s="145"/>
      <c r="GN3099" s="145"/>
      <c r="GO3099" s="145"/>
      <c r="GP3099" s="145"/>
      <c r="GQ3099" s="145"/>
      <c r="GR3099" s="145"/>
      <c r="GS3099" s="145"/>
      <c r="GT3099" s="145"/>
      <c r="GU3099" s="145"/>
      <c r="GV3099" s="145"/>
      <c r="GW3099" s="145"/>
      <c r="GX3099" s="145"/>
      <c r="GY3099" s="145"/>
      <c r="GZ3099" s="145"/>
      <c r="HA3099" s="145"/>
      <c r="HB3099" s="145"/>
      <c r="HC3099" s="145"/>
      <c r="HD3099" s="145"/>
      <c r="HE3099" s="145"/>
      <c r="HF3099" s="145"/>
    </row>
    <row r="3100" spans="1:214" x14ac:dyDescent="0.35">
      <c r="A3100" s="271"/>
      <c r="B3100" s="271"/>
      <c r="C3100" s="263"/>
      <c r="D3100" s="274"/>
      <c r="E3100" s="268"/>
      <c r="F3100" s="268"/>
      <c r="G3100" s="271"/>
      <c r="H3100" s="136" t="s">
        <v>73</v>
      </c>
      <c r="I3100" s="181">
        <f>D3099*K3100</f>
        <v>3794151</v>
      </c>
      <c r="J3100" s="181">
        <f>I3100/D3099</f>
        <v>4890</v>
      </c>
      <c r="K3100" s="181">
        <v>4890</v>
      </c>
      <c r="L3100" s="145"/>
      <c r="M3100" s="145"/>
      <c r="N3100" s="145"/>
      <c r="O3100" s="145"/>
      <c r="P3100" s="145"/>
      <c r="Q3100" s="145"/>
      <c r="R3100" s="145"/>
      <c r="S3100" s="145"/>
      <c r="T3100" s="145"/>
      <c r="U3100" s="145"/>
      <c r="V3100" s="145"/>
      <c r="W3100" s="145"/>
      <c r="X3100" s="145"/>
      <c r="Y3100" s="145"/>
      <c r="Z3100" s="145"/>
      <c r="AA3100" s="145"/>
      <c r="AB3100" s="145"/>
      <c r="AC3100" s="145"/>
      <c r="AD3100" s="145"/>
      <c r="AE3100" s="145"/>
      <c r="AF3100" s="145"/>
      <c r="AG3100" s="145"/>
      <c r="AH3100" s="145"/>
      <c r="AI3100" s="145"/>
      <c r="AJ3100" s="145"/>
      <c r="AK3100" s="145"/>
      <c r="AL3100" s="145"/>
      <c r="AM3100" s="145"/>
      <c r="AN3100" s="145"/>
      <c r="AO3100" s="145"/>
      <c r="AP3100" s="145"/>
      <c r="AQ3100" s="145"/>
      <c r="AR3100" s="145"/>
      <c r="AS3100" s="145"/>
      <c r="AT3100" s="145"/>
      <c r="AU3100" s="145"/>
      <c r="AV3100" s="145"/>
      <c r="AW3100" s="145"/>
      <c r="AX3100" s="145"/>
      <c r="AY3100" s="145"/>
      <c r="AZ3100" s="145"/>
      <c r="BA3100" s="145"/>
      <c r="BB3100" s="145"/>
      <c r="BC3100" s="145"/>
      <c r="BD3100" s="145"/>
      <c r="BE3100" s="145"/>
      <c r="BF3100" s="145"/>
      <c r="BG3100" s="145"/>
      <c r="BH3100" s="145"/>
      <c r="BI3100" s="145"/>
      <c r="BJ3100" s="145"/>
      <c r="BK3100" s="145"/>
      <c r="BL3100" s="145"/>
      <c r="BM3100" s="145"/>
      <c r="BN3100" s="145"/>
      <c r="BO3100" s="145"/>
      <c r="BP3100" s="145"/>
      <c r="BQ3100" s="145"/>
      <c r="BR3100" s="145"/>
      <c r="BS3100" s="145"/>
      <c r="BT3100" s="145"/>
      <c r="BU3100" s="145"/>
      <c r="BV3100" s="145"/>
      <c r="BW3100" s="145"/>
      <c r="BX3100" s="145"/>
      <c r="BY3100" s="145"/>
      <c r="BZ3100" s="145"/>
      <c r="CA3100" s="145"/>
      <c r="CB3100" s="145"/>
      <c r="CC3100" s="145"/>
      <c r="CD3100" s="145"/>
      <c r="CE3100" s="145"/>
      <c r="CF3100" s="145"/>
      <c r="CG3100" s="145"/>
      <c r="CH3100" s="145"/>
      <c r="CI3100" s="145"/>
      <c r="CJ3100" s="145"/>
      <c r="CK3100" s="145"/>
      <c r="CL3100" s="145"/>
      <c r="CM3100" s="145"/>
      <c r="CN3100" s="145"/>
      <c r="CO3100" s="145"/>
      <c r="CP3100" s="145"/>
      <c r="CQ3100" s="145"/>
      <c r="CR3100" s="145"/>
      <c r="CS3100" s="145"/>
      <c r="CT3100" s="145"/>
      <c r="CU3100" s="145"/>
      <c r="CV3100" s="145"/>
      <c r="CW3100" s="145"/>
      <c r="CX3100" s="145"/>
      <c r="CY3100" s="145"/>
      <c r="CZ3100" s="145"/>
      <c r="DA3100" s="145"/>
      <c r="DB3100" s="145"/>
      <c r="DC3100" s="145"/>
      <c r="DD3100" s="145"/>
      <c r="DE3100" s="145"/>
      <c r="DF3100" s="145"/>
      <c r="DG3100" s="145"/>
      <c r="DH3100" s="145"/>
      <c r="DI3100" s="145"/>
      <c r="DJ3100" s="145"/>
      <c r="DK3100" s="145"/>
      <c r="DL3100" s="145"/>
      <c r="DM3100" s="145"/>
      <c r="DN3100" s="145"/>
      <c r="DO3100" s="145"/>
      <c r="DP3100" s="145"/>
      <c r="DQ3100" s="145"/>
      <c r="DR3100" s="145"/>
      <c r="DS3100" s="145"/>
      <c r="DT3100" s="145"/>
      <c r="DU3100" s="145"/>
      <c r="DV3100" s="145"/>
      <c r="DW3100" s="145"/>
      <c r="DX3100" s="145"/>
      <c r="DY3100" s="145"/>
      <c r="DZ3100" s="145"/>
      <c r="EA3100" s="145"/>
      <c r="EB3100" s="145"/>
      <c r="EC3100" s="145"/>
      <c r="ED3100" s="145"/>
      <c r="EE3100" s="145"/>
      <c r="EF3100" s="145"/>
      <c r="EG3100" s="145"/>
      <c r="EH3100" s="145"/>
      <c r="EI3100" s="145"/>
      <c r="EJ3100" s="145"/>
      <c r="EK3100" s="145"/>
      <c r="EL3100" s="145"/>
      <c r="EM3100" s="145"/>
      <c r="EN3100" s="145"/>
      <c r="EO3100" s="145"/>
      <c r="EP3100" s="145"/>
      <c r="EQ3100" s="145"/>
      <c r="ER3100" s="145"/>
      <c r="ES3100" s="145"/>
      <c r="ET3100" s="145"/>
      <c r="EU3100" s="145"/>
      <c r="EV3100" s="145"/>
      <c r="EW3100" s="145"/>
      <c r="EX3100" s="145"/>
      <c r="EY3100" s="145"/>
      <c r="EZ3100" s="145"/>
      <c r="FA3100" s="145"/>
      <c r="FB3100" s="145"/>
      <c r="FC3100" s="145"/>
      <c r="FD3100" s="145"/>
      <c r="FE3100" s="145"/>
      <c r="FF3100" s="145"/>
      <c r="FG3100" s="145"/>
      <c r="FH3100" s="145"/>
      <c r="FI3100" s="145"/>
      <c r="FJ3100" s="145"/>
      <c r="FK3100" s="145"/>
      <c r="FL3100" s="145"/>
      <c r="FM3100" s="145"/>
      <c r="FN3100" s="145"/>
      <c r="FO3100" s="145"/>
      <c r="FP3100" s="145"/>
      <c r="FQ3100" s="145"/>
      <c r="FR3100" s="145"/>
      <c r="FS3100" s="145"/>
      <c r="FT3100" s="145"/>
      <c r="FU3100" s="145"/>
      <c r="FV3100" s="145"/>
      <c r="FW3100" s="145"/>
      <c r="FX3100" s="145"/>
      <c r="FY3100" s="145"/>
      <c r="FZ3100" s="145"/>
      <c r="GA3100" s="145"/>
      <c r="GB3100" s="145"/>
      <c r="GC3100" s="145"/>
      <c r="GD3100" s="145"/>
      <c r="GE3100" s="145"/>
      <c r="GF3100" s="145"/>
      <c r="GG3100" s="145"/>
      <c r="GH3100" s="145"/>
      <c r="GI3100" s="145"/>
      <c r="GJ3100" s="145"/>
      <c r="GK3100" s="145"/>
      <c r="GL3100" s="145"/>
      <c r="GM3100" s="145"/>
      <c r="GN3100" s="145"/>
      <c r="GO3100" s="145"/>
      <c r="GP3100" s="145"/>
      <c r="GQ3100" s="145"/>
      <c r="GR3100" s="145"/>
      <c r="GS3100" s="145"/>
      <c r="GT3100" s="145"/>
      <c r="GU3100" s="145"/>
      <c r="GV3100" s="145"/>
      <c r="GW3100" s="145"/>
      <c r="GX3100" s="145"/>
      <c r="GY3100" s="145"/>
      <c r="GZ3100" s="145"/>
      <c r="HA3100" s="145"/>
      <c r="HB3100" s="145"/>
      <c r="HC3100" s="145"/>
      <c r="HD3100" s="145"/>
      <c r="HE3100" s="145"/>
      <c r="HF3100" s="145"/>
    </row>
    <row r="3101" spans="1:214" x14ac:dyDescent="0.35">
      <c r="A3101" s="271"/>
      <c r="B3101" s="271"/>
      <c r="C3101" s="263"/>
      <c r="D3101" s="274"/>
      <c r="E3101" s="268"/>
      <c r="F3101" s="268"/>
      <c r="G3101" s="272"/>
      <c r="H3101" s="136" t="s">
        <v>75</v>
      </c>
      <c r="I3101" s="181">
        <f>D3099*K3101</f>
        <v>81469.5</v>
      </c>
      <c r="J3101" s="181">
        <f>I3101/D3099</f>
        <v>105</v>
      </c>
      <c r="K3101" s="181">
        <v>105</v>
      </c>
      <c r="L3101" s="145"/>
      <c r="M3101" s="145"/>
      <c r="N3101" s="145"/>
      <c r="O3101" s="145"/>
      <c r="P3101" s="145"/>
      <c r="Q3101" s="145"/>
      <c r="R3101" s="145"/>
      <c r="S3101" s="145"/>
      <c r="T3101" s="145"/>
      <c r="U3101" s="145"/>
      <c r="V3101" s="145"/>
      <c r="W3101" s="145"/>
      <c r="X3101" s="145"/>
      <c r="Y3101" s="145"/>
      <c r="Z3101" s="145"/>
      <c r="AA3101" s="145"/>
      <c r="AB3101" s="145"/>
      <c r="AC3101" s="145"/>
      <c r="AD3101" s="145"/>
      <c r="AE3101" s="145"/>
      <c r="AF3101" s="145"/>
      <c r="AG3101" s="145"/>
      <c r="AH3101" s="145"/>
      <c r="AI3101" s="145"/>
      <c r="AJ3101" s="145"/>
      <c r="AK3101" s="145"/>
      <c r="AL3101" s="145"/>
      <c r="AM3101" s="145"/>
      <c r="AN3101" s="145"/>
      <c r="AO3101" s="145"/>
      <c r="AP3101" s="145"/>
      <c r="AQ3101" s="145"/>
      <c r="AR3101" s="145"/>
      <c r="AS3101" s="145"/>
      <c r="AT3101" s="145"/>
      <c r="AU3101" s="145"/>
      <c r="AV3101" s="145"/>
      <c r="AW3101" s="145"/>
      <c r="AX3101" s="145"/>
      <c r="AY3101" s="145"/>
      <c r="AZ3101" s="145"/>
      <c r="BA3101" s="145"/>
      <c r="BB3101" s="145"/>
      <c r="BC3101" s="145"/>
      <c r="BD3101" s="145"/>
      <c r="BE3101" s="145"/>
      <c r="BF3101" s="145"/>
      <c r="BG3101" s="145"/>
      <c r="BH3101" s="145"/>
      <c r="BI3101" s="145"/>
      <c r="BJ3101" s="145"/>
      <c r="BK3101" s="145"/>
      <c r="BL3101" s="145"/>
      <c r="BM3101" s="145"/>
      <c r="BN3101" s="145"/>
      <c r="BO3101" s="145"/>
      <c r="BP3101" s="145"/>
      <c r="BQ3101" s="145"/>
      <c r="BR3101" s="145"/>
      <c r="BS3101" s="145"/>
      <c r="BT3101" s="145"/>
      <c r="BU3101" s="145"/>
      <c r="BV3101" s="145"/>
      <c r="BW3101" s="145"/>
      <c r="BX3101" s="145"/>
      <c r="BY3101" s="145"/>
      <c r="BZ3101" s="145"/>
      <c r="CA3101" s="145"/>
      <c r="CB3101" s="145"/>
      <c r="CC3101" s="145"/>
      <c r="CD3101" s="145"/>
      <c r="CE3101" s="145"/>
      <c r="CF3101" s="145"/>
      <c r="CG3101" s="145"/>
      <c r="CH3101" s="145"/>
      <c r="CI3101" s="145"/>
      <c r="CJ3101" s="145"/>
      <c r="CK3101" s="145"/>
      <c r="CL3101" s="145"/>
      <c r="CM3101" s="145"/>
      <c r="CN3101" s="145"/>
      <c r="CO3101" s="145"/>
      <c r="CP3101" s="145"/>
      <c r="CQ3101" s="145"/>
      <c r="CR3101" s="145"/>
      <c r="CS3101" s="145"/>
      <c r="CT3101" s="145"/>
      <c r="CU3101" s="145"/>
      <c r="CV3101" s="145"/>
      <c r="CW3101" s="145"/>
      <c r="CX3101" s="145"/>
      <c r="CY3101" s="145"/>
      <c r="CZ3101" s="145"/>
      <c r="DA3101" s="145"/>
      <c r="DB3101" s="145"/>
      <c r="DC3101" s="145"/>
      <c r="DD3101" s="145"/>
      <c r="DE3101" s="145"/>
      <c r="DF3101" s="145"/>
      <c r="DG3101" s="145"/>
      <c r="DH3101" s="145"/>
      <c r="DI3101" s="145"/>
      <c r="DJ3101" s="145"/>
      <c r="DK3101" s="145"/>
      <c r="DL3101" s="145"/>
      <c r="DM3101" s="145"/>
      <c r="DN3101" s="145"/>
      <c r="DO3101" s="145"/>
      <c r="DP3101" s="145"/>
      <c r="DQ3101" s="145"/>
      <c r="DR3101" s="145"/>
      <c r="DS3101" s="145"/>
      <c r="DT3101" s="145"/>
      <c r="DU3101" s="145"/>
      <c r="DV3101" s="145"/>
      <c r="DW3101" s="145"/>
      <c r="DX3101" s="145"/>
      <c r="DY3101" s="145"/>
      <c r="DZ3101" s="145"/>
      <c r="EA3101" s="145"/>
      <c r="EB3101" s="145"/>
      <c r="EC3101" s="145"/>
      <c r="ED3101" s="145"/>
      <c r="EE3101" s="145"/>
      <c r="EF3101" s="145"/>
      <c r="EG3101" s="145"/>
      <c r="EH3101" s="145"/>
      <c r="EI3101" s="145"/>
      <c r="EJ3101" s="145"/>
      <c r="EK3101" s="145"/>
      <c r="EL3101" s="145"/>
      <c r="EM3101" s="145"/>
      <c r="EN3101" s="145"/>
      <c r="EO3101" s="145"/>
      <c r="EP3101" s="145"/>
      <c r="EQ3101" s="145"/>
      <c r="ER3101" s="145"/>
      <c r="ES3101" s="145"/>
      <c r="ET3101" s="145"/>
      <c r="EU3101" s="145"/>
      <c r="EV3101" s="145"/>
      <c r="EW3101" s="145"/>
      <c r="EX3101" s="145"/>
      <c r="EY3101" s="145"/>
      <c r="EZ3101" s="145"/>
      <c r="FA3101" s="145"/>
      <c r="FB3101" s="145"/>
      <c r="FC3101" s="145"/>
      <c r="FD3101" s="145"/>
      <c r="FE3101" s="145"/>
      <c r="FF3101" s="145"/>
      <c r="FG3101" s="145"/>
      <c r="FH3101" s="145"/>
      <c r="FI3101" s="145"/>
      <c r="FJ3101" s="145"/>
      <c r="FK3101" s="145"/>
      <c r="FL3101" s="145"/>
      <c r="FM3101" s="145"/>
      <c r="FN3101" s="145"/>
      <c r="FO3101" s="145"/>
      <c r="FP3101" s="145"/>
      <c r="FQ3101" s="145"/>
      <c r="FR3101" s="145"/>
      <c r="FS3101" s="145"/>
      <c r="FT3101" s="145"/>
      <c r="FU3101" s="145"/>
      <c r="FV3101" s="145"/>
      <c r="FW3101" s="145"/>
      <c r="FX3101" s="145"/>
      <c r="FY3101" s="145"/>
      <c r="FZ3101" s="145"/>
      <c r="GA3101" s="145"/>
      <c r="GB3101" s="145"/>
      <c r="GC3101" s="145"/>
      <c r="GD3101" s="145"/>
      <c r="GE3101" s="145"/>
      <c r="GF3101" s="145"/>
      <c r="GG3101" s="145"/>
      <c r="GH3101" s="145"/>
      <c r="GI3101" s="145"/>
      <c r="GJ3101" s="145"/>
      <c r="GK3101" s="145"/>
      <c r="GL3101" s="145"/>
      <c r="GM3101" s="145"/>
      <c r="GN3101" s="145"/>
      <c r="GO3101" s="145"/>
      <c r="GP3101" s="145"/>
      <c r="GQ3101" s="145"/>
      <c r="GR3101" s="145"/>
      <c r="GS3101" s="145"/>
      <c r="GT3101" s="145"/>
      <c r="GU3101" s="145"/>
      <c r="GV3101" s="145"/>
      <c r="GW3101" s="145"/>
      <c r="GX3101" s="145"/>
      <c r="GY3101" s="145"/>
      <c r="GZ3101" s="145"/>
      <c r="HA3101" s="145"/>
      <c r="HB3101" s="145"/>
      <c r="HC3101" s="145"/>
      <c r="HD3101" s="145"/>
      <c r="HE3101" s="145"/>
      <c r="HF3101" s="145"/>
    </row>
    <row r="3102" spans="1:214" x14ac:dyDescent="0.35">
      <c r="A3102" s="277">
        <f>A3099+1</f>
        <v>57</v>
      </c>
      <c r="B3102" s="277">
        <v>2409</v>
      </c>
      <c r="C3102" s="266" t="s">
        <v>138</v>
      </c>
      <c r="D3102" s="287">
        <v>2414.56</v>
      </c>
      <c r="E3102" s="276" t="s">
        <v>74</v>
      </c>
      <c r="F3102" s="276">
        <v>5</v>
      </c>
      <c r="G3102" s="277" t="s">
        <v>71</v>
      </c>
      <c r="H3102" s="136" t="s">
        <v>72</v>
      </c>
      <c r="I3102" s="181">
        <f>I3103+I3104</f>
        <v>7827819.0499999998</v>
      </c>
      <c r="J3102" s="181">
        <f>J3103+J3104</f>
        <v>3241.92</v>
      </c>
      <c r="K3102" s="181">
        <f>K3103+K3104</f>
        <v>3242</v>
      </c>
      <c r="L3102" s="145"/>
      <c r="M3102" s="145"/>
      <c r="N3102" s="145"/>
      <c r="O3102" s="145"/>
      <c r="P3102" s="145"/>
      <c r="Q3102" s="145"/>
      <c r="R3102" s="145"/>
      <c r="S3102" s="145"/>
      <c r="T3102" s="145"/>
      <c r="U3102" s="145"/>
      <c r="V3102" s="145"/>
      <c r="W3102" s="145"/>
      <c r="X3102" s="145"/>
      <c r="Y3102" s="145"/>
      <c r="Z3102" s="145"/>
      <c r="AA3102" s="145"/>
      <c r="AB3102" s="145"/>
      <c r="AC3102" s="145"/>
      <c r="AD3102" s="145"/>
      <c r="AE3102" s="145"/>
      <c r="AF3102" s="145"/>
      <c r="AG3102" s="145"/>
      <c r="AH3102" s="145"/>
      <c r="AI3102" s="145"/>
      <c r="AJ3102" s="145"/>
      <c r="AK3102" s="145"/>
      <c r="AL3102" s="145"/>
      <c r="AM3102" s="145"/>
      <c r="AN3102" s="145"/>
      <c r="AO3102" s="145"/>
      <c r="AP3102" s="145"/>
      <c r="AQ3102" s="145"/>
      <c r="AR3102" s="145"/>
      <c r="AS3102" s="145"/>
      <c r="AT3102" s="145"/>
      <c r="AU3102" s="145"/>
      <c r="AV3102" s="145"/>
      <c r="AW3102" s="145"/>
      <c r="AX3102" s="145"/>
      <c r="AY3102" s="145"/>
      <c r="AZ3102" s="145"/>
      <c r="BA3102" s="145"/>
      <c r="BB3102" s="145"/>
      <c r="BC3102" s="145"/>
      <c r="BD3102" s="145"/>
      <c r="BE3102" s="145"/>
      <c r="BF3102" s="145"/>
      <c r="BG3102" s="145"/>
      <c r="BH3102" s="145"/>
      <c r="BI3102" s="145"/>
      <c r="BJ3102" s="145"/>
      <c r="BK3102" s="145"/>
      <c r="BL3102" s="145"/>
      <c r="BM3102" s="145"/>
      <c r="BN3102" s="145"/>
      <c r="BO3102" s="145"/>
      <c r="BP3102" s="145"/>
      <c r="BQ3102" s="145"/>
      <c r="BR3102" s="145"/>
      <c r="BS3102" s="145"/>
      <c r="BT3102" s="145"/>
      <c r="BU3102" s="145"/>
      <c r="BV3102" s="145"/>
      <c r="BW3102" s="145"/>
      <c r="BX3102" s="145"/>
      <c r="BY3102" s="145"/>
      <c r="BZ3102" s="145"/>
      <c r="CA3102" s="145"/>
      <c r="CB3102" s="145"/>
      <c r="CC3102" s="145"/>
      <c r="CD3102" s="145"/>
      <c r="CE3102" s="145"/>
      <c r="CF3102" s="145"/>
      <c r="CG3102" s="145"/>
      <c r="CH3102" s="145"/>
      <c r="CI3102" s="145"/>
      <c r="CJ3102" s="145"/>
      <c r="CK3102" s="145"/>
      <c r="CL3102" s="145"/>
      <c r="CM3102" s="145"/>
      <c r="CN3102" s="145"/>
      <c r="CO3102" s="145"/>
      <c r="CP3102" s="145"/>
      <c r="CQ3102" s="145"/>
      <c r="CR3102" s="145"/>
      <c r="CS3102" s="145"/>
      <c r="CT3102" s="145"/>
      <c r="CU3102" s="145"/>
      <c r="CV3102" s="145"/>
      <c r="CW3102" s="145"/>
      <c r="CX3102" s="145"/>
      <c r="CY3102" s="145"/>
      <c r="CZ3102" s="145"/>
      <c r="DA3102" s="145"/>
      <c r="DB3102" s="145"/>
      <c r="DC3102" s="145"/>
      <c r="DD3102" s="145"/>
      <c r="DE3102" s="145"/>
      <c r="DF3102" s="145"/>
      <c r="DG3102" s="145"/>
      <c r="DH3102" s="145"/>
      <c r="DI3102" s="145"/>
      <c r="DJ3102" s="145"/>
      <c r="DK3102" s="145"/>
      <c r="DL3102" s="145"/>
      <c r="DM3102" s="145"/>
      <c r="DN3102" s="145"/>
      <c r="DO3102" s="145"/>
      <c r="DP3102" s="145"/>
      <c r="DQ3102" s="145"/>
      <c r="DR3102" s="145"/>
      <c r="DS3102" s="145"/>
      <c r="DT3102" s="145"/>
      <c r="DU3102" s="145"/>
      <c r="DV3102" s="145"/>
      <c r="DW3102" s="145"/>
      <c r="DX3102" s="145"/>
      <c r="DY3102" s="145"/>
      <c r="DZ3102" s="145"/>
      <c r="EA3102" s="145"/>
      <c r="EB3102" s="145"/>
      <c r="EC3102" s="145"/>
      <c r="ED3102" s="145"/>
      <c r="EE3102" s="145"/>
      <c r="EF3102" s="145"/>
      <c r="EG3102" s="145"/>
      <c r="EH3102" s="145"/>
      <c r="EI3102" s="145"/>
      <c r="EJ3102" s="145"/>
      <c r="EK3102" s="145"/>
      <c r="EL3102" s="145"/>
      <c r="EM3102" s="145"/>
      <c r="EN3102" s="145"/>
      <c r="EO3102" s="145"/>
      <c r="EP3102" s="145"/>
      <c r="EQ3102" s="145"/>
      <c r="ER3102" s="145"/>
      <c r="ES3102" s="145"/>
      <c r="ET3102" s="145"/>
      <c r="EU3102" s="145"/>
      <c r="EV3102" s="145"/>
      <c r="EW3102" s="145"/>
      <c r="EX3102" s="145"/>
      <c r="EY3102" s="145"/>
      <c r="EZ3102" s="145"/>
      <c r="FA3102" s="145"/>
      <c r="FB3102" s="145"/>
      <c r="FC3102" s="145"/>
      <c r="FD3102" s="145"/>
      <c r="FE3102" s="145"/>
      <c r="FF3102" s="145"/>
      <c r="FG3102" s="145"/>
      <c r="FH3102" s="145"/>
      <c r="FI3102" s="145"/>
      <c r="FJ3102" s="145"/>
      <c r="FK3102" s="145"/>
      <c r="FL3102" s="145"/>
      <c r="FM3102" s="145"/>
      <c r="FN3102" s="145"/>
      <c r="FO3102" s="145"/>
      <c r="FP3102" s="145"/>
      <c r="FQ3102" s="145"/>
      <c r="FR3102" s="145"/>
      <c r="FS3102" s="145"/>
      <c r="FT3102" s="145"/>
      <c r="FU3102" s="145"/>
      <c r="FV3102" s="145"/>
      <c r="FW3102" s="145"/>
      <c r="FX3102" s="145"/>
      <c r="FY3102" s="145"/>
      <c r="FZ3102" s="145"/>
      <c r="GA3102" s="145"/>
      <c r="GB3102" s="145"/>
      <c r="GC3102" s="145"/>
      <c r="GD3102" s="145"/>
      <c r="GE3102" s="145"/>
      <c r="GF3102" s="145"/>
      <c r="GG3102" s="145"/>
      <c r="GH3102" s="145"/>
      <c r="GI3102" s="145"/>
      <c r="GJ3102" s="145"/>
      <c r="GK3102" s="145"/>
      <c r="GL3102" s="145"/>
      <c r="GM3102" s="145"/>
      <c r="GN3102" s="145"/>
      <c r="GO3102" s="145"/>
      <c r="GP3102" s="145"/>
      <c r="GQ3102" s="145"/>
      <c r="GR3102" s="145"/>
      <c r="GS3102" s="145"/>
      <c r="GT3102" s="145"/>
      <c r="GU3102" s="145"/>
      <c r="GV3102" s="145"/>
      <c r="GW3102" s="145"/>
      <c r="GX3102" s="145"/>
      <c r="GY3102" s="145"/>
      <c r="GZ3102" s="145"/>
      <c r="HA3102" s="145"/>
      <c r="HB3102" s="145"/>
      <c r="HC3102" s="145"/>
      <c r="HD3102" s="145"/>
      <c r="HE3102" s="145"/>
      <c r="HF3102" s="145"/>
    </row>
    <row r="3103" spans="1:214" x14ac:dyDescent="0.35">
      <c r="A3103" s="277">
        <v>75</v>
      </c>
      <c r="B3103" s="277"/>
      <c r="C3103" s="266"/>
      <c r="D3103" s="287"/>
      <c r="E3103" s="276"/>
      <c r="F3103" s="276"/>
      <c r="G3103" s="277"/>
      <c r="H3103" s="136" t="s">
        <v>73</v>
      </c>
      <c r="I3103" s="181">
        <f>(6310585+156551)*1.02*1.18-120031.45</f>
        <v>7663813.4400000004</v>
      </c>
      <c r="J3103" s="181">
        <f>I3103/D3102</f>
        <v>3174</v>
      </c>
      <c r="K3103" s="181">
        <v>3174</v>
      </c>
      <c r="L3103" s="145"/>
      <c r="M3103" s="145"/>
      <c r="N3103" s="145"/>
      <c r="O3103" s="145"/>
      <c r="P3103" s="145"/>
      <c r="Q3103" s="145"/>
      <c r="R3103" s="145"/>
      <c r="S3103" s="145"/>
      <c r="T3103" s="145"/>
      <c r="U3103" s="145"/>
      <c r="V3103" s="145"/>
      <c r="W3103" s="145"/>
      <c r="X3103" s="145"/>
      <c r="Y3103" s="145"/>
      <c r="Z3103" s="145"/>
      <c r="AA3103" s="145"/>
      <c r="AB3103" s="145"/>
      <c r="AC3103" s="145"/>
      <c r="AD3103" s="145"/>
      <c r="AE3103" s="145"/>
      <c r="AF3103" s="145"/>
      <c r="AG3103" s="145"/>
      <c r="AH3103" s="145"/>
      <c r="AI3103" s="145"/>
      <c r="AJ3103" s="145"/>
      <c r="AK3103" s="145"/>
      <c r="AL3103" s="145"/>
      <c r="AM3103" s="145"/>
      <c r="AN3103" s="145"/>
      <c r="AO3103" s="145"/>
      <c r="AP3103" s="145"/>
      <c r="AQ3103" s="145"/>
      <c r="AR3103" s="145"/>
      <c r="AS3103" s="145"/>
      <c r="AT3103" s="145"/>
      <c r="AU3103" s="145"/>
      <c r="AV3103" s="145"/>
      <c r="AW3103" s="145"/>
      <c r="AX3103" s="145"/>
      <c r="AY3103" s="145"/>
      <c r="AZ3103" s="145"/>
      <c r="BA3103" s="145"/>
      <c r="BB3103" s="145"/>
      <c r="BC3103" s="145"/>
      <c r="BD3103" s="145"/>
      <c r="BE3103" s="145"/>
      <c r="BF3103" s="145"/>
      <c r="BG3103" s="145"/>
      <c r="BH3103" s="145"/>
      <c r="BI3103" s="145"/>
      <c r="BJ3103" s="145"/>
      <c r="BK3103" s="145"/>
      <c r="BL3103" s="145"/>
      <c r="BM3103" s="145"/>
      <c r="BN3103" s="145"/>
      <c r="BO3103" s="145"/>
      <c r="BP3103" s="145"/>
      <c r="BQ3103" s="145"/>
      <c r="BR3103" s="145"/>
      <c r="BS3103" s="145"/>
      <c r="BT3103" s="145"/>
      <c r="BU3103" s="145"/>
      <c r="BV3103" s="145"/>
      <c r="BW3103" s="145"/>
      <c r="BX3103" s="145"/>
      <c r="BY3103" s="145"/>
      <c r="BZ3103" s="145"/>
      <c r="CA3103" s="145"/>
      <c r="CB3103" s="145"/>
      <c r="CC3103" s="145"/>
      <c r="CD3103" s="145"/>
      <c r="CE3103" s="145"/>
      <c r="CF3103" s="145"/>
      <c r="CG3103" s="145"/>
      <c r="CH3103" s="145"/>
      <c r="CI3103" s="145"/>
      <c r="CJ3103" s="145"/>
      <c r="CK3103" s="145"/>
      <c r="CL3103" s="145"/>
      <c r="CM3103" s="145"/>
      <c r="CN3103" s="145"/>
      <c r="CO3103" s="145"/>
      <c r="CP3103" s="145"/>
      <c r="CQ3103" s="145"/>
      <c r="CR3103" s="145"/>
      <c r="CS3103" s="145"/>
      <c r="CT3103" s="145"/>
      <c r="CU3103" s="145"/>
      <c r="CV3103" s="145"/>
      <c r="CW3103" s="145"/>
      <c r="CX3103" s="145"/>
      <c r="CY3103" s="145"/>
      <c r="CZ3103" s="145"/>
      <c r="DA3103" s="145"/>
      <c r="DB3103" s="145"/>
      <c r="DC3103" s="145"/>
      <c r="DD3103" s="145"/>
      <c r="DE3103" s="145"/>
      <c r="DF3103" s="145"/>
      <c r="DG3103" s="145"/>
      <c r="DH3103" s="145"/>
      <c r="DI3103" s="145"/>
      <c r="DJ3103" s="145"/>
      <c r="DK3103" s="145"/>
      <c r="DL3103" s="145"/>
      <c r="DM3103" s="145"/>
      <c r="DN3103" s="145"/>
      <c r="DO3103" s="145"/>
      <c r="DP3103" s="145"/>
      <c r="DQ3103" s="145"/>
      <c r="DR3103" s="145"/>
      <c r="DS3103" s="145"/>
      <c r="DT3103" s="145"/>
      <c r="DU3103" s="145"/>
      <c r="DV3103" s="145"/>
      <c r="DW3103" s="145"/>
      <c r="DX3103" s="145"/>
      <c r="DY3103" s="145"/>
      <c r="DZ3103" s="145"/>
      <c r="EA3103" s="145"/>
      <c r="EB3103" s="145"/>
      <c r="EC3103" s="145"/>
      <c r="ED3103" s="145"/>
      <c r="EE3103" s="145"/>
      <c r="EF3103" s="145"/>
      <c r="EG3103" s="145"/>
      <c r="EH3103" s="145"/>
      <c r="EI3103" s="145"/>
      <c r="EJ3103" s="145"/>
      <c r="EK3103" s="145"/>
      <c r="EL3103" s="145"/>
      <c r="EM3103" s="145"/>
      <c r="EN3103" s="145"/>
      <c r="EO3103" s="145"/>
      <c r="EP3103" s="145"/>
      <c r="EQ3103" s="145"/>
      <c r="ER3103" s="145"/>
      <c r="ES3103" s="145"/>
      <c r="ET3103" s="145"/>
      <c r="EU3103" s="145"/>
      <c r="EV3103" s="145"/>
      <c r="EW3103" s="145"/>
      <c r="EX3103" s="145"/>
      <c r="EY3103" s="145"/>
      <c r="EZ3103" s="145"/>
      <c r="FA3103" s="145"/>
      <c r="FB3103" s="145"/>
      <c r="FC3103" s="145"/>
      <c r="FD3103" s="145"/>
      <c r="FE3103" s="145"/>
      <c r="FF3103" s="145"/>
      <c r="FG3103" s="145"/>
      <c r="FH3103" s="145"/>
      <c r="FI3103" s="145"/>
      <c r="FJ3103" s="145"/>
      <c r="FK3103" s="145"/>
      <c r="FL3103" s="145"/>
      <c r="FM3103" s="145"/>
      <c r="FN3103" s="145"/>
      <c r="FO3103" s="145"/>
      <c r="FP3103" s="145"/>
      <c r="FQ3103" s="145"/>
      <c r="FR3103" s="145"/>
      <c r="FS3103" s="145"/>
      <c r="FT3103" s="145"/>
      <c r="FU3103" s="145"/>
      <c r="FV3103" s="145"/>
      <c r="FW3103" s="145"/>
      <c r="FX3103" s="145"/>
      <c r="FY3103" s="145"/>
      <c r="FZ3103" s="145"/>
      <c r="GA3103" s="145"/>
      <c r="GB3103" s="145"/>
      <c r="GC3103" s="145"/>
      <c r="GD3103" s="145"/>
      <c r="GE3103" s="145"/>
      <c r="GF3103" s="145"/>
      <c r="GG3103" s="145"/>
      <c r="GH3103" s="145"/>
      <c r="GI3103" s="145"/>
      <c r="GJ3103" s="145"/>
      <c r="GK3103" s="145"/>
      <c r="GL3103" s="145"/>
      <c r="GM3103" s="145"/>
      <c r="GN3103" s="145"/>
      <c r="GO3103" s="145"/>
      <c r="GP3103" s="145"/>
      <c r="GQ3103" s="145"/>
      <c r="GR3103" s="145"/>
      <c r="GS3103" s="145"/>
      <c r="GT3103" s="145"/>
      <c r="GU3103" s="145"/>
      <c r="GV3103" s="145"/>
      <c r="GW3103" s="145"/>
      <c r="GX3103" s="145"/>
      <c r="GY3103" s="145"/>
      <c r="GZ3103" s="145"/>
      <c r="HA3103" s="145"/>
      <c r="HB3103" s="145"/>
      <c r="HC3103" s="145"/>
      <c r="HD3103" s="145"/>
      <c r="HE3103" s="145"/>
      <c r="HF3103" s="145"/>
    </row>
    <row r="3104" spans="1:214" x14ac:dyDescent="0.35">
      <c r="A3104" s="277">
        <v>76</v>
      </c>
      <c r="B3104" s="277"/>
      <c r="C3104" s="266"/>
      <c r="D3104" s="287"/>
      <c r="E3104" s="276"/>
      <c r="F3104" s="276"/>
      <c r="G3104" s="277"/>
      <c r="H3104" s="136" t="s">
        <v>75</v>
      </c>
      <c r="I3104" s="181">
        <f>I3103*0.0214</f>
        <v>164005.60999999999</v>
      </c>
      <c r="J3104" s="181">
        <f>I3104/D3102</f>
        <v>67.92</v>
      </c>
      <c r="K3104" s="181">
        <v>68</v>
      </c>
    </row>
    <row r="3105" spans="1:214" x14ac:dyDescent="0.35">
      <c r="A3105" s="277">
        <f>A3102+1</f>
        <v>58</v>
      </c>
      <c r="B3105" s="270">
        <v>2235</v>
      </c>
      <c r="C3105" s="278" t="s">
        <v>139</v>
      </c>
      <c r="D3105" s="273">
        <v>3471.8</v>
      </c>
      <c r="E3105" s="267" t="s">
        <v>74</v>
      </c>
      <c r="F3105" s="267">
        <v>10</v>
      </c>
      <c r="G3105" s="270" t="s">
        <v>71</v>
      </c>
      <c r="H3105" s="136" t="s">
        <v>72</v>
      </c>
      <c r="I3105" s="181">
        <f>I3106+I3107</f>
        <v>5902267.71</v>
      </c>
      <c r="J3105" s="181">
        <f>J3106+J3107</f>
        <v>1700.06</v>
      </c>
      <c r="K3105" s="181">
        <f>K3106+K3107</f>
        <v>2292</v>
      </c>
      <c r="L3105" s="145"/>
      <c r="M3105" s="145"/>
      <c r="N3105" s="145"/>
      <c r="O3105" s="145"/>
      <c r="P3105" s="145"/>
      <c r="Q3105" s="145"/>
      <c r="R3105" s="145"/>
      <c r="S3105" s="145"/>
      <c r="T3105" s="145"/>
      <c r="U3105" s="145"/>
      <c r="V3105" s="145"/>
      <c r="W3105" s="145"/>
      <c r="X3105" s="145"/>
      <c r="Y3105" s="145"/>
      <c r="Z3105" s="145"/>
      <c r="AA3105" s="145"/>
      <c r="AB3105" s="145"/>
      <c r="AC3105" s="145"/>
      <c r="AD3105" s="145"/>
      <c r="AE3105" s="145"/>
      <c r="AF3105" s="145"/>
      <c r="AG3105" s="145"/>
      <c r="AH3105" s="145"/>
      <c r="AI3105" s="145"/>
      <c r="AJ3105" s="145"/>
      <c r="AK3105" s="145"/>
      <c r="AL3105" s="145"/>
      <c r="AM3105" s="145"/>
      <c r="AN3105" s="145"/>
      <c r="AO3105" s="145"/>
      <c r="AP3105" s="145"/>
      <c r="AQ3105" s="145"/>
      <c r="AR3105" s="145"/>
      <c r="AS3105" s="145"/>
      <c r="AT3105" s="145"/>
      <c r="AU3105" s="145"/>
      <c r="AV3105" s="145"/>
      <c r="AW3105" s="145"/>
      <c r="AX3105" s="145"/>
      <c r="AY3105" s="145"/>
      <c r="AZ3105" s="145"/>
      <c r="BA3105" s="145"/>
      <c r="BB3105" s="145"/>
      <c r="BC3105" s="145"/>
      <c r="BD3105" s="145"/>
      <c r="BE3105" s="145"/>
      <c r="BF3105" s="145"/>
      <c r="BG3105" s="145"/>
      <c r="BH3105" s="145"/>
      <c r="BI3105" s="145"/>
      <c r="BJ3105" s="145"/>
      <c r="BK3105" s="145"/>
      <c r="BL3105" s="145"/>
      <c r="BM3105" s="145"/>
      <c r="BN3105" s="145"/>
      <c r="BO3105" s="145"/>
      <c r="BP3105" s="145"/>
      <c r="BQ3105" s="145"/>
      <c r="BR3105" s="145"/>
      <c r="BS3105" s="145"/>
      <c r="BT3105" s="145"/>
      <c r="BU3105" s="145"/>
      <c r="BV3105" s="145"/>
      <c r="BW3105" s="145"/>
      <c r="BX3105" s="145"/>
      <c r="BY3105" s="145"/>
      <c r="BZ3105" s="145"/>
      <c r="CA3105" s="145"/>
      <c r="CB3105" s="145"/>
      <c r="CC3105" s="145"/>
      <c r="CD3105" s="145"/>
      <c r="CE3105" s="145"/>
      <c r="CF3105" s="145"/>
      <c r="CG3105" s="145"/>
      <c r="CH3105" s="145"/>
      <c r="CI3105" s="145"/>
      <c r="CJ3105" s="145"/>
      <c r="CK3105" s="145"/>
      <c r="CL3105" s="145"/>
      <c r="CM3105" s="145"/>
      <c r="CN3105" s="145"/>
      <c r="CO3105" s="145"/>
      <c r="CP3105" s="145"/>
      <c r="CQ3105" s="145"/>
      <c r="CR3105" s="145"/>
      <c r="CS3105" s="145"/>
      <c r="CT3105" s="145"/>
      <c r="CU3105" s="145"/>
      <c r="CV3105" s="145"/>
      <c r="CW3105" s="145"/>
      <c r="CX3105" s="145"/>
      <c r="CY3105" s="145"/>
      <c r="CZ3105" s="145"/>
      <c r="DA3105" s="145"/>
      <c r="DB3105" s="145"/>
      <c r="DC3105" s="145"/>
      <c r="DD3105" s="145"/>
      <c r="DE3105" s="145"/>
      <c r="DF3105" s="145"/>
      <c r="DG3105" s="145"/>
      <c r="DH3105" s="145"/>
      <c r="DI3105" s="145"/>
      <c r="DJ3105" s="145"/>
      <c r="DK3105" s="145"/>
      <c r="DL3105" s="145"/>
      <c r="DM3105" s="145"/>
      <c r="DN3105" s="145"/>
      <c r="DO3105" s="145"/>
      <c r="DP3105" s="145"/>
      <c r="DQ3105" s="145"/>
      <c r="DR3105" s="145"/>
      <c r="DS3105" s="145"/>
      <c r="DT3105" s="145"/>
      <c r="DU3105" s="145"/>
      <c r="DV3105" s="145"/>
      <c r="DW3105" s="145"/>
      <c r="DX3105" s="145"/>
      <c r="DY3105" s="145"/>
      <c r="DZ3105" s="145"/>
      <c r="EA3105" s="145"/>
      <c r="EB3105" s="145"/>
      <c r="EC3105" s="145"/>
      <c r="ED3105" s="145"/>
      <c r="EE3105" s="145"/>
      <c r="EF3105" s="145"/>
      <c r="EG3105" s="145"/>
      <c r="EH3105" s="145"/>
      <c r="EI3105" s="145"/>
      <c r="EJ3105" s="145"/>
      <c r="EK3105" s="145"/>
      <c r="EL3105" s="145"/>
      <c r="EM3105" s="145"/>
      <c r="EN3105" s="145"/>
      <c r="EO3105" s="145"/>
      <c r="EP3105" s="145"/>
      <c r="EQ3105" s="145"/>
      <c r="ER3105" s="145"/>
      <c r="ES3105" s="145"/>
      <c r="ET3105" s="145"/>
      <c r="EU3105" s="145"/>
      <c r="EV3105" s="145"/>
      <c r="EW3105" s="145"/>
      <c r="EX3105" s="145"/>
      <c r="EY3105" s="145"/>
      <c r="EZ3105" s="145"/>
      <c r="FA3105" s="145"/>
      <c r="FB3105" s="145"/>
      <c r="FC3105" s="145"/>
      <c r="FD3105" s="145"/>
      <c r="FE3105" s="145"/>
      <c r="FF3105" s="145"/>
      <c r="FG3105" s="145"/>
      <c r="FH3105" s="145"/>
      <c r="FI3105" s="145"/>
      <c r="FJ3105" s="145"/>
      <c r="FK3105" s="145"/>
      <c r="FL3105" s="145"/>
      <c r="FM3105" s="145"/>
      <c r="FN3105" s="145"/>
      <c r="FO3105" s="145"/>
      <c r="FP3105" s="145"/>
      <c r="FQ3105" s="145"/>
      <c r="FR3105" s="145"/>
      <c r="FS3105" s="145"/>
      <c r="FT3105" s="145"/>
      <c r="FU3105" s="145"/>
      <c r="FV3105" s="145"/>
      <c r="FW3105" s="145"/>
      <c r="FX3105" s="145"/>
      <c r="FY3105" s="145"/>
      <c r="FZ3105" s="145"/>
      <c r="GA3105" s="145"/>
      <c r="GB3105" s="145"/>
      <c r="GC3105" s="145"/>
      <c r="GD3105" s="145"/>
      <c r="GE3105" s="145"/>
      <c r="GF3105" s="145"/>
      <c r="GG3105" s="145"/>
      <c r="GH3105" s="145"/>
      <c r="GI3105" s="145"/>
      <c r="GJ3105" s="145"/>
      <c r="GK3105" s="145"/>
      <c r="GL3105" s="145"/>
      <c r="GM3105" s="145"/>
      <c r="GN3105" s="145"/>
      <c r="GO3105" s="145"/>
      <c r="GP3105" s="145"/>
      <c r="GQ3105" s="145"/>
      <c r="GR3105" s="145"/>
      <c r="GS3105" s="145"/>
      <c r="GT3105" s="145"/>
      <c r="GU3105" s="145"/>
      <c r="GV3105" s="145"/>
      <c r="GW3105" s="145"/>
      <c r="GX3105" s="145"/>
      <c r="GY3105" s="145"/>
      <c r="GZ3105" s="145"/>
      <c r="HA3105" s="145"/>
      <c r="HB3105" s="145"/>
      <c r="HC3105" s="145"/>
      <c r="HD3105" s="145"/>
      <c r="HE3105" s="145"/>
      <c r="HF3105" s="145"/>
    </row>
    <row r="3106" spans="1:214" x14ac:dyDescent="0.35">
      <c r="A3106" s="271"/>
      <c r="B3106" s="271"/>
      <c r="C3106" s="279"/>
      <c r="D3106" s="274"/>
      <c r="E3106" s="268"/>
      <c r="F3106" s="268"/>
      <c r="G3106" s="271"/>
      <c r="H3106" s="136" t="s">
        <v>73</v>
      </c>
      <c r="I3106" s="181">
        <f>(4603064+198037.32)*1.02*1.18</f>
        <v>5778605.5499999998</v>
      </c>
      <c r="J3106" s="181">
        <f>I3106/D3105</f>
        <v>1664.44</v>
      </c>
      <c r="K3106" s="181">
        <v>2244</v>
      </c>
      <c r="L3106" s="145"/>
      <c r="M3106" s="145"/>
      <c r="N3106" s="145"/>
      <c r="O3106" s="145"/>
      <c r="P3106" s="145"/>
      <c r="Q3106" s="145"/>
      <c r="R3106" s="145"/>
      <c r="S3106" s="145"/>
      <c r="T3106" s="145"/>
      <c r="U3106" s="145"/>
      <c r="V3106" s="145"/>
      <c r="W3106" s="145"/>
      <c r="X3106" s="145"/>
      <c r="Y3106" s="145"/>
      <c r="Z3106" s="145"/>
      <c r="AA3106" s="145"/>
      <c r="AB3106" s="145"/>
      <c r="AC3106" s="145"/>
      <c r="AD3106" s="145"/>
      <c r="AE3106" s="145"/>
      <c r="AF3106" s="145"/>
      <c r="AG3106" s="145"/>
      <c r="AH3106" s="145"/>
      <c r="AI3106" s="145"/>
      <c r="AJ3106" s="145"/>
      <c r="AK3106" s="145"/>
      <c r="AL3106" s="145"/>
      <c r="AM3106" s="145"/>
      <c r="AN3106" s="145"/>
      <c r="AO3106" s="145"/>
      <c r="AP3106" s="145"/>
      <c r="AQ3106" s="145"/>
      <c r="AR3106" s="145"/>
      <c r="AS3106" s="145"/>
      <c r="AT3106" s="145"/>
      <c r="AU3106" s="145"/>
      <c r="AV3106" s="145"/>
      <c r="AW3106" s="145"/>
      <c r="AX3106" s="145"/>
      <c r="AY3106" s="145"/>
      <c r="AZ3106" s="145"/>
      <c r="BA3106" s="145"/>
      <c r="BB3106" s="145"/>
      <c r="BC3106" s="145"/>
      <c r="BD3106" s="145"/>
      <c r="BE3106" s="145"/>
      <c r="BF3106" s="145"/>
      <c r="BG3106" s="145"/>
      <c r="BH3106" s="145"/>
      <c r="BI3106" s="145"/>
      <c r="BJ3106" s="145"/>
      <c r="BK3106" s="145"/>
      <c r="BL3106" s="145"/>
      <c r="BM3106" s="145"/>
      <c r="BN3106" s="145"/>
      <c r="BO3106" s="145"/>
      <c r="BP3106" s="145"/>
      <c r="BQ3106" s="145"/>
      <c r="BR3106" s="145"/>
      <c r="BS3106" s="145"/>
      <c r="BT3106" s="145"/>
      <c r="BU3106" s="145"/>
      <c r="BV3106" s="145"/>
      <c r="BW3106" s="145"/>
      <c r="BX3106" s="145"/>
      <c r="BY3106" s="145"/>
      <c r="BZ3106" s="145"/>
      <c r="CA3106" s="145"/>
      <c r="CB3106" s="145"/>
      <c r="CC3106" s="145"/>
      <c r="CD3106" s="145"/>
      <c r="CE3106" s="145"/>
      <c r="CF3106" s="145"/>
      <c r="CG3106" s="145"/>
      <c r="CH3106" s="145"/>
      <c r="CI3106" s="145"/>
      <c r="CJ3106" s="145"/>
      <c r="CK3106" s="145"/>
      <c r="CL3106" s="145"/>
      <c r="CM3106" s="145"/>
      <c r="CN3106" s="145"/>
      <c r="CO3106" s="145"/>
      <c r="CP3106" s="145"/>
      <c r="CQ3106" s="145"/>
      <c r="CR3106" s="145"/>
      <c r="CS3106" s="145"/>
      <c r="CT3106" s="145"/>
      <c r="CU3106" s="145"/>
      <c r="CV3106" s="145"/>
      <c r="CW3106" s="145"/>
      <c r="CX3106" s="145"/>
      <c r="CY3106" s="145"/>
      <c r="CZ3106" s="145"/>
      <c r="DA3106" s="145"/>
      <c r="DB3106" s="145"/>
      <c r="DC3106" s="145"/>
      <c r="DD3106" s="145"/>
      <c r="DE3106" s="145"/>
      <c r="DF3106" s="145"/>
      <c r="DG3106" s="145"/>
      <c r="DH3106" s="145"/>
      <c r="DI3106" s="145"/>
      <c r="DJ3106" s="145"/>
      <c r="DK3106" s="145"/>
      <c r="DL3106" s="145"/>
      <c r="DM3106" s="145"/>
      <c r="DN3106" s="145"/>
      <c r="DO3106" s="145"/>
      <c r="DP3106" s="145"/>
      <c r="DQ3106" s="145"/>
      <c r="DR3106" s="145"/>
      <c r="DS3106" s="145"/>
      <c r="DT3106" s="145"/>
      <c r="DU3106" s="145"/>
      <c r="DV3106" s="145"/>
      <c r="DW3106" s="145"/>
      <c r="DX3106" s="145"/>
      <c r="DY3106" s="145"/>
      <c r="DZ3106" s="145"/>
      <c r="EA3106" s="145"/>
      <c r="EB3106" s="145"/>
      <c r="EC3106" s="145"/>
      <c r="ED3106" s="145"/>
      <c r="EE3106" s="145"/>
      <c r="EF3106" s="145"/>
      <c r="EG3106" s="145"/>
      <c r="EH3106" s="145"/>
      <c r="EI3106" s="145"/>
      <c r="EJ3106" s="145"/>
      <c r="EK3106" s="145"/>
      <c r="EL3106" s="145"/>
      <c r="EM3106" s="145"/>
      <c r="EN3106" s="145"/>
      <c r="EO3106" s="145"/>
      <c r="EP3106" s="145"/>
      <c r="EQ3106" s="145"/>
      <c r="ER3106" s="145"/>
      <c r="ES3106" s="145"/>
      <c r="ET3106" s="145"/>
      <c r="EU3106" s="145"/>
      <c r="EV3106" s="145"/>
      <c r="EW3106" s="145"/>
      <c r="EX3106" s="145"/>
      <c r="EY3106" s="145"/>
      <c r="EZ3106" s="145"/>
      <c r="FA3106" s="145"/>
      <c r="FB3106" s="145"/>
      <c r="FC3106" s="145"/>
      <c r="FD3106" s="145"/>
      <c r="FE3106" s="145"/>
      <c r="FF3106" s="145"/>
      <c r="FG3106" s="145"/>
      <c r="FH3106" s="145"/>
      <c r="FI3106" s="145"/>
      <c r="FJ3106" s="145"/>
      <c r="FK3106" s="145"/>
      <c r="FL3106" s="145"/>
      <c r="FM3106" s="145"/>
      <c r="FN3106" s="145"/>
      <c r="FO3106" s="145"/>
      <c r="FP3106" s="145"/>
      <c r="FQ3106" s="145"/>
      <c r="FR3106" s="145"/>
      <c r="FS3106" s="145"/>
      <c r="FT3106" s="145"/>
      <c r="FU3106" s="145"/>
      <c r="FV3106" s="145"/>
      <c r="FW3106" s="145"/>
      <c r="FX3106" s="145"/>
      <c r="FY3106" s="145"/>
      <c r="FZ3106" s="145"/>
      <c r="GA3106" s="145"/>
      <c r="GB3106" s="145"/>
      <c r="GC3106" s="145"/>
      <c r="GD3106" s="145"/>
      <c r="GE3106" s="145"/>
      <c r="GF3106" s="145"/>
      <c r="GG3106" s="145"/>
      <c r="GH3106" s="145"/>
      <c r="GI3106" s="145"/>
      <c r="GJ3106" s="145"/>
      <c r="GK3106" s="145"/>
      <c r="GL3106" s="145"/>
      <c r="GM3106" s="145"/>
      <c r="GN3106" s="145"/>
      <c r="GO3106" s="145"/>
      <c r="GP3106" s="145"/>
      <c r="GQ3106" s="145"/>
      <c r="GR3106" s="145"/>
      <c r="GS3106" s="145"/>
      <c r="GT3106" s="145"/>
      <c r="GU3106" s="145"/>
      <c r="GV3106" s="145"/>
      <c r="GW3106" s="145"/>
      <c r="GX3106" s="145"/>
      <c r="GY3106" s="145"/>
      <c r="GZ3106" s="145"/>
      <c r="HA3106" s="145"/>
      <c r="HB3106" s="145"/>
      <c r="HC3106" s="145"/>
      <c r="HD3106" s="145"/>
      <c r="HE3106" s="145"/>
      <c r="HF3106" s="145"/>
    </row>
    <row r="3107" spans="1:214" x14ac:dyDescent="0.35">
      <c r="A3107" s="272"/>
      <c r="B3107" s="272"/>
      <c r="C3107" s="285"/>
      <c r="D3107" s="275"/>
      <c r="E3107" s="269"/>
      <c r="F3107" s="269"/>
      <c r="G3107" s="272"/>
      <c r="H3107" s="136" t="s">
        <v>75</v>
      </c>
      <c r="I3107" s="181">
        <f>(4603064+198037.32)*1.02*1.18*0.0214</f>
        <v>123662.16</v>
      </c>
      <c r="J3107" s="181">
        <f>I3107/D3105</f>
        <v>35.619999999999997</v>
      </c>
      <c r="K3107" s="181">
        <v>48</v>
      </c>
      <c r="L3107" s="145"/>
      <c r="M3107" s="145"/>
      <c r="N3107" s="145"/>
      <c r="O3107" s="145"/>
      <c r="P3107" s="145"/>
      <c r="Q3107" s="145"/>
      <c r="R3107" s="145"/>
      <c r="S3107" s="145"/>
      <c r="T3107" s="145"/>
      <c r="U3107" s="145"/>
      <c r="V3107" s="145"/>
      <c r="W3107" s="145"/>
      <c r="X3107" s="145"/>
      <c r="Y3107" s="145"/>
      <c r="Z3107" s="145"/>
      <c r="AA3107" s="145"/>
      <c r="AB3107" s="145"/>
      <c r="AC3107" s="145"/>
      <c r="AD3107" s="145"/>
      <c r="AE3107" s="145"/>
      <c r="AF3107" s="145"/>
      <c r="AG3107" s="145"/>
      <c r="AH3107" s="145"/>
      <c r="AI3107" s="145"/>
      <c r="AJ3107" s="145"/>
      <c r="AK3107" s="145"/>
      <c r="AL3107" s="145"/>
      <c r="AM3107" s="145"/>
      <c r="AN3107" s="145"/>
      <c r="AO3107" s="145"/>
      <c r="AP3107" s="145"/>
      <c r="AQ3107" s="145"/>
      <c r="AR3107" s="145"/>
      <c r="AS3107" s="145"/>
      <c r="AT3107" s="145"/>
      <c r="AU3107" s="145"/>
      <c r="AV3107" s="145"/>
      <c r="AW3107" s="145"/>
      <c r="AX3107" s="145"/>
      <c r="AY3107" s="145"/>
      <c r="AZ3107" s="145"/>
      <c r="BA3107" s="145"/>
      <c r="BB3107" s="145"/>
      <c r="BC3107" s="145"/>
      <c r="BD3107" s="145"/>
      <c r="BE3107" s="145"/>
      <c r="BF3107" s="145"/>
      <c r="BG3107" s="145"/>
      <c r="BH3107" s="145"/>
      <c r="BI3107" s="145"/>
      <c r="BJ3107" s="145"/>
      <c r="BK3107" s="145"/>
      <c r="BL3107" s="145"/>
      <c r="BM3107" s="145"/>
      <c r="BN3107" s="145"/>
      <c r="BO3107" s="145"/>
      <c r="BP3107" s="145"/>
      <c r="BQ3107" s="145"/>
      <c r="BR3107" s="145"/>
      <c r="BS3107" s="145"/>
      <c r="BT3107" s="145"/>
      <c r="BU3107" s="145"/>
      <c r="BV3107" s="145"/>
      <c r="BW3107" s="145"/>
      <c r="BX3107" s="145"/>
      <c r="BY3107" s="145"/>
      <c r="BZ3107" s="145"/>
      <c r="CA3107" s="145"/>
      <c r="CB3107" s="145"/>
      <c r="CC3107" s="145"/>
      <c r="CD3107" s="145"/>
      <c r="CE3107" s="145"/>
      <c r="CF3107" s="145"/>
      <c r="CG3107" s="145"/>
      <c r="CH3107" s="145"/>
      <c r="CI3107" s="145"/>
      <c r="CJ3107" s="145"/>
      <c r="CK3107" s="145"/>
      <c r="CL3107" s="145"/>
      <c r="CM3107" s="145"/>
      <c r="CN3107" s="145"/>
      <c r="CO3107" s="145"/>
      <c r="CP3107" s="145"/>
      <c r="CQ3107" s="145"/>
      <c r="CR3107" s="145"/>
      <c r="CS3107" s="145"/>
      <c r="CT3107" s="145"/>
      <c r="CU3107" s="145"/>
      <c r="CV3107" s="145"/>
      <c r="CW3107" s="145"/>
      <c r="CX3107" s="145"/>
      <c r="CY3107" s="145"/>
      <c r="CZ3107" s="145"/>
      <c r="DA3107" s="145"/>
      <c r="DB3107" s="145"/>
      <c r="DC3107" s="145"/>
      <c r="DD3107" s="145"/>
      <c r="DE3107" s="145"/>
      <c r="DF3107" s="145"/>
      <c r="DG3107" s="145"/>
      <c r="DH3107" s="145"/>
      <c r="DI3107" s="145"/>
      <c r="DJ3107" s="145"/>
      <c r="DK3107" s="145"/>
      <c r="DL3107" s="145"/>
      <c r="DM3107" s="145"/>
      <c r="DN3107" s="145"/>
      <c r="DO3107" s="145"/>
      <c r="DP3107" s="145"/>
      <c r="DQ3107" s="145"/>
      <c r="DR3107" s="145"/>
      <c r="DS3107" s="145"/>
      <c r="DT3107" s="145"/>
      <c r="DU3107" s="145"/>
      <c r="DV3107" s="145"/>
      <c r="DW3107" s="145"/>
      <c r="DX3107" s="145"/>
      <c r="DY3107" s="145"/>
      <c r="DZ3107" s="145"/>
      <c r="EA3107" s="145"/>
      <c r="EB3107" s="145"/>
      <c r="EC3107" s="145"/>
      <c r="ED3107" s="145"/>
      <c r="EE3107" s="145"/>
      <c r="EF3107" s="145"/>
      <c r="EG3107" s="145"/>
      <c r="EH3107" s="145"/>
      <c r="EI3107" s="145"/>
      <c r="EJ3107" s="145"/>
      <c r="EK3107" s="145"/>
      <c r="EL3107" s="145"/>
      <c r="EM3107" s="145"/>
      <c r="EN3107" s="145"/>
      <c r="EO3107" s="145"/>
      <c r="EP3107" s="145"/>
      <c r="EQ3107" s="145"/>
      <c r="ER3107" s="145"/>
      <c r="ES3107" s="145"/>
      <c r="ET3107" s="145"/>
      <c r="EU3107" s="145"/>
      <c r="EV3107" s="145"/>
      <c r="EW3107" s="145"/>
      <c r="EX3107" s="145"/>
      <c r="EY3107" s="145"/>
      <c r="EZ3107" s="145"/>
      <c r="FA3107" s="145"/>
      <c r="FB3107" s="145"/>
      <c r="FC3107" s="145"/>
      <c r="FD3107" s="145"/>
      <c r="FE3107" s="145"/>
      <c r="FF3107" s="145"/>
      <c r="FG3107" s="145"/>
      <c r="FH3107" s="145"/>
      <c r="FI3107" s="145"/>
      <c r="FJ3107" s="145"/>
      <c r="FK3107" s="145"/>
      <c r="FL3107" s="145"/>
      <c r="FM3107" s="145"/>
      <c r="FN3107" s="145"/>
      <c r="FO3107" s="145"/>
      <c r="FP3107" s="145"/>
      <c r="FQ3107" s="145"/>
      <c r="FR3107" s="145"/>
      <c r="FS3107" s="145"/>
      <c r="FT3107" s="145"/>
      <c r="FU3107" s="145"/>
      <c r="FV3107" s="145"/>
      <c r="FW3107" s="145"/>
      <c r="FX3107" s="145"/>
      <c r="FY3107" s="145"/>
      <c r="FZ3107" s="145"/>
      <c r="GA3107" s="145"/>
      <c r="GB3107" s="145"/>
      <c r="GC3107" s="145"/>
      <c r="GD3107" s="145"/>
      <c r="GE3107" s="145"/>
      <c r="GF3107" s="145"/>
      <c r="GG3107" s="145"/>
      <c r="GH3107" s="145"/>
      <c r="GI3107" s="145"/>
      <c r="GJ3107" s="145"/>
      <c r="GK3107" s="145"/>
      <c r="GL3107" s="145"/>
      <c r="GM3107" s="145"/>
      <c r="GN3107" s="145"/>
      <c r="GO3107" s="145"/>
      <c r="GP3107" s="145"/>
      <c r="GQ3107" s="145"/>
      <c r="GR3107" s="145"/>
      <c r="GS3107" s="145"/>
      <c r="GT3107" s="145"/>
      <c r="GU3107" s="145"/>
      <c r="GV3107" s="145"/>
      <c r="GW3107" s="145"/>
      <c r="GX3107" s="145"/>
      <c r="GY3107" s="145"/>
      <c r="GZ3107" s="145"/>
      <c r="HA3107" s="145"/>
      <c r="HB3107" s="145"/>
      <c r="HC3107" s="145"/>
      <c r="HD3107" s="145"/>
      <c r="HE3107" s="145"/>
      <c r="HF3107" s="145"/>
    </row>
    <row r="3108" spans="1:214" x14ac:dyDescent="0.35">
      <c r="A3108" s="277">
        <f>A3105+1</f>
        <v>59</v>
      </c>
      <c r="B3108" s="277">
        <v>2411</v>
      </c>
      <c r="C3108" s="266" t="s">
        <v>140</v>
      </c>
      <c r="D3108" s="287">
        <v>812.8</v>
      </c>
      <c r="E3108" s="276" t="s">
        <v>74</v>
      </c>
      <c r="F3108" s="276">
        <v>3</v>
      </c>
      <c r="G3108" s="277" t="s">
        <v>71</v>
      </c>
      <c r="H3108" s="136" t="s">
        <v>72</v>
      </c>
      <c r="I3108" s="181">
        <f>I3109+I3110</f>
        <v>3842918.3999999999</v>
      </c>
      <c r="J3108" s="181">
        <f>J3109+J3110</f>
        <v>4728</v>
      </c>
      <c r="K3108" s="181">
        <f>K3109+K3110</f>
        <v>4728</v>
      </c>
    </row>
    <row r="3109" spans="1:214" x14ac:dyDescent="0.35">
      <c r="A3109" s="277">
        <v>75</v>
      </c>
      <c r="B3109" s="277"/>
      <c r="C3109" s="266"/>
      <c r="D3109" s="287"/>
      <c r="E3109" s="276"/>
      <c r="F3109" s="276"/>
      <c r="G3109" s="277"/>
      <c r="H3109" s="136" t="s">
        <v>73</v>
      </c>
      <c r="I3109" s="181">
        <f>D3108*K3109</f>
        <v>3762451.2</v>
      </c>
      <c r="J3109" s="181">
        <f>I3109/D3108</f>
        <v>4629</v>
      </c>
      <c r="K3109" s="181">
        <v>4629</v>
      </c>
      <c r="L3109" s="145"/>
      <c r="M3109" s="145"/>
      <c r="N3109" s="145"/>
      <c r="O3109" s="145"/>
      <c r="P3109" s="145"/>
      <c r="Q3109" s="145"/>
      <c r="R3109" s="145"/>
      <c r="S3109" s="145"/>
      <c r="T3109" s="145"/>
      <c r="U3109" s="145"/>
      <c r="V3109" s="145"/>
      <c r="W3109" s="145"/>
      <c r="X3109" s="145"/>
      <c r="Y3109" s="145"/>
      <c r="Z3109" s="145"/>
      <c r="AA3109" s="145"/>
      <c r="AB3109" s="145"/>
      <c r="AC3109" s="145"/>
      <c r="AD3109" s="145"/>
      <c r="AE3109" s="145"/>
      <c r="AF3109" s="145"/>
      <c r="AG3109" s="145"/>
      <c r="AH3109" s="145"/>
      <c r="AI3109" s="145"/>
      <c r="AJ3109" s="145"/>
      <c r="AK3109" s="145"/>
      <c r="AL3109" s="145"/>
      <c r="AM3109" s="145"/>
      <c r="AN3109" s="145"/>
      <c r="AO3109" s="145"/>
      <c r="AP3109" s="145"/>
      <c r="AQ3109" s="145"/>
      <c r="AR3109" s="145"/>
      <c r="AS3109" s="145"/>
      <c r="AT3109" s="145"/>
      <c r="AU3109" s="145"/>
      <c r="AV3109" s="145"/>
      <c r="AW3109" s="145"/>
      <c r="AX3109" s="145"/>
      <c r="AY3109" s="145"/>
      <c r="AZ3109" s="145"/>
      <c r="BA3109" s="145"/>
      <c r="BB3109" s="145"/>
      <c r="BC3109" s="145"/>
      <c r="BD3109" s="145"/>
      <c r="BE3109" s="145"/>
      <c r="BF3109" s="145"/>
      <c r="BG3109" s="145"/>
      <c r="BH3109" s="145"/>
      <c r="BI3109" s="145"/>
      <c r="BJ3109" s="145"/>
      <c r="BK3109" s="145"/>
      <c r="BL3109" s="145"/>
      <c r="BM3109" s="145"/>
      <c r="BN3109" s="145"/>
      <c r="BO3109" s="145"/>
      <c r="BP3109" s="145"/>
      <c r="BQ3109" s="145"/>
      <c r="BR3109" s="145"/>
      <c r="BS3109" s="145"/>
      <c r="BT3109" s="145"/>
      <c r="BU3109" s="145"/>
      <c r="BV3109" s="145"/>
      <c r="BW3109" s="145"/>
      <c r="BX3109" s="145"/>
      <c r="BY3109" s="145"/>
      <c r="BZ3109" s="145"/>
      <c r="CA3109" s="145"/>
      <c r="CB3109" s="145"/>
      <c r="CC3109" s="145"/>
      <c r="CD3109" s="145"/>
      <c r="CE3109" s="145"/>
      <c r="CF3109" s="145"/>
      <c r="CG3109" s="145"/>
      <c r="CH3109" s="145"/>
      <c r="CI3109" s="145"/>
      <c r="CJ3109" s="145"/>
      <c r="CK3109" s="145"/>
      <c r="CL3109" s="145"/>
      <c r="CM3109" s="145"/>
      <c r="CN3109" s="145"/>
      <c r="CO3109" s="145"/>
      <c r="CP3109" s="145"/>
      <c r="CQ3109" s="145"/>
      <c r="CR3109" s="145"/>
      <c r="CS3109" s="145"/>
      <c r="CT3109" s="145"/>
      <c r="CU3109" s="145"/>
      <c r="CV3109" s="145"/>
      <c r="CW3109" s="145"/>
      <c r="CX3109" s="145"/>
      <c r="CY3109" s="145"/>
      <c r="CZ3109" s="145"/>
      <c r="DA3109" s="145"/>
      <c r="DB3109" s="145"/>
      <c r="DC3109" s="145"/>
      <c r="DD3109" s="145"/>
      <c r="DE3109" s="145"/>
      <c r="DF3109" s="145"/>
      <c r="DG3109" s="145"/>
      <c r="DH3109" s="145"/>
      <c r="DI3109" s="145"/>
      <c r="DJ3109" s="145"/>
      <c r="DK3109" s="145"/>
      <c r="DL3109" s="145"/>
      <c r="DM3109" s="145"/>
      <c r="DN3109" s="145"/>
      <c r="DO3109" s="145"/>
      <c r="DP3109" s="145"/>
      <c r="DQ3109" s="145"/>
      <c r="DR3109" s="145"/>
      <c r="DS3109" s="145"/>
      <c r="DT3109" s="145"/>
      <c r="DU3109" s="145"/>
      <c r="DV3109" s="145"/>
      <c r="DW3109" s="145"/>
      <c r="DX3109" s="145"/>
      <c r="DY3109" s="145"/>
      <c r="DZ3109" s="145"/>
      <c r="EA3109" s="145"/>
      <c r="EB3109" s="145"/>
      <c r="EC3109" s="145"/>
      <c r="ED3109" s="145"/>
      <c r="EE3109" s="145"/>
      <c r="EF3109" s="145"/>
      <c r="EG3109" s="145"/>
      <c r="EH3109" s="145"/>
      <c r="EI3109" s="145"/>
      <c r="EJ3109" s="145"/>
      <c r="EK3109" s="145"/>
      <c r="EL3109" s="145"/>
      <c r="EM3109" s="145"/>
      <c r="EN3109" s="145"/>
      <c r="EO3109" s="145"/>
      <c r="EP3109" s="145"/>
      <c r="EQ3109" s="145"/>
      <c r="ER3109" s="145"/>
      <c r="ES3109" s="145"/>
      <c r="ET3109" s="145"/>
      <c r="EU3109" s="145"/>
      <c r="EV3109" s="145"/>
      <c r="EW3109" s="145"/>
      <c r="EX3109" s="145"/>
      <c r="EY3109" s="145"/>
      <c r="EZ3109" s="145"/>
      <c r="FA3109" s="145"/>
      <c r="FB3109" s="145"/>
      <c r="FC3109" s="145"/>
      <c r="FD3109" s="145"/>
      <c r="FE3109" s="145"/>
      <c r="FF3109" s="145"/>
      <c r="FG3109" s="145"/>
      <c r="FH3109" s="145"/>
      <c r="FI3109" s="145"/>
      <c r="FJ3109" s="145"/>
      <c r="FK3109" s="145"/>
      <c r="FL3109" s="145"/>
      <c r="FM3109" s="145"/>
      <c r="FN3109" s="145"/>
      <c r="FO3109" s="145"/>
      <c r="FP3109" s="145"/>
      <c r="FQ3109" s="145"/>
      <c r="FR3109" s="145"/>
      <c r="FS3109" s="145"/>
      <c r="FT3109" s="145"/>
      <c r="FU3109" s="145"/>
      <c r="FV3109" s="145"/>
      <c r="FW3109" s="145"/>
      <c r="FX3109" s="145"/>
      <c r="FY3109" s="145"/>
      <c r="FZ3109" s="145"/>
      <c r="GA3109" s="145"/>
      <c r="GB3109" s="145"/>
      <c r="GC3109" s="145"/>
      <c r="GD3109" s="145"/>
      <c r="GE3109" s="145"/>
      <c r="GF3109" s="145"/>
      <c r="GG3109" s="145"/>
      <c r="GH3109" s="145"/>
      <c r="GI3109" s="145"/>
      <c r="GJ3109" s="145"/>
      <c r="GK3109" s="145"/>
      <c r="GL3109" s="145"/>
      <c r="GM3109" s="145"/>
      <c r="GN3109" s="145"/>
      <c r="GO3109" s="145"/>
      <c r="GP3109" s="145"/>
      <c r="GQ3109" s="145"/>
      <c r="GR3109" s="145"/>
      <c r="GS3109" s="145"/>
      <c r="GT3109" s="145"/>
      <c r="GU3109" s="145"/>
      <c r="GV3109" s="145"/>
      <c r="GW3109" s="145"/>
      <c r="GX3109" s="145"/>
      <c r="GY3109" s="145"/>
      <c r="GZ3109" s="145"/>
      <c r="HA3109" s="145"/>
      <c r="HB3109" s="145"/>
      <c r="HC3109" s="145"/>
      <c r="HD3109" s="145"/>
      <c r="HE3109" s="145"/>
      <c r="HF3109" s="145"/>
    </row>
    <row r="3110" spans="1:214" x14ac:dyDescent="0.35">
      <c r="A3110" s="277">
        <v>76</v>
      </c>
      <c r="B3110" s="277"/>
      <c r="C3110" s="266"/>
      <c r="D3110" s="287"/>
      <c r="E3110" s="276"/>
      <c r="F3110" s="276"/>
      <c r="G3110" s="277"/>
      <c r="H3110" s="136" t="s">
        <v>75</v>
      </c>
      <c r="I3110" s="181">
        <f>D3108*K3110</f>
        <v>80467.199999999997</v>
      </c>
      <c r="J3110" s="181">
        <f>I3110/D3108</f>
        <v>99</v>
      </c>
      <c r="K3110" s="181">
        <v>99</v>
      </c>
      <c r="L3110" s="145"/>
      <c r="M3110" s="145"/>
      <c r="N3110" s="145"/>
      <c r="O3110" s="145"/>
      <c r="P3110" s="145"/>
      <c r="Q3110" s="145"/>
      <c r="R3110" s="145"/>
      <c r="S3110" s="145"/>
      <c r="T3110" s="145"/>
      <c r="U3110" s="145"/>
      <c r="V3110" s="145"/>
      <c r="W3110" s="145"/>
      <c r="X3110" s="145"/>
      <c r="Y3110" s="145"/>
      <c r="Z3110" s="145"/>
      <c r="AA3110" s="145"/>
      <c r="AB3110" s="145"/>
      <c r="AC3110" s="145"/>
      <c r="AD3110" s="145"/>
      <c r="AE3110" s="145"/>
      <c r="AF3110" s="145"/>
      <c r="AG3110" s="145"/>
      <c r="AH3110" s="145"/>
      <c r="AI3110" s="145"/>
      <c r="AJ3110" s="145"/>
      <c r="AK3110" s="145"/>
      <c r="AL3110" s="145"/>
      <c r="AM3110" s="145"/>
      <c r="AN3110" s="145"/>
      <c r="AO3110" s="145"/>
      <c r="AP3110" s="145"/>
      <c r="AQ3110" s="145"/>
      <c r="AR3110" s="145"/>
      <c r="AS3110" s="145"/>
      <c r="AT3110" s="145"/>
      <c r="AU3110" s="145"/>
      <c r="AV3110" s="145"/>
      <c r="AW3110" s="145"/>
      <c r="AX3110" s="145"/>
      <c r="AY3110" s="145"/>
      <c r="AZ3110" s="145"/>
      <c r="BA3110" s="145"/>
      <c r="BB3110" s="145"/>
      <c r="BC3110" s="145"/>
      <c r="BD3110" s="145"/>
      <c r="BE3110" s="145"/>
      <c r="BF3110" s="145"/>
      <c r="BG3110" s="145"/>
      <c r="BH3110" s="145"/>
      <c r="BI3110" s="145"/>
      <c r="BJ3110" s="145"/>
      <c r="BK3110" s="145"/>
      <c r="BL3110" s="145"/>
      <c r="BM3110" s="145"/>
      <c r="BN3110" s="145"/>
      <c r="BO3110" s="145"/>
      <c r="BP3110" s="145"/>
      <c r="BQ3110" s="145"/>
      <c r="BR3110" s="145"/>
      <c r="BS3110" s="145"/>
      <c r="BT3110" s="145"/>
      <c r="BU3110" s="145"/>
      <c r="BV3110" s="145"/>
      <c r="BW3110" s="145"/>
      <c r="BX3110" s="145"/>
      <c r="BY3110" s="145"/>
      <c r="BZ3110" s="145"/>
      <c r="CA3110" s="145"/>
      <c r="CB3110" s="145"/>
      <c r="CC3110" s="145"/>
      <c r="CD3110" s="145"/>
      <c r="CE3110" s="145"/>
      <c r="CF3110" s="145"/>
      <c r="CG3110" s="145"/>
      <c r="CH3110" s="145"/>
      <c r="CI3110" s="145"/>
      <c r="CJ3110" s="145"/>
      <c r="CK3110" s="145"/>
      <c r="CL3110" s="145"/>
      <c r="CM3110" s="145"/>
      <c r="CN3110" s="145"/>
      <c r="CO3110" s="145"/>
      <c r="CP3110" s="145"/>
      <c r="CQ3110" s="145"/>
      <c r="CR3110" s="145"/>
      <c r="CS3110" s="145"/>
      <c r="CT3110" s="145"/>
      <c r="CU3110" s="145"/>
      <c r="CV3110" s="145"/>
      <c r="CW3110" s="145"/>
      <c r="CX3110" s="145"/>
      <c r="CY3110" s="145"/>
      <c r="CZ3110" s="145"/>
      <c r="DA3110" s="145"/>
      <c r="DB3110" s="145"/>
      <c r="DC3110" s="145"/>
      <c r="DD3110" s="145"/>
      <c r="DE3110" s="145"/>
      <c r="DF3110" s="145"/>
      <c r="DG3110" s="145"/>
      <c r="DH3110" s="145"/>
      <c r="DI3110" s="145"/>
      <c r="DJ3110" s="145"/>
      <c r="DK3110" s="145"/>
      <c r="DL3110" s="145"/>
      <c r="DM3110" s="145"/>
      <c r="DN3110" s="145"/>
      <c r="DO3110" s="145"/>
      <c r="DP3110" s="145"/>
      <c r="DQ3110" s="145"/>
      <c r="DR3110" s="145"/>
      <c r="DS3110" s="145"/>
      <c r="DT3110" s="145"/>
      <c r="DU3110" s="145"/>
      <c r="DV3110" s="145"/>
      <c r="DW3110" s="145"/>
      <c r="DX3110" s="145"/>
      <c r="DY3110" s="145"/>
      <c r="DZ3110" s="145"/>
      <c r="EA3110" s="145"/>
      <c r="EB3110" s="145"/>
      <c r="EC3110" s="145"/>
      <c r="ED3110" s="145"/>
      <c r="EE3110" s="145"/>
      <c r="EF3110" s="145"/>
      <c r="EG3110" s="145"/>
      <c r="EH3110" s="145"/>
      <c r="EI3110" s="145"/>
      <c r="EJ3110" s="145"/>
      <c r="EK3110" s="145"/>
      <c r="EL3110" s="145"/>
      <c r="EM3110" s="145"/>
      <c r="EN3110" s="145"/>
      <c r="EO3110" s="145"/>
      <c r="EP3110" s="145"/>
      <c r="EQ3110" s="145"/>
      <c r="ER3110" s="145"/>
      <c r="ES3110" s="145"/>
      <c r="ET3110" s="145"/>
      <c r="EU3110" s="145"/>
      <c r="EV3110" s="145"/>
      <c r="EW3110" s="145"/>
      <c r="EX3110" s="145"/>
      <c r="EY3110" s="145"/>
      <c r="EZ3110" s="145"/>
      <c r="FA3110" s="145"/>
      <c r="FB3110" s="145"/>
      <c r="FC3110" s="145"/>
      <c r="FD3110" s="145"/>
      <c r="FE3110" s="145"/>
      <c r="FF3110" s="145"/>
      <c r="FG3110" s="145"/>
      <c r="FH3110" s="145"/>
      <c r="FI3110" s="145"/>
      <c r="FJ3110" s="145"/>
      <c r="FK3110" s="145"/>
      <c r="FL3110" s="145"/>
      <c r="FM3110" s="145"/>
      <c r="FN3110" s="145"/>
      <c r="FO3110" s="145"/>
      <c r="FP3110" s="145"/>
      <c r="FQ3110" s="145"/>
      <c r="FR3110" s="145"/>
      <c r="FS3110" s="145"/>
      <c r="FT3110" s="145"/>
      <c r="FU3110" s="145"/>
      <c r="FV3110" s="145"/>
      <c r="FW3110" s="145"/>
      <c r="FX3110" s="145"/>
      <c r="FY3110" s="145"/>
      <c r="FZ3110" s="145"/>
      <c r="GA3110" s="145"/>
      <c r="GB3110" s="145"/>
      <c r="GC3110" s="145"/>
      <c r="GD3110" s="145"/>
      <c r="GE3110" s="145"/>
      <c r="GF3110" s="145"/>
      <c r="GG3110" s="145"/>
      <c r="GH3110" s="145"/>
      <c r="GI3110" s="145"/>
      <c r="GJ3110" s="145"/>
      <c r="GK3110" s="145"/>
      <c r="GL3110" s="145"/>
      <c r="GM3110" s="145"/>
      <c r="GN3110" s="145"/>
      <c r="GO3110" s="145"/>
      <c r="GP3110" s="145"/>
      <c r="GQ3110" s="145"/>
      <c r="GR3110" s="145"/>
      <c r="GS3110" s="145"/>
      <c r="GT3110" s="145"/>
      <c r="GU3110" s="145"/>
      <c r="GV3110" s="145"/>
      <c r="GW3110" s="145"/>
      <c r="GX3110" s="145"/>
      <c r="GY3110" s="145"/>
      <c r="GZ3110" s="145"/>
      <c r="HA3110" s="145"/>
      <c r="HB3110" s="145"/>
      <c r="HC3110" s="145"/>
      <c r="HD3110" s="145"/>
      <c r="HE3110" s="145"/>
      <c r="HF3110" s="145"/>
    </row>
    <row r="3111" spans="1:214" x14ac:dyDescent="0.35">
      <c r="A3111" s="270">
        <f>A3108+1</f>
        <v>60</v>
      </c>
      <c r="B3111" s="270">
        <v>2570</v>
      </c>
      <c r="C3111" s="262" t="s">
        <v>141</v>
      </c>
      <c r="D3111" s="273">
        <v>628.4</v>
      </c>
      <c r="E3111" s="267" t="s">
        <v>74</v>
      </c>
      <c r="F3111" s="267">
        <v>3</v>
      </c>
      <c r="G3111" s="270" t="s">
        <v>84</v>
      </c>
      <c r="H3111" s="136" t="s">
        <v>72</v>
      </c>
      <c r="I3111" s="181">
        <f>I3112+I3113</f>
        <v>655421.19999999995</v>
      </c>
      <c r="J3111" s="181">
        <f>J3112+J3113</f>
        <v>1043</v>
      </c>
      <c r="K3111" s="181">
        <f>K3112+K3113</f>
        <v>1043</v>
      </c>
      <c r="L3111" s="145"/>
      <c r="M3111" s="145"/>
      <c r="N3111" s="145"/>
      <c r="O3111" s="145"/>
      <c r="P3111" s="145"/>
      <c r="Q3111" s="145"/>
      <c r="R3111" s="145"/>
      <c r="S3111" s="145"/>
      <c r="T3111" s="145"/>
      <c r="U3111" s="145"/>
      <c r="V3111" s="145"/>
      <c r="W3111" s="145"/>
      <c r="X3111" s="145"/>
      <c r="Y3111" s="145"/>
      <c r="Z3111" s="145"/>
      <c r="AA3111" s="145"/>
      <c r="AB3111" s="145"/>
      <c r="AC3111" s="145"/>
      <c r="AD3111" s="145"/>
      <c r="AE3111" s="145"/>
      <c r="AF3111" s="145"/>
      <c r="AG3111" s="145"/>
      <c r="AH3111" s="145"/>
      <c r="AI3111" s="145"/>
      <c r="AJ3111" s="145"/>
      <c r="AK3111" s="145"/>
      <c r="AL3111" s="145"/>
      <c r="AM3111" s="145"/>
      <c r="AN3111" s="145"/>
      <c r="AO3111" s="145"/>
      <c r="AP3111" s="145"/>
      <c r="AQ3111" s="145"/>
      <c r="AR3111" s="145"/>
      <c r="AS3111" s="145"/>
      <c r="AT3111" s="145"/>
      <c r="AU3111" s="145"/>
      <c r="AV3111" s="145"/>
      <c r="AW3111" s="145"/>
      <c r="AX3111" s="145"/>
      <c r="AY3111" s="145"/>
      <c r="AZ3111" s="145"/>
      <c r="BA3111" s="145"/>
      <c r="BB3111" s="145"/>
      <c r="BC3111" s="145"/>
      <c r="BD3111" s="145"/>
      <c r="BE3111" s="145"/>
      <c r="BF3111" s="145"/>
      <c r="BG3111" s="145"/>
      <c r="BH3111" s="145"/>
      <c r="BI3111" s="145"/>
      <c r="BJ3111" s="145"/>
      <c r="BK3111" s="145"/>
      <c r="BL3111" s="145"/>
      <c r="BM3111" s="145"/>
      <c r="BN3111" s="145"/>
      <c r="BO3111" s="145"/>
      <c r="BP3111" s="145"/>
      <c r="BQ3111" s="145"/>
      <c r="BR3111" s="145"/>
      <c r="BS3111" s="145"/>
      <c r="BT3111" s="145"/>
      <c r="BU3111" s="145"/>
      <c r="BV3111" s="145"/>
      <c r="BW3111" s="145"/>
      <c r="BX3111" s="145"/>
      <c r="BY3111" s="145"/>
      <c r="BZ3111" s="145"/>
      <c r="CA3111" s="145"/>
      <c r="CB3111" s="145"/>
      <c r="CC3111" s="145"/>
      <c r="CD3111" s="145"/>
      <c r="CE3111" s="145"/>
      <c r="CF3111" s="145"/>
      <c r="CG3111" s="145"/>
      <c r="CH3111" s="145"/>
      <c r="CI3111" s="145"/>
      <c r="CJ3111" s="145"/>
      <c r="CK3111" s="145"/>
      <c r="CL3111" s="145"/>
      <c r="CM3111" s="145"/>
      <c r="CN3111" s="145"/>
      <c r="CO3111" s="145"/>
      <c r="CP3111" s="145"/>
      <c r="CQ3111" s="145"/>
      <c r="CR3111" s="145"/>
      <c r="CS3111" s="145"/>
      <c r="CT3111" s="145"/>
      <c r="CU3111" s="145"/>
      <c r="CV3111" s="145"/>
      <c r="CW3111" s="145"/>
      <c r="CX3111" s="145"/>
      <c r="CY3111" s="145"/>
      <c r="CZ3111" s="145"/>
      <c r="DA3111" s="145"/>
      <c r="DB3111" s="145"/>
      <c r="DC3111" s="145"/>
      <c r="DD3111" s="145"/>
      <c r="DE3111" s="145"/>
      <c r="DF3111" s="145"/>
      <c r="DG3111" s="145"/>
      <c r="DH3111" s="145"/>
      <c r="DI3111" s="145"/>
      <c r="DJ3111" s="145"/>
      <c r="DK3111" s="145"/>
      <c r="DL3111" s="145"/>
      <c r="DM3111" s="145"/>
      <c r="DN3111" s="145"/>
      <c r="DO3111" s="145"/>
      <c r="DP3111" s="145"/>
      <c r="DQ3111" s="145"/>
      <c r="DR3111" s="145"/>
      <c r="DS3111" s="145"/>
      <c r="DT3111" s="145"/>
      <c r="DU3111" s="145"/>
      <c r="DV3111" s="145"/>
      <c r="DW3111" s="145"/>
      <c r="DX3111" s="145"/>
      <c r="DY3111" s="145"/>
      <c r="DZ3111" s="145"/>
      <c r="EA3111" s="145"/>
      <c r="EB3111" s="145"/>
      <c r="EC3111" s="145"/>
      <c r="ED3111" s="145"/>
      <c r="EE3111" s="145"/>
      <c r="EF3111" s="145"/>
      <c r="EG3111" s="145"/>
      <c r="EH3111" s="145"/>
      <c r="EI3111" s="145"/>
      <c r="EJ3111" s="145"/>
      <c r="EK3111" s="145"/>
      <c r="EL3111" s="145"/>
      <c r="EM3111" s="145"/>
      <c r="EN3111" s="145"/>
      <c r="EO3111" s="145"/>
      <c r="EP3111" s="145"/>
      <c r="EQ3111" s="145"/>
      <c r="ER3111" s="145"/>
      <c r="ES3111" s="145"/>
      <c r="ET3111" s="145"/>
      <c r="EU3111" s="145"/>
      <c r="EV3111" s="145"/>
      <c r="EW3111" s="145"/>
      <c r="EX3111" s="145"/>
      <c r="EY3111" s="145"/>
      <c r="EZ3111" s="145"/>
      <c r="FA3111" s="145"/>
      <c r="FB3111" s="145"/>
      <c r="FC3111" s="145"/>
      <c r="FD3111" s="145"/>
      <c r="FE3111" s="145"/>
      <c r="FF3111" s="145"/>
      <c r="FG3111" s="145"/>
      <c r="FH3111" s="145"/>
      <c r="FI3111" s="145"/>
      <c r="FJ3111" s="145"/>
      <c r="FK3111" s="145"/>
      <c r="FL3111" s="145"/>
      <c r="FM3111" s="145"/>
      <c r="FN3111" s="145"/>
      <c r="FO3111" s="145"/>
      <c r="FP3111" s="145"/>
      <c r="FQ3111" s="145"/>
      <c r="FR3111" s="145"/>
      <c r="FS3111" s="145"/>
      <c r="FT3111" s="145"/>
      <c r="FU3111" s="145"/>
      <c r="FV3111" s="145"/>
      <c r="FW3111" s="145"/>
      <c r="FX3111" s="145"/>
      <c r="FY3111" s="145"/>
      <c r="FZ3111" s="145"/>
      <c r="GA3111" s="145"/>
      <c r="GB3111" s="145"/>
      <c r="GC3111" s="145"/>
      <c r="GD3111" s="145"/>
      <c r="GE3111" s="145"/>
      <c r="GF3111" s="145"/>
      <c r="GG3111" s="145"/>
      <c r="GH3111" s="145"/>
      <c r="GI3111" s="145"/>
      <c r="GJ3111" s="145"/>
      <c r="GK3111" s="145"/>
      <c r="GL3111" s="145"/>
      <c r="GM3111" s="145"/>
      <c r="GN3111" s="145"/>
      <c r="GO3111" s="145"/>
      <c r="GP3111" s="145"/>
      <c r="GQ3111" s="145"/>
      <c r="GR3111" s="145"/>
      <c r="GS3111" s="145"/>
      <c r="GT3111" s="145"/>
      <c r="GU3111" s="145"/>
      <c r="GV3111" s="145"/>
      <c r="GW3111" s="145"/>
      <c r="GX3111" s="145"/>
      <c r="GY3111" s="145"/>
      <c r="GZ3111" s="145"/>
      <c r="HA3111" s="145"/>
      <c r="HB3111" s="145"/>
      <c r="HC3111" s="145"/>
      <c r="HD3111" s="145"/>
      <c r="HE3111" s="145"/>
      <c r="HF3111" s="145"/>
    </row>
    <row r="3112" spans="1:214" x14ac:dyDescent="0.35">
      <c r="A3112" s="271"/>
      <c r="B3112" s="271"/>
      <c r="C3112" s="263"/>
      <c r="D3112" s="274"/>
      <c r="E3112" s="268"/>
      <c r="F3112" s="268"/>
      <c r="G3112" s="271"/>
      <c r="H3112" s="136" t="s">
        <v>73</v>
      </c>
      <c r="I3112" s="181">
        <f>D3111*K3112</f>
        <v>641596.4</v>
      </c>
      <c r="J3112" s="181">
        <f>I3112/D3111</f>
        <v>1021</v>
      </c>
      <c r="K3112" s="181">
        <v>1021</v>
      </c>
      <c r="L3112" s="145"/>
      <c r="M3112" s="145"/>
      <c r="N3112" s="145"/>
      <c r="O3112" s="145"/>
      <c r="P3112" s="145"/>
      <c r="Q3112" s="145"/>
      <c r="R3112" s="145"/>
      <c r="S3112" s="145"/>
      <c r="T3112" s="145"/>
      <c r="U3112" s="145"/>
      <c r="V3112" s="145"/>
      <c r="W3112" s="145"/>
      <c r="X3112" s="145"/>
      <c r="Y3112" s="145"/>
      <c r="Z3112" s="145"/>
      <c r="AA3112" s="145"/>
      <c r="AB3112" s="145"/>
      <c r="AC3112" s="145"/>
      <c r="AD3112" s="145"/>
      <c r="AE3112" s="145"/>
      <c r="AF3112" s="145"/>
      <c r="AG3112" s="145"/>
      <c r="AH3112" s="145"/>
      <c r="AI3112" s="145"/>
      <c r="AJ3112" s="145"/>
      <c r="AK3112" s="145"/>
      <c r="AL3112" s="145"/>
      <c r="AM3112" s="145"/>
      <c r="AN3112" s="145"/>
      <c r="AO3112" s="145"/>
      <c r="AP3112" s="145"/>
      <c r="AQ3112" s="145"/>
      <c r="AR3112" s="145"/>
      <c r="AS3112" s="145"/>
      <c r="AT3112" s="145"/>
      <c r="AU3112" s="145"/>
      <c r="AV3112" s="145"/>
      <c r="AW3112" s="145"/>
      <c r="AX3112" s="145"/>
      <c r="AY3112" s="145"/>
      <c r="AZ3112" s="145"/>
      <c r="BA3112" s="145"/>
      <c r="BB3112" s="145"/>
      <c r="BC3112" s="145"/>
      <c r="BD3112" s="145"/>
      <c r="BE3112" s="145"/>
      <c r="BF3112" s="145"/>
      <c r="BG3112" s="145"/>
      <c r="BH3112" s="145"/>
      <c r="BI3112" s="145"/>
      <c r="BJ3112" s="145"/>
      <c r="BK3112" s="145"/>
      <c r="BL3112" s="145"/>
      <c r="BM3112" s="145"/>
      <c r="BN3112" s="145"/>
      <c r="BO3112" s="145"/>
      <c r="BP3112" s="145"/>
      <c r="BQ3112" s="145"/>
      <c r="BR3112" s="145"/>
      <c r="BS3112" s="145"/>
      <c r="BT3112" s="145"/>
      <c r="BU3112" s="145"/>
      <c r="BV3112" s="145"/>
      <c r="BW3112" s="145"/>
      <c r="BX3112" s="145"/>
      <c r="BY3112" s="145"/>
      <c r="BZ3112" s="145"/>
      <c r="CA3112" s="145"/>
      <c r="CB3112" s="145"/>
      <c r="CC3112" s="145"/>
      <c r="CD3112" s="145"/>
      <c r="CE3112" s="145"/>
      <c r="CF3112" s="145"/>
      <c r="CG3112" s="145"/>
      <c r="CH3112" s="145"/>
      <c r="CI3112" s="145"/>
      <c r="CJ3112" s="145"/>
      <c r="CK3112" s="145"/>
      <c r="CL3112" s="145"/>
      <c r="CM3112" s="145"/>
      <c r="CN3112" s="145"/>
      <c r="CO3112" s="145"/>
      <c r="CP3112" s="145"/>
      <c r="CQ3112" s="145"/>
      <c r="CR3112" s="145"/>
      <c r="CS3112" s="145"/>
      <c r="CT3112" s="145"/>
      <c r="CU3112" s="145"/>
      <c r="CV3112" s="145"/>
      <c r="CW3112" s="145"/>
      <c r="CX3112" s="145"/>
      <c r="CY3112" s="145"/>
      <c r="CZ3112" s="145"/>
      <c r="DA3112" s="145"/>
      <c r="DB3112" s="145"/>
      <c r="DC3112" s="145"/>
      <c r="DD3112" s="145"/>
      <c r="DE3112" s="145"/>
      <c r="DF3112" s="145"/>
      <c r="DG3112" s="145"/>
      <c r="DH3112" s="145"/>
      <c r="DI3112" s="145"/>
      <c r="DJ3112" s="145"/>
      <c r="DK3112" s="145"/>
      <c r="DL3112" s="145"/>
      <c r="DM3112" s="145"/>
      <c r="DN3112" s="145"/>
      <c r="DO3112" s="145"/>
      <c r="DP3112" s="145"/>
      <c r="DQ3112" s="145"/>
      <c r="DR3112" s="145"/>
      <c r="DS3112" s="145"/>
      <c r="DT3112" s="145"/>
      <c r="DU3112" s="145"/>
      <c r="DV3112" s="145"/>
      <c r="DW3112" s="145"/>
      <c r="DX3112" s="145"/>
      <c r="DY3112" s="145"/>
      <c r="DZ3112" s="145"/>
      <c r="EA3112" s="145"/>
      <c r="EB3112" s="145"/>
      <c r="EC3112" s="145"/>
      <c r="ED3112" s="145"/>
      <c r="EE3112" s="145"/>
      <c r="EF3112" s="145"/>
      <c r="EG3112" s="145"/>
      <c r="EH3112" s="145"/>
      <c r="EI3112" s="145"/>
      <c r="EJ3112" s="145"/>
      <c r="EK3112" s="145"/>
      <c r="EL3112" s="145"/>
      <c r="EM3112" s="145"/>
      <c r="EN3112" s="145"/>
      <c r="EO3112" s="145"/>
      <c r="EP3112" s="145"/>
      <c r="EQ3112" s="145"/>
      <c r="ER3112" s="145"/>
      <c r="ES3112" s="145"/>
      <c r="ET3112" s="145"/>
      <c r="EU3112" s="145"/>
      <c r="EV3112" s="145"/>
      <c r="EW3112" s="145"/>
      <c r="EX3112" s="145"/>
      <c r="EY3112" s="145"/>
      <c r="EZ3112" s="145"/>
      <c r="FA3112" s="145"/>
      <c r="FB3112" s="145"/>
      <c r="FC3112" s="145"/>
      <c r="FD3112" s="145"/>
      <c r="FE3112" s="145"/>
      <c r="FF3112" s="145"/>
      <c r="FG3112" s="145"/>
      <c r="FH3112" s="145"/>
      <c r="FI3112" s="145"/>
      <c r="FJ3112" s="145"/>
      <c r="FK3112" s="145"/>
      <c r="FL3112" s="145"/>
      <c r="FM3112" s="145"/>
      <c r="FN3112" s="145"/>
      <c r="FO3112" s="145"/>
      <c r="FP3112" s="145"/>
      <c r="FQ3112" s="145"/>
      <c r="FR3112" s="145"/>
      <c r="FS3112" s="145"/>
      <c r="FT3112" s="145"/>
      <c r="FU3112" s="145"/>
      <c r="FV3112" s="145"/>
      <c r="FW3112" s="145"/>
      <c r="FX3112" s="145"/>
      <c r="FY3112" s="145"/>
      <c r="FZ3112" s="145"/>
      <c r="GA3112" s="145"/>
      <c r="GB3112" s="145"/>
      <c r="GC3112" s="145"/>
      <c r="GD3112" s="145"/>
      <c r="GE3112" s="145"/>
      <c r="GF3112" s="145"/>
      <c r="GG3112" s="145"/>
      <c r="GH3112" s="145"/>
      <c r="GI3112" s="145"/>
      <c r="GJ3112" s="145"/>
      <c r="GK3112" s="145"/>
      <c r="GL3112" s="145"/>
      <c r="GM3112" s="145"/>
      <c r="GN3112" s="145"/>
      <c r="GO3112" s="145"/>
      <c r="GP3112" s="145"/>
      <c r="GQ3112" s="145"/>
      <c r="GR3112" s="145"/>
      <c r="GS3112" s="145"/>
      <c r="GT3112" s="145"/>
      <c r="GU3112" s="145"/>
      <c r="GV3112" s="145"/>
      <c r="GW3112" s="145"/>
      <c r="GX3112" s="145"/>
      <c r="GY3112" s="145"/>
      <c r="GZ3112" s="145"/>
      <c r="HA3112" s="145"/>
      <c r="HB3112" s="145"/>
      <c r="HC3112" s="145"/>
      <c r="HD3112" s="145"/>
      <c r="HE3112" s="145"/>
      <c r="HF3112" s="145"/>
    </row>
    <row r="3113" spans="1:214" x14ac:dyDescent="0.35">
      <c r="A3113" s="271"/>
      <c r="B3113" s="271"/>
      <c r="C3113" s="263"/>
      <c r="D3113" s="274"/>
      <c r="E3113" s="268"/>
      <c r="F3113" s="268"/>
      <c r="G3113" s="272"/>
      <c r="H3113" s="136" t="s">
        <v>75</v>
      </c>
      <c r="I3113" s="181">
        <f>D3111*K3113</f>
        <v>13824.8</v>
      </c>
      <c r="J3113" s="181">
        <f>I3113/D3111</f>
        <v>22</v>
      </c>
      <c r="K3113" s="181">
        <v>22</v>
      </c>
      <c r="L3113" s="145"/>
      <c r="M3113" s="145"/>
      <c r="N3113" s="145"/>
      <c r="O3113" s="145"/>
      <c r="P3113" s="145"/>
      <c r="Q3113" s="145"/>
      <c r="R3113" s="145"/>
      <c r="S3113" s="145"/>
      <c r="T3113" s="145"/>
      <c r="U3113" s="145"/>
      <c r="V3113" s="145"/>
      <c r="W3113" s="145"/>
      <c r="X3113" s="145"/>
      <c r="Y3113" s="145"/>
      <c r="Z3113" s="145"/>
      <c r="AA3113" s="145"/>
      <c r="AB3113" s="145"/>
      <c r="AC3113" s="145"/>
      <c r="AD3113" s="145"/>
      <c r="AE3113" s="145"/>
      <c r="AF3113" s="145"/>
      <c r="AG3113" s="145"/>
      <c r="AH3113" s="145"/>
      <c r="AI3113" s="145"/>
      <c r="AJ3113" s="145"/>
      <c r="AK3113" s="145"/>
      <c r="AL3113" s="145"/>
      <c r="AM3113" s="145"/>
      <c r="AN3113" s="145"/>
      <c r="AO3113" s="145"/>
      <c r="AP3113" s="145"/>
      <c r="AQ3113" s="145"/>
      <c r="AR3113" s="145"/>
      <c r="AS3113" s="145"/>
      <c r="AT3113" s="145"/>
      <c r="AU3113" s="145"/>
      <c r="AV3113" s="145"/>
      <c r="AW3113" s="145"/>
      <c r="AX3113" s="145"/>
      <c r="AY3113" s="145"/>
      <c r="AZ3113" s="145"/>
      <c r="BA3113" s="145"/>
      <c r="BB3113" s="145"/>
      <c r="BC3113" s="145"/>
      <c r="BD3113" s="145"/>
      <c r="BE3113" s="145"/>
      <c r="BF3113" s="145"/>
      <c r="BG3113" s="145"/>
      <c r="BH3113" s="145"/>
      <c r="BI3113" s="145"/>
      <c r="BJ3113" s="145"/>
      <c r="BK3113" s="145"/>
      <c r="BL3113" s="145"/>
      <c r="BM3113" s="145"/>
      <c r="BN3113" s="145"/>
      <c r="BO3113" s="145"/>
      <c r="BP3113" s="145"/>
      <c r="BQ3113" s="145"/>
      <c r="BR3113" s="145"/>
      <c r="BS3113" s="145"/>
      <c r="BT3113" s="145"/>
      <c r="BU3113" s="145"/>
      <c r="BV3113" s="145"/>
      <c r="BW3113" s="145"/>
      <c r="BX3113" s="145"/>
      <c r="BY3113" s="145"/>
      <c r="BZ3113" s="145"/>
      <c r="CA3113" s="145"/>
      <c r="CB3113" s="145"/>
      <c r="CC3113" s="145"/>
      <c r="CD3113" s="145"/>
      <c r="CE3113" s="145"/>
      <c r="CF3113" s="145"/>
      <c r="CG3113" s="145"/>
      <c r="CH3113" s="145"/>
      <c r="CI3113" s="145"/>
      <c r="CJ3113" s="145"/>
      <c r="CK3113" s="145"/>
      <c r="CL3113" s="145"/>
      <c r="CM3113" s="145"/>
      <c r="CN3113" s="145"/>
      <c r="CO3113" s="145"/>
      <c r="CP3113" s="145"/>
      <c r="CQ3113" s="145"/>
      <c r="CR3113" s="145"/>
      <c r="CS3113" s="145"/>
      <c r="CT3113" s="145"/>
      <c r="CU3113" s="145"/>
      <c r="CV3113" s="145"/>
      <c r="CW3113" s="145"/>
      <c r="CX3113" s="145"/>
      <c r="CY3113" s="145"/>
      <c r="CZ3113" s="145"/>
      <c r="DA3113" s="145"/>
      <c r="DB3113" s="145"/>
      <c r="DC3113" s="145"/>
      <c r="DD3113" s="145"/>
      <c r="DE3113" s="145"/>
      <c r="DF3113" s="145"/>
      <c r="DG3113" s="145"/>
      <c r="DH3113" s="145"/>
      <c r="DI3113" s="145"/>
      <c r="DJ3113" s="145"/>
      <c r="DK3113" s="145"/>
      <c r="DL3113" s="145"/>
      <c r="DM3113" s="145"/>
      <c r="DN3113" s="145"/>
      <c r="DO3113" s="145"/>
      <c r="DP3113" s="145"/>
      <c r="DQ3113" s="145"/>
      <c r="DR3113" s="145"/>
      <c r="DS3113" s="145"/>
      <c r="DT3113" s="145"/>
      <c r="DU3113" s="145"/>
      <c r="DV3113" s="145"/>
      <c r="DW3113" s="145"/>
      <c r="DX3113" s="145"/>
      <c r="DY3113" s="145"/>
      <c r="DZ3113" s="145"/>
      <c r="EA3113" s="145"/>
      <c r="EB3113" s="145"/>
      <c r="EC3113" s="145"/>
      <c r="ED3113" s="145"/>
      <c r="EE3113" s="145"/>
      <c r="EF3113" s="145"/>
      <c r="EG3113" s="145"/>
      <c r="EH3113" s="145"/>
      <c r="EI3113" s="145"/>
      <c r="EJ3113" s="145"/>
      <c r="EK3113" s="145"/>
      <c r="EL3113" s="145"/>
      <c r="EM3113" s="145"/>
      <c r="EN3113" s="145"/>
      <c r="EO3113" s="145"/>
      <c r="EP3113" s="145"/>
      <c r="EQ3113" s="145"/>
      <c r="ER3113" s="145"/>
      <c r="ES3113" s="145"/>
      <c r="ET3113" s="145"/>
      <c r="EU3113" s="145"/>
      <c r="EV3113" s="145"/>
      <c r="EW3113" s="145"/>
      <c r="EX3113" s="145"/>
      <c r="EY3113" s="145"/>
      <c r="EZ3113" s="145"/>
      <c r="FA3113" s="145"/>
      <c r="FB3113" s="145"/>
      <c r="FC3113" s="145"/>
      <c r="FD3113" s="145"/>
      <c r="FE3113" s="145"/>
      <c r="FF3113" s="145"/>
      <c r="FG3113" s="145"/>
      <c r="FH3113" s="145"/>
      <c r="FI3113" s="145"/>
      <c r="FJ3113" s="145"/>
      <c r="FK3113" s="145"/>
      <c r="FL3113" s="145"/>
      <c r="FM3113" s="145"/>
      <c r="FN3113" s="145"/>
      <c r="FO3113" s="145"/>
      <c r="FP3113" s="145"/>
      <c r="FQ3113" s="145"/>
      <c r="FR3113" s="145"/>
      <c r="FS3113" s="145"/>
      <c r="FT3113" s="145"/>
      <c r="FU3113" s="145"/>
      <c r="FV3113" s="145"/>
      <c r="FW3113" s="145"/>
      <c r="FX3113" s="145"/>
      <c r="FY3113" s="145"/>
      <c r="FZ3113" s="145"/>
      <c r="GA3113" s="145"/>
      <c r="GB3113" s="145"/>
      <c r="GC3113" s="145"/>
      <c r="GD3113" s="145"/>
      <c r="GE3113" s="145"/>
      <c r="GF3113" s="145"/>
      <c r="GG3113" s="145"/>
      <c r="GH3113" s="145"/>
      <c r="GI3113" s="145"/>
      <c r="GJ3113" s="145"/>
      <c r="GK3113" s="145"/>
      <c r="GL3113" s="145"/>
      <c r="GM3113" s="145"/>
      <c r="GN3113" s="145"/>
      <c r="GO3113" s="145"/>
      <c r="GP3113" s="145"/>
      <c r="GQ3113" s="145"/>
      <c r="GR3113" s="145"/>
      <c r="GS3113" s="145"/>
      <c r="GT3113" s="145"/>
      <c r="GU3113" s="145"/>
      <c r="GV3113" s="145"/>
      <c r="GW3113" s="145"/>
      <c r="GX3113" s="145"/>
      <c r="GY3113" s="145"/>
      <c r="GZ3113" s="145"/>
      <c r="HA3113" s="145"/>
      <c r="HB3113" s="145"/>
      <c r="HC3113" s="145"/>
    </row>
    <row r="3114" spans="1:214" x14ac:dyDescent="0.35">
      <c r="A3114" s="277">
        <f>A3111+1</f>
        <v>61</v>
      </c>
      <c r="B3114" s="277">
        <v>2412</v>
      </c>
      <c r="C3114" s="266" t="s">
        <v>142</v>
      </c>
      <c r="D3114" s="287">
        <v>1324.2</v>
      </c>
      <c r="E3114" s="276" t="s">
        <v>74</v>
      </c>
      <c r="F3114" s="276">
        <v>5</v>
      </c>
      <c r="G3114" s="277" t="s">
        <v>71</v>
      </c>
      <c r="H3114" s="136" t="s">
        <v>72</v>
      </c>
      <c r="I3114" s="181">
        <f>I3115+I3116</f>
        <v>4293056.4000000004</v>
      </c>
      <c r="J3114" s="181">
        <f>J3115+J3116</f>
        <v>3242</v>
      </c>
      <c r="K3114" s="181">
        <f>K3115+K3116</f>
        <v>3242</v>
      </c>
      <c r="L3114" s="145"/>
      <c r="M3114" s="145"/>
      <c r="N3114" s="145"/>
      <c r="O3114" s="145"/>
      <c r="P3114" s="145"/>
      <c r="Q3114" s="145"/>
      <c r="R3114" s="145"/>
      <c r="S3114" s="145"/>
      <c r="T3114" s="145"/>
      <c r="U3114" s="145"/>
      <c r="V3114" s="145"/>
      <c r="W3114" s="145"/>
      <c r="X3114" s="145"/>
      <c r="Y3114" s="145"/>
      <c r="Z3114" s="145"/>
      <c r="AA3114" s="145"/>
      <c r="AB3114" s="145"/>
      <c r="AC3114" s="145"/>
      <c r="AD3114" s="145"/>
      <c r="AE3114" s="145"/>
      <c r="AF3114" s="145"/>
      <c r="AG3114" s="145"/>
      <c r="AH3114" s="145"/>
      <c r="AI3114" s="145"/>
      <c r="AJ3114" s="145"/>
      <c r="AK3114" s="145"/>
      <c r="AL3114" s="145"/>
      <c r="AM3114" s="145"/>
      <c r="AN3114" s="145"/>
      <c r="AO3114" s="145"/>
      <c r="AP3114" s="145"/>
      <c r="AQ3114" s="145"/>
      <c r="AR3114" s="145"/>
      <c r="AS3114" s="145"/>
      <c r="AT3114" s="145"/>
      <c r="AU3114" s="145"/>
      <c r="AV3114" s="145"/>
      <c r="AW3114" s="145"/>
      <c r="AX3114" s="145"/>
      <c r="AY3114" s="145"/>
      <c r="AZ3114" s="145"/>
      <c r="BA3114" s="145"/>
      <c r="BB3114" s="145"/>
      <c r="BC3114" s="145"/>
      <c r="BD3114" s="145"/>
      <c r="BE3114" s="145"/>
      <c r="BF3114" s="145"/>
      <c r="BG3114" s="145"/>
      <c r="BH3114" s="145"/>
      <c r="BI3114" s="145"/>
      <c r="BJ3114" s="145"/>
      <c r="BK3114" s="145"/>
      <c r="BL3114" s="145"/>
      <c r="BM3114" s="145"/>
      <c r="BN3114" s="145"/>
      <c r="BO3114" s="145"/>
      <c r="BP3114" s="145"/>
      <c r="BQ3114" s="145"/>
      <c r="BR3114" s="145"/>
      <c r="BS3114" s="145"/>
      <c r="BT3114" s="145"/>
      <c r="BU3114" s="145"/>
      <c r="BV3114" s="145"/>
      <c r="BW3114" s="145"/>
      <c r="BX3114" s="145"/>
      <c r="BY3114" s="145"/>
      <c r="BZ3114" s="145"/>
      <c r="CA3114" s="145"/>
      <c r="CB3114" s="145"/>
      <c r="CC3114" s="145"/>
      <c r="CD3114" s="145"/>
      <c r="CE3114" s="145"/>
      <c r="CF3114" s="145"/>
      <c r="CG3114" s="145"/>
      <c r="CH3114" s="145"/>
      <c r="CI3114" s="145"/>
      <c r="CJ3114" s="145"/>
      <c r="CK3114" s="145"/>
      <c r="CL3114" s="145"/>
      <c r="CM3114" s="145"/>
      <c r="CN3114" s="145"/>
      <c r="CO3114" s="145"/>
      <c r="CP3114" s="145"/>
      <c r="CQ3114" s="145"/>
      <c r="CR3114" s="145"/>
      <c r="CS3114" s="145"/>
      <c r="CT3114" s="145"/>
      <c r="CU3114" s="145"/>
      <c r="CV3114" s="145"/>
      <c r="CW3114" s="145"/>
      <c r="CX3114" s="145"/>
      <c r="CY3114" s="145"/>
      <c r="CZ3114" s="145"/>
      <c r="DA3114" s="145"/>
      <c r="DB3114" s="145"/>
      <c r="DC3114" s="145"/>
      <c r="DD3114" s="145"/>
      <c r="DE3114" s="145"/>
      <c r="DF3114" s="145"/>
      <c r="DG3114" s="145"/>
      <c r="DH3114" s="145"/>
      <c r="DI3114" s="145"/>
      <c r="DJ3114" s="145"/>
      <c r="DK3114" s="145"/>
      <c r="DL3114" s="145"/>
      <c r="DM3114" s="145"/>
      <c r="DN3114" s="145"/>
      <c r="DO3114" s="145"/>
      <c r="DP3114" s="145"/>
      <c r="DQ3114" s="145"/>
      <c r="DR3114" s="145"/>
      <c r="DS3114" s="145"/>
      <c r="DT3114" s="145"/>
      <c r="DU3114" s="145"/>
      <c r="DV3114" s="145"/>
      <c r="DW3114" s="145"/>
      <c r="DX3114" s="145"/>
      <c r="DY3114" s="145"/>
      <c r="DZ3114" s="145"/>
      <c r="EA3114" s="145"/>
      <c r="EB3114" s="145"/>
      <c r="EC3114" s="145"/>
      <c r="ED3114" s="145"/>
      <c r="EE3114" s="145"/>
      <c r="EF3114" s="145"/>
      <c r="EG3114" s="145"/>
      <c r="EH3114" s="145"/>
      <c r="EI3114" s="145"/>
      <c r="EJ3114" s="145"/>
      <c r="EK3114" s="145"/>
      <c r="EL3114" s="145"/>
      <c r="EM3114" s="145"/>
      <c r="EN3114" s="145"/>
      <c r="EO3114" s="145"/>
      <c r="EP3114" s="145"/>
      <c r="EQ3114" s="145"/>
      <c r="ER3114" s="145"/>
      <c r="ES3114" s="145"/>
      <c r="ET3114" s="145"/>
      <c r="EU3114" s="145"/>
      <c r="EV3114" s="145"/>
      <c r="EW3114" s="145"/>
      <c r="EX3114" s="145"/>
      <c r="EY3114" s="145"/>
      <c r="EZ3114" s="145"/>
      <c r="FA3114" s="145"/>
      <c r="FB3114" s="145"/>
      <c r="FC3114" s="145"/>
      <c r="FD3114" s="145"/>
      <c r="FE3114" s="145"/>
      <c r="FF3114" s="145"/>
      <c r="FG3114" s="145"/>
      <c r="FH3114" s="145"/>
      <c r="FI3114" s="145"/>
      <c r="FJ3114" s="145"/>
      <c r="FK3114" s="145"/>
      <c r="FL3114" s="145"/>
      <c r="FM3114" s="145"/>
      <c r="FN3114" s="145"/>
      <c r="FO3114" s="145"/>
      <c r="FP3114" s="145"/>
      <c r="FQ3114" s="145"/>
      <c r="FR3114" s="145"/>
      <c r="FS3114" s="145"/>
      <c r="FT3114" s="145"/>
      <c r="FU3114" s="145"/>
      <c r="FV3114" s="145"/>
      <c r="FW3114" s="145"/>
      <c r="FX3114" s="145"/>
      <c r="FY3114" s="145"/>
      <c r="FZ3114" s="145"/>
      <c r="GA3114" s="145"/>
      <c r="GB3114" s="145"/>
      <c r="GC3114" s="145"/>
      <c r="GD3114" s="145"/>
      <c r="GE3114" s="145"/>
      <c r="GF3114" s="145"/>
      <c r="GG3114" s="145"/>
      <c r="GH3114" s="145"/>
      <c r="GI3114" s="145"/>
      <c r="GJ3114" s="145"/>
      <c r="GK3114" s="145"/>
      <c r="GL3114" s="145"/>
      <c r="GM3114" s="145"/>
      <c r="GN3114" s="145"/>
      <c r="GO3114" s="145"/>
      <c r="GP3114" s="145"/>
      <c r="GQ3114" s="145"/>
      <c r="GR3114" s="145"/>
      <c r="GS3114" s="145"/>
      <c r="GT3114" s="145"/>
      <c r="GU3114" s="145"/>
      <c r="GV3114" s="145"/>
      <c r="GW3114" s="145"/>
      <c r="GX3114" s="145"/>
      <c r="GY3114" s="145"/>
      <c r="GZ3114" s="145"/>
      <c r="HA3114" s="145"/>
      <c r="HB3114" s="145"/>
      <c r="HC3114" s="145"/>
    </row>
    <row r="3115" spans="1:214" x14ac:dyDescent="0.35">
      <c r="A3115" s="277">
        <v>75</v>
      </c>
      <c r="B3115" s="277"/>
      <c r="C3115" s="266"/>
      <c r="D3115" s="287"/>
      <c r="E3115" s="276"/>
      <c r="F3115" s="276"/>
      <c r="G3115" s="277"/>
      <c r="H3115" s="136" t="s">
        <v>73</v>
      </c>
      <c r="I3115" s="181">
        <f>D3114*K3115</f>
        <v>4203010.8</v>
      </c>
      <c r="J3115" s="181">
        <f>I3115/D3114</f>
        <v>3174</v>
      </c>
      <c r="K3115" s="181">
        <v>3174</v>
      </c>
      <c r="L3115" s="145"/>
      <c r="M3115" s="145"/>
      <c r="N3115" s="145"/>
      <c r="O3115" s="145"/>
      <c r="P3115" s="145"/>
      <c r="Q3115" s="145"/>
      <c r="R3115" s="145"/>
      <c r="S3115" s="145"/>
      <c r="T3115" s="145"/>
      <c r="U3115" s="145"/>
      <c r="V3115" s="145"/>
      <c r="W3115" s="145"/>
      <c r="X3115" s="145"/>
      <c r="Y3115" s="145"/>
      <c r="Z3115" s="145"/>
      <c r="AA3115" s="145"/>
      <c r="AB3115" s="145"/>
      <c r="AC3115" s="145"/>
      <c r="AD3115" s="145"/>
      <c r="AE3115" s="145"/>
      <c r="AF3115" s="145"/>
      <c r="AG3115" s="145"/>
      <c r="AH3115" s="145"/>
      <c r="AI3115" s="145"/>
      <c r="AJ3115" s="145"/>
      <c r="AK3115" s="145"/>
      <c r="AL3115" s="145"/>
      <c r="AM3115" s="145"/>
      <c r="AN3115" s="145"/>
      <c r="AO3115" s="145"/>
      <c r="AP3115" s="145"/>
      <c r="AQ3115" s="145"/>
      <c r="AR3115" s="145"/>
      <c r="AS3115" s="145"/>
      <c r="AT3115" s="145"/>
      <c r="AU3115" s="145"/>
      <c r="AV3115" s="145"/>
      <c r="AW3115" s="145"/>
      <c r="AX3115" s="145"/>
      <c r="AY3115" s="145"/>
      <c r="AZ3115" s="145"/>
      <c r="BA3115" s="145"/>
      <c r="BB3115" s="145"/>
      <c r="BC3115" s="145"/>
      <c r="BD3115" s="145"/>
      <c r="BE3115" s="145"/>
      <c r="BF3115" s="145"/>
      <c r="BG3115" s="145"/>
      <c r="BH3115" s="145"/>
      <c r="BI3115" s="145"/>
      <c r="BJ3115" s="145"/>
      <c r="BK3115" s="145"/>
      <c r="BL3115" s="145"/>
      <c r="BM3115" s="145"/>
      <c r="BN3115" s="145"/>
      <c r="BO3115" s="145"/>
      <c r="BP3115" s="145"/>
      <c r="BQ3115" s="145"/>
      <c r="BR3115" s="145"/>
      <c r="BS3115" s="145"/>
      <c r="BT3115" s="145"/>
      <c r="BU3115" s="145"/>
      <c r="BV3115" s="145"/>
      <c r="BW3115" s="145"/>
      <c r="BX3115" s="145"/>
      <c r="BY3115" s="145"/>
      <c r="BZ3115" s="145"/>
      <c r="CA3115" s="145"/>
      <c r="CB3115" s="145"/>
      <c r="CC3115" s="145"/>
      <c r="CD3115" s="145"/>
      <c r="CE3115" s="145"/>
      <c r="CF3115" s="145"/>
      <c r="CG3115" s="145"/>
      <c r="CH3115" s="145"/>
      <c r="CI3115" s="145"/>
      <c r="CJ3115" s="145"/>
      <c r="CK3115" s="145"/>
      <c r="CL3115" s="145"/>
      <c r="CM3115" s="145"/>
      <c r="CN3115" s="145"/>
      <c r="CO3115" s="145"/>
      <c r="CP3115" s="145"/>
      <c r="CQ3115" s="145"/>
      <c r="CR3115" s="145"/>
      <c r="CS3115" s="145"/>
      <c r="CT3115" s="145"/>
      <c r="CU3115" s="145"/>
      <c r="CV3115" s="145"/>
      <c r="CW3115" s="145"/>
      <c r="CX3115" s="145"/>
      <c r="CY3115" s="145"/>
      <c r="CZ3115" s="145"/>
      <c r="DA3115" s="145"/>
      <c r="DB3115" s="145"/>
      <c r="DC3115" s="145"/>
      <c r="DD3115" s="145"/>
      <c r="DE3115" s="145"/>
      <c r="DF3115" s="145"/>
      <c r="DG3115" s="145"/>
      <c r="DH3115" s="145"/>
      <c r="DI3115" s="145"/>
      <c r="DJ3115" s="145"/>
      <c r="DK3115" s="145"/>
      <c r="DL3115" s="145"/>
      <c r="DM3115" s="145"/>
      <c r="DN3115" s="145"/>
      <c r="DO3115" s="145"/>
      <c r="DP3115" s="145"/>
      <c r="DQ3115" s="145"/>
      <c r="DR3115" s="145"/>
      <c r="DS3115" s="145"/>
      <c r="DT3115" s="145"/>
      <c r="DU3115" s="145"/>
      <c r="DV3115" s="145"/>
      <c r="DW3115" s="145"/>
      <c r="DX3115" s="145"/>
      <c r="DY3115" s="145"/>
      <c r="DZ3115" s="145"/>
      <c r="EA3115" s="145"/>
      <c r="EB3115" s="145"/>
      <c r="EC3115" s="145"/>
      <c r="ED3115" s="145"/>
      <c r="EE3115" s="145"/>
      <c r="EF3115" s="145"/>
      <c r="EG3115" s="145"/>
      <c r="EH3115" s="145"/>
      <c r="EI3115" s="145"/>
      <c r="EJ3115" s="145"/>
      <c r="EK3115" s="145"/>
      <c r="EL3115" s="145"/>
      <c r="EM3115" s="145"/>
      <c r="EN3115" s="145"/>
      <c r="EO3115" s="145"/>
      <c r="EP3115" s="145"/>
      <c r="EQ3115" s="145"/>
      <c r="ER3115" s="145"/>
      <c r="ES3115" s="145"/>
      <c r="ET3115" s="145"/>
      <c r="EU3115" s="145"/>
      <c r="EV3115" s="145"/>
      <c r="EW3115" s="145"/>
      <c r="EX3115" s="145"/>
      <c r="EY3115" s="145"/>
      <c r="EZ3115" s="145"/>
      <c r="FA3115" s="145"/>
      <c r="FB3115" s="145"/>
      <c r="FC3115" s="145"/>
      <c r="FD3115" s="145"/>
      <c r="FE3115" s="145"/>
      <c r="FF3115" s="145"/>
      <c r="FG3115" s="145"/>
      <c r="FH3115" s="145"/>
      <c r="FI3115" s="145"/>
      <c r="FJ3115" s="145"/>
      <c r="FK3115" s="145"/>
      <c r="FL3115" s="145"/>
      <c r="FM3115" s="145"/>
      <c r="FN3115" s="145"/>
      <c r="FO3115" s="145"/>
      <c r="FP3115" s="145"/>
      <c r="FQ3115" s="145"/>
      <c r="FR3115" s="145"/>
      <c r="FS3115" s="145"/>
      <c r="FT3115" s="145"/>
      <c r="FU3115" s="145"/>
      <c r="FV3115" s="145"/>
      <c r="FW3115" s="145"/>
      <c r="FX3115" s="145"/>
      <c r="FY3115" s="145"/>
      <c r="FZ3115" s="145"/>
      <c r="GA3115" s="145"/>
      <c r="GB3115" s="145"/>
      <c r="GC3115" s="145"/>
      <c r="GD3115" s="145"/>
      <c r="GE3115" s="145"/>
      <c r="GF3115" s="145"/>
      <c r="GG3115" s="145"/>
      <c r="GH3115" s="145"/>
      <c r="GI3115" s="145"/>
      <c r="GJ3115" s="145"/>
      <c r="GK3115" s="145"/>
      <c r="GL3115" s="145"/>
      <c r="GM3115" s="145"/>
      <c r="GN3115" s="145"/>
      <c r="GO3115" s="145"/>
      <c r="GP3115" s="145"/>
      <c r="GQ3115" s="145"/>
      <c r="GR3115" s="145"/>
      <c r="GS3115" s="145"/>
      <c r="GT3115" s="145"/>
      <c r="GU3115" s="145"/>
      <c r="GV3115" s="145"/>
      <c r="GW3115" s="145"/>
      <c r="GX3115" s="145"/>
      <c r="GY3115" s="145"/>
      <c r="GZ3115" s="145"/>
      <c r="HA3115" s="145"/>
      <c r="HB3115" s="145"/>
      <c r="HC3115" s="145"/>
    </row>
    <row r="3116" spans="1:214" x14ac:dyDescent="0.35">
      <c r="A3116" s="277">
        <v>76</v>
      </c>
      <c r="B3116" s="277"/>
      <c r="C3116" s="266"/>
      <c r="D3116" s="287"/>
      <c r="E3116" s="276"/>
      <c r="F3116" s="276"/>
      <c r="G3116" s="277"/>
      <c r="H3116" s="136" t="s">
        <v>75</v>
      </c>
      <c r="I3116" s="181">
        <f>D3114*K3116</f>
        <v>90045.6</v>
      </c>
      <c r="J3116" s="181">
        <f>I3116/D3114</f>
        <v>68</v>
      </c>
      <c r="K3116" s="181">
        <v>68</v>
      </c>
      <c r="L3116" s="145"/>
      <c r="M3116" s="145"/>
      <c r="N3116" s="145"/>
      <c r="O3116" s="145"/>
      <c r="P3116" s="145"/>
      <c r="Q3116" s="145"/>
      <c r="R3116" s="145"/>
      <c r="S3116" s="145"/>
      <c r="T3116" s="145"/>
      <c r="U3116" s="145"/>
      <c r="V3116" s="145"/>
      <c r="W3116" s="145"/>
      <c r="X3116" s="145"/>
      <c r="Y3116" s="145"/>
      <c r="Z3116" s="145"/>
      <c r="AA3116" s="145"/>
      <c r="AB3116" s="145"/>
      <c r="AC3116" s="145"/>
      <c r="AD3116" s="145"/>
      <c r="AE3116" s="145"/>
      <c r="AF3116" s="145"/>
      <c r="AG3116" s="145"/>
      <c r="AH3116" s="145"/>
      <c r="AI3116" s="145"/>
      <c r="AJ3116" s="145"/>
      <c r="AK3116" s="145"/>
      <c r="AL3116" s="145"/>
      <c r="AM3116" s="145"/>
      <c r="AN3116" s="145"/>
      <c r="AO3116" s="145"/>
      <c r="AP3116" s="145"/>
      <c r="AQ3116" s="145"/>
      <c r="AR3116" s="145"/>
      <c r="AS3116" s="145"/>
      <c r="AT3116" s="145"/>
      <c r="AU3116" s="145"/>
      <c r="AV3116" s="145"/>
      <c r="AW3116" s="145"/>
      <c r="AX3116" s="145"/>
      <c r="AY3116" s="145"/>
      <c r="AZ3116" s="145"/>
      <c r="BA3116" s="145"/>
      <c r="BB3116" s="145"/>
      <c r="BC3116" s="145"/>
      <c r="BD3116" s="145"/>
      <c r="BE3116" s="145"/>
      <c r="BF3116" s="145"/>
      <c r="BG3116" s="145"/>
      <c r="BH3116" s="145"/>
      <c r="BI3116" s="145"/>
      <c r="BJ3116" s="145"/>
      <c r="BK3116" s="145"/>
      <c r="BL3116" s="145"/>
      <c r="BM3116" s="145"/>
      <c r="BN3116" s="145"/>
      <c r="BO3116" s="145"/>
      <c r="BP3116" s="145"/>
      <c r="BQ3116" s="145"/>
      <c r="BR3116" s="145"/>
      <c r="BS3116" s="145"/>
      <c r="BT3116" s="145"/>
      <c r="BU3116" s="145"/>
      <c r="BV3116" s="145"/>
      <c r="BW3116" s="145"/>
      <c r="BX3116" s="145"/>
      <c r="BY3116" s="145"/>
      <c r="BZ3116" s="145"/>
      <c r="CA3116" s="145"/>
      <c r="CB3116" s="145"/>
      <c r="CC3116" s="145"/>
      <c r="CD3116" s="145"/>
      <c r="CE3116" s="145"/>
      <c r="CF3116" s="145"/>
      <c r="CG3116" s="145"/>
      <c r="CH3116" s="145"/>
      <c r="CI3116" s="145"/>
      <c r="CJ3116" s="145"/>
      <c r="CK3116" s="145"/>
      <c r="CL3116" s="145"/>
      <c r="CM3116" s="145"/>
      <c r="CN3116" s="145"/>
      <c r="CO3116" s="145"/>
      <c r="CP3116" s="145"/>
      <c r="CQ3116" s="145"/>
      <c r="CR3116" s="145"/>
      <c r="CS3116" s="145"/>
      <c r="CT3116" s="145"/>
      <c r="CU3116" s="145"/>
      <c r="CV3116" s="145"/>
      <c r="CW3116" s="145"/>
      <c r="CX3116" s="145"/>
      <c r="CY3116" s="145"/>
      <c r="CZ3116" s="145"/>
      <c r="DA3116" s="145"/>
      <c r="DB3116" s="145"/>
      <c r="DC3116" s="145"/>
      <c r="DD3116" s="145"/>
      <c r="DE3116" s="145"/>
      <c r="DF3116" s="145"/>
      <c r="DG3116" s="145"/>
      <c r="DH3116" s="145"/>
      <c r="DI3116" s="145"/>
      <c r="DJ3116" s="145"/>
      <c r="DK3116" s="145"/>
      <c r="DL3116" s="145"/>
      <c r="DM3116" s="145"/>
      <c r="DN3116" s="145"/>
      <c r="DO3116" s="145"/>
      <c r="DP3116" s="145"/>
      <c r="DQ3116" s="145"/>
      <c r="DR3116" s="145"/>
      <c r="DS3116" s="145"/>
      <c r="DT3116" s="145"/>
      <c r="DU3116" s="145"/>
      <c r="DV3116" s="145"/>
      <c r="DW3116" s="145"/>
      <c r="DX3116" s="145"/>
      <c r="DY3116" s="145"/>
      <c r="DZ3116" s="145"/>
      <c r="EA3116" s="145"/>
      <c r="EB3116" s="145"/>
      <c r="EC3116" s="145"/>
      <c r="ED3116" s="145"/>
      <c r="EE3116" s="145"/>
      <c r="EF3116" s="145"/>
      <c r="EG3116" s="145"/>
      <c r="EH3116" s="145"/>
      <c r="EI3116" s="145"/>
      <c r="EJ3116" s="145"/>
      <c r="EK3116" s="145"/>
      <c r="EL3116" s="145"/>
      <c r="EM3116" s="145"/>
      <c r="EN3116" s="145"/>
      <c r="EO3116" s="145"/>
      <c r="EP3116" s="145"/>
      <c r="EQ3116" s="145"/>
      <c r="ER3116" s="145"/>
      <c r="ES3116" s="145"/>
      <c r="ET3116" s="145"/>
      <c r="EU3116" s="145"/>
      <c r="EV3116" s="145"/>
      <c r="EW3116" s="145"/>
      <c r="EX3116" s="145"/>
      <c r="EY3116" s="145"/>
      <c r="EZ3116" s="145"/>
      <c r="FA3116" s="145"/>
      <c r="FB3116" s="145"/>
      <c r="FC3116" s="145"/>
      <c r="FD3116" s="145"/>
      <c r="FE3116" s="145"/>
      <c r="FF3116" s="145"/>
      <c r="FG3116" s="145"/>
      <c r="FH3116" s="145"/>
      <c r="FI3116" s="145"/>
      <c r="FJ3116" s="145"/>
      <c r="FK3116" s="145"/>
      <c r="FL3116" s="145"/>
      <c r="FM3116" s="145"/>
      <c r="FN3116" s="145"/>
      <c r="FO3116" s="145"/>
      <c r="FP3116" s="145"/>
      <c r="FQ3116" s="145"/>
      <c r="FR3116" s="145"/>
      <c r="FS3116" s="145"/>
      <c r="FT3116" s="145"/>
      <c r="FU3116" s="145"/>
      <c r="FV3116" s="145"/>
      <c r="FW3116" s="145"/>
      <c r="FX3116" s="145"/>
      <c r="FY3116" s="145"/>
      <c r="FZ3116" s="145"/>
      <c r="GA3116" s="145"/>
      <c r="GB3116" s="145"/>
      <c r="GC3116" s="145"/>
      <c r="GD3116" s="145"/>
      <c r="GE3116" s="145"/>
      <c r="GF3116" s="145"/>
      <c r="GG3116" s="145"/>
      <c r="GH3116" s="145"/>
      <c r="GI3116" s="145"/>
      <c r="GJ3116" s="145"/>
      <c r="GK3116" s="145"/>
      <c r="GL3116" s="145"/>
      <c r="GM3116" s="145"/>
      <c r="GN3116" s="145"/>
      <c r="GO3116" s="145"/>
      <c r="GP3116" s="145"/>
      <c r="GQ3116" s="145"/>
      <c r="GR3116" s="145"/>
      <c r="GS3116" s="145"/>
      <c r="GT3116" s="145"/>
      <c r="GU3116" s="145"/>
      <c r="GV3116" s="145"/>
      <c r="GW3116" s="145"/>
      <c r="GX3116" s="145"/>
      <c r="GY3116" s="145"/>
      <c r="GZ3116" s="145"/>
      <c r="HA3116" s="145"/>
      <c r="HB3116" s="145"/>
      <c r="HC3116" s="145"/>
    </row>
    <row r="3117" spans="1:214" x14ac:dyDescent="0.35">
      <c r="A3117" s="277">
        <f>A3114+1</f>
        <v>62</v>
      </c>
      <c r="B3117" s="277">
        <v>2416</v>
      </c>
      <c r="C3117" s="266" t="s">
        <v>143</v>
      </c>
      <c r="D3117" s="287">
        <v>3193.7</v>
      </c>
      <c r="E3117" s="276" t="s">
        <v>74</v>
      </c>
      <c r="F3117" s="276">
        <v>5</v>
      </c>
      <c r="G3117" s="277" t="s">
        <v>71</v>
      </c>
      <c r="H3117" s="136" t="s">
        <v>72</v>
      </c>
      <c r="I3117" s="181">
        <f>I3118+I3119</f>
        <v>10353975.4</v>
      </c>
      <c r="J3117" s="181">
        <f>J3118+J3119</f>
        <v>3242</v>
      </c>
      <c r="K3117" s="181">
        <f>K3118+K3119</f>
        <v>3242</v>
      </c>
      <c r="L3117" s="145"/>
      <c r="M3117" s="145"/>
      <c r="N3117" s="145"/>
      <c r="O3117" s="145"/>
      <c r="P3117" s="145"/>
      <c r="Q3117" s="145"/>
      <c r="R3117" s="145"/>
      <c r="S3117" s="145"/>
      <c r="T3117" s="145"/>
      <c r="U3117" s="145"/>
      <c r="V3117" s="145"/>
      <c r="W3117" s="145"/>
      <c r="X3117" s="145"/>
      <c r="Y3117" s="145"/>
      <c r="Z3117" s="145"/>
      <c r="AA3117" s="145"/>
      <c r="AB3117" s="145"/>
      <c r="AC3117" s="145"/>
      <c r="AD3117" s="145"/>
      <c r="AE3117" s="145"/>
      <c r="AF3117" s="145"/>
      <c r="AG3117" s="145"/>
      <c r="AH3117" s="145"/>
      <c r="AI3117" s="145"/>
      <c r="AJ3117" s="145"/>
      <c r="AK3117" s="145"/>
      <c r="AL3117" s="145"/>
      <c r="AM3117" s="145"/>
      <c r="AN3117" s="145"/>
      <c r="AO3117" s="145"/>
      <c r="AP3117" s="145"/>
      <c r="AQ3117" s="145"/>
      <c r="AR3117" s="145"/>
      <c r="AS3117" s="145"/>
      <c r="AT3117" s="145"/>
      <c r="AU3117" s="145"/>
      <c r="AV3117" s="145"/>
      <c r="AW3117" s="145"/>
      <c r="AX3117" s="145"/>
      <c r="AY3117" s="145"/>
      <c r="AZ3117" s="145"/>
      <c r="BA3117" s="145"/>
      <c r="BB3117" s="145"/>
      <c r="BC3117" s="145"/>
      <c r="BD3117" s="145"/>
      <c r="BE3117" s="145"/>
      <c r="BF3117" s="145"/>
      <c r="BG3117" s="145"/>
      <c r="BH3117" s="145"/>
      <c r="BI3117" s="145"/>
      <c r="BJ3117" s="145"/>
      <c r="BK3117" s="145"/>
      <c r="BL3117" s="145"/>
      <c r="BM3117" s="145"/>
      <c r="BN3117" s="145"/>
      <c r="BO3117" s="145"/>
      <c r="BP3117" s="145"/>
      <c r="BQ3117" s="145"/>
      <c r="BR3117" s="145"/>
      <c r="BS3117" s="145"/>
      <c r="BT3117" s="145"/>
      <c r="BU3117" s="145"/>
      <c r="BV3117" s="145"/>
      <c r="BW3117" s="145"/>
      <c r="BX3117" s="145"/>
      <c r="BY3117" s="145"/>
      <c r="BZ3117" s="145"/>
      <c r="CA3117" s="145"/>
      <c r="CB3117" s="145"/>
      <c r="CC3117" s="145"/>
      <c r="CD3117" s="145"/>
      <c r="CE3117" s="145"/>
      <c r="CF3117" s="145"/>
      <c r="CG3117" s="145"/>
      <c r="CH3117" s="145"/>
      <c r="CI3117" s="145"/>
      <c r="CJ3117" s="145"/>
      <c r="CK3117" s="145"/>
      <c r="CL3117" s="145"/>
      <c r="CM3117" s="145"/>
      <c r="CN3117" s="145"/>
      <c r="CO3117" s="145"/>
      <c r="CP3117" s="145"/>
      <c r="CQ3117" s="145"/>
      <c r="CR3117" s="145"/>
      <c r="CS3117" s="145"/>
      <c r="CT3117" s="145"/>
      <c r="CU3117" s="145"/>
      <c r="CV3117" s="145"/>
      <c r="CW3117" s="145"/>
      <c r="CX3117" s="145"/>
      <c r="CY3117" s="145"/>
      <c r="CZ3117" s="145"/>
      <c r="DA3117" s="145"/>
      <c r="DB3117" s="145"/>
      <c r="DC3117" s="145"/>
      <c r="DD3117" s="145"/>
      <c r="DE3117" s="145"/>
      <c r="DF3117" s="145"/>
      <c r="DG3117" s="145"/>
      <c r="DH3117" s="145"/>
      <c r="DI3117" s="145"/>
      <c r="DJ3117" s="145"/>
      <c r="DK3117" s="145"/>
      <c r="DL3117" s="145"/>
      <c r="DM3117" s="145"/>
      <c r="DN3117" s="145"/>
      <c r="DO3117" s="145"/>
      <c r="DP3117" s="145"/>
      <c r="DQ3117" s="145"/>
      <c r="DR3117" s="145"/>
      <c r="DS3117" s="145"/>
      <c r="DT3117" s="145"/>
      <c r="DU3117" s="145"/>
      <c r="DV3117" s="145"/>
      <c r="DW3117" s="145"/>
      <c r="DX3117" s="145"/>
      <c r="DY3117" s="145"/>
      <c r="DZ3117" s="145"/>
      <c r="EA3117" s="145"/>
      <c r="EB3117" s="145"/>
      <c r="EC3117" s="145"/>
      <c r="ED3117" s="145"/>
      <c r="EE3117" s="145"/>
      <c r="EF3117" s="145"/>
      <c r="EG3117" s="145"/>
      <c r="EH3117" s="145"/>
      <c r="EI3117" s="145"/>
      <c r="EJ3117" s="145"/>
      <c r="EK3117" s="145"/>
      <c r="EL3117" s="145"/>
      <c r="EM3117" s="145"/>
      <c r="EN3117" s="145"/>
      <c r="EO3117" s="145"/>
      <c r="EP3117" s="145"/>
      <c r="EQ3117" s="145"/>
      <c r="ER3117" s="145"/>
      <c r="ES3117" s="145"/>
      <c r="ET3117" s="145"/>
      <c r="EU3117" s="145"/>
      <c r="EV3117" s="145"/>
      <c r="EW3117" s="145"/>
      <c r="EX3117" s="145"/>
      <c r="EY3117" s="145"/>
      <c r="EZ3117" s="145"/>
      <c r="FA3117" s="145"/>
      <c r="FB3117" s="145"/>
      <c r="FC3117" s="145"/>
      <c r="FD3117" s="145"/>
      <c r="FE3117" s="145"/>
      <c r="FF3117" s="145"/>
      <c r="FG3117" s="145"/>
      <c r="FH3117" s="145"/>
      <c r="FI3117" s="145"/>
      <c r="FJ3117" s="145"/>
      <c r="FK3117" s="145"/>
      <c r="FL3117" s="145"/>
      <c r="FM3117" s="145"/>
      <c r="FN3117" s="145"/>
      <c r="FO3117" s="145"/>
      <c r="FP3117" s="145"/>
      <c r="FQ3117" s="145"/>
      <c r="FR3117" s="145"/>
      <c r="FS3117" s="145"/>
      <c r="FT3117" s="145"/>
      <c r="FU3117" s="145"/>
      <c r="FV3117" s="145"/>
      <c r="FW3117" s="145"/>
      <c r="FX3117" s="145"/>
      <c r="FY3117" s="145"/>
      <c r="FZ3117" s="145"/>
      <c r="GA3117" s="145"/>
      <c r="GB3117" s="145"/>
      <c r="GC3117" s="145"/>
      <c r="GD3117" s="145"/>
      <c r="GE3117" s="145"/>
      <c r="GF3117" s="145"/>
      <c r="GG3117" s="145"/>
      <c r="GH3117" s="145"/>
      <c r="GI3117" s="145"/>
      <c r="GJ3117" s="145"/>
      <c r="GK3117" s="145"/>
      <c r="GL3117" s="145"/>
      <c r="GM3117" s="145"/>
      <c r="GN3117" s="145"/>
      <c r="GO3117" s="145"/>
      <c r="GP3117" s="145"/>
      <c r="GQ3117" s="145"/>
      <c r="GR3117" s="145"/>
      <c r="GS3117" s="145"/>
      <c r="GT3117" s="145"/>
      <c r="GU3117" s="145"/>
      <c r="GV3117" s="145"/>
      <c r="GW3117" s="145"/>
      <c r="GX3117" s="145"/>
      <c r="GY3117" s="145"/>
      <c r="GZ3117" s="145"/>
      <c r="HA3117" s="145"/>
      <c r="HB3117" s="145"/>
      <c r="HC3117" s="145"/>
    </row>
    <row r="3118" spans="1:214" x14ac:dyDescent="0.35">
      <c r="A3118" s="277">
        <v>75</v>
      </c>
      <c r="B3118" s="277"/>
      <c r="C3118" s="266"/>
      <c r="D3118" s="287"/>
      <c r="E3118" s="276"/>
      <c r="F3118" s="276"/>
      <c r="G3118" s="277"/>
      <c r="H3118" s="136" t="s">
        <v>73</v>
      </c>
      <c r="I3118" s="181">
        <f>D3117*K3118</f>
        <v>10136803.800000001</v>
      </c>
      <c r="J3118" s="181">
        <f>I3118/D3117</f>
        <v>3174</v>
      </c>
      <c r="K3118" s="181">
        <v>3174</v>
      </c>
      <c r="L3118" s="145"/>
      <c r="M3118" s="145"/>
      <c r="N3118" s="145"/>
      <c r="O3118" s="145"/>
      <c r="P3118" s="145"/>
      <c r="Q3118" s="145"/>
      <c r="R3118" s="145"/>
      <c r="S3118" s="145"/>
      <c r="T3118" s="145"/>
      <c r="U3118" s="145"/>
      <c r="V3118" s="145"/>
      <c r="W3118" s="145"/>
      <c r="X3118" s="145"/>
      <c r="Y3118" s="145"/>
      <c r="Z3118" s="145"/>
      <c r="AA3118" s="145"/>
      <c r="AB3118" s="145"/>
      <c r="AC3118" s="145"/>
      <c r="AD3118" s="145"/>
      <c r="AE3118" s="145"/>
      <c r="AF3118" s="145"/>
      <c r="AG3118" s="145"/>
      <c r="AH3118" s="145"/>
      <c r="AI3118" s="145"/>
      <c r="AJ3118" s="145"/>
      <c r="AK3118" s="145"/>
      <c r="AL3118" s="145"/>
      <c r="AM3118" s="145"/>
      <c r="AN3118" s="145"/>
      <c r="AO3118" s="145"/>
      <c r="AP3118" s="145"/>
      <c r="AQ3118" s="145"/>
      <c r="AR3118" s="145"/>
      <c r="AS3118" s="145"/>
      <c r="AT3118" s="145"/>
      <c r="AU3118" s="145"/>
      <c r="AV3118" s="145"/>
      <c r="AW3118" s="145"/>
      <c r="AX3118" s="145"/>
      <c r="AY3118" s="145"/>
      <c r="AZ3118" s="145"/>
      <c r="BA3118" s="145"/>
      <c r="BB3118" s="145"/>
      <c r="BC3118" s="145"/>
      <c r="BD3118" s="145"/>
      <c r="BE3118" s="145"/>
      <c r="BF3118" s="145"/>
      <c r="BG3118" s="145"/>
      <c r="BH3118" s="145"/>
      <c r="BI3118" s="145"/>
      <c r="BJ3118" s="145"/>
      <c r="BK3118" s="145"/>
      <c r="BL3118" s="145"/>
      <c r="BM3118" s="145"/>
      <c r="BN3118" s="145"/>
      <c r="BO3118" s="145"/>
      <c r="BP3118" s="145"/>
      <c r="BQ3118" s="145"/>
      <c r="BR3118" s="145"/>
      <c r="BS3118" s="145"/>
      <c r="BT3118" s="145"/>
      <c r="BU3118" s="145"/>
      <c r="BV3118" s="145"/>
      <c r="BW3118" s="145"/>
      <c r="BX3118" s="145"/>
      <c r="BY3118" s="145"/>
      <c r="BZ3118" s="145"/>
      <c r="CA3118" s="145"/>
      <c r="CB3118" s="145"/>
      <c r="CC3118" s="145"/>
      <c r="CD3118" s="145"/>
      <c r="CE3118" s="145"/>
      <c r="CF3118" s="145"/>
      <c r="CG3118" s="145"/>
      <c r="CH3118" s="145"/>
      <c r="CI3118" s="145"/>
      <c r="CJ3118" s="145"/>
      <c r="CK3118" s="145"/>
      <c r="CL3118" s="145"/>
      <c r="CM3118" s="145"/>
      <c r="CN3118" s="145"/>
      <c r="CO3118" s="145"/>
      <c r="CP3118" s="145"/>
      <c r="CQ3118" s="145"/>
      <c r="CR3118" s="145"/>
      <c r="CS3118" s="145"/>
      <c r="CT3118" s="145"/>
      <c r="CU3118" s="145"/>
      <c r="CV3118" s="145"/>
      <c r="CW3118" s="145"/>
      <c r="CX3118" s="145"/>
      <c r="CY3118" s="145"/>
      <c r="CZ3118" s="145"/>
      <c r="DA3118" s="145"/>
      <c r="DB3118" s="145"/>
      <c r="DC3118" s="145"/>
      <c r="DD3118" s="145"/>
      <c r="DE3118" s="145"/>
      <c r="DF3118" s="145"/>
      <c r="DG3118" s="145"/>
      <c r="DH3118" s="145"/>
      <c r="DI3118" s="145"/>
      <c r="DJ3118" s="145"/>
      <c r="DK3118" s="145"/>
      <c r="DL3118" s="145"/>
      <c r="DM3118" s="145"/>
      <c r="DN3118" s="145"/>
      <c r="DO3118" s="145"/>
      <c r="DP3118" s="145"/>
      <c r="DQ3118" s="145"/>
      <c r="DR3118" s="145"/>
      <c r="DS3118" s="145"/>
      <c r="DT3118" s="145"/>
      <c r="DU3118" s="145"/>
      <c r="DV3118" s="145"/>
      <c r="DW3118" s="145"/>
      <c r="DX3118" s="145"/>
      <c r="DY3118" s="145"/>
      <c r="DZ3118" s="145"/>
      <c r="EA3118" s="145"/>
      <c r="EB3118" s="145"/>
      <c r="EC3118" s="145"/>
      <c r="ED3118" s="145"/>
      <c r="EE3118" s="145"/>
      <c r="EF3118" s="145"/>
      <c r="EG3118" s="145"/>
      <c r="EH3118" s="145"/>
      <c r="EI3118" s="145"/>
      <c r="EJ3118" s="145"/>
      <c r="EK3118" s="145"/>
      <c r="EL3118" s="145"/>
      <c r="EM3118" s="145"/>
      <c r="EN3118" s="145"/>
      <c r="EO3118" s="145"/>
      <c r="EP3118" s="145"/>
      <c r="EQ3118" s="145"/>
      <c r="ER3118" s="145"/>
      <c r="ES3118" s="145"/>
      <c r="ET3118" s="145"/>
      <c r="EU3118" s="145"/>
      <c r="EV3118" s="145"/>
      <c r="EW3118" s="145"/>
      <c r="EX3118" s="145"/>
      <c r="EY3118" s="145"/>
      <c r="EZ3118" s="145"/>
      <c r="FA3118" s="145"/>
      <c r="FB3118" s="145"/>
      <c r="FC3118" s="145"/>
      <c r="FD3118" s="145"/>
      <c r="FE3118" s="145"/>
      <c r="FF3118" s="145"/>
      <c r="FG3118" s="145"/>
      <c r="FH3118" s="145"/>
      <c r="FI3118" s="145"/>
      <c r="FJ3118" s="145"/>
      <c r="FK3118" s="145"/>
      <c r="FL3118" s="145"/>
      <c r="FM3118" s="145"/>
      <c r="FN3118" s="145"/>
      <c r="FO3118" s="145"/>
      <c r="FP3118" s="145"/>
      <c r="FQ3118" s="145"/>
      <c r="FR3118" s="145"/>
      <c r="FS3118" s="145"/>
      <c r="FT3118" s="145"/>
      <c r="FU3118" s="145"/>
      <c r="FV3118" s="145"/>
      <c r="FW3118" s="145"/>
      <c r="FX3118" s="145"/>
      <c r="FY3118" s="145"/>
      <c r="FZ3118" s="145"/>
      <c r="GA3118" s="145"/>
      <c r="GB3118" s="145"/>
      <c r="GC3118" s="145"/>
      <c r="GD3118" s="145"/>
      <c r="GE3118" s="145"/>
      <c r="GF3118" s="145"/>
      <c r="GG3118" s="145"/>
      <c r="GH3118" s="145"/>
      <c r="GI3118" s="145"/>
      <c r="GJ3118" s="145"/>
      <c r="GK3118" s="145"/>
      <c r="GL3118" s="145"/>
      <c r="GM3118" s="145"/>
      <c r="GN3118" s="145"/>
      <c r="GO3118" s="145"/>
      <c r="GP3118" s="145"/>
      <c r="GQ3118" s="145"/>
      <c r="GR3118" s="145"/>
      <c r="GS3118" s="145"/>
      <c r="GT3118" s="145"/>
      <c r="GU3118" s="145"/>
      <c r="GV3118" s="145"/>
      <c r="GW3118" s="145"/>
      <c r="GX3118" s="145"/>
      <c r="GY3118" s="145"/>
      <c r="GZ3118" s="145"/>
      <c r="HA3118" s="145"/>
      <c r="HB3118" s="145"/>
      <c r="HC3118" s="145"/>
    </row>
    <row r="3119" spans="1:214" x14ac:dyDescent="0.35">
      <c r="A3119" s="277">
        <v>76</v>
      </c>
      <c r="B3119" s="277"/>
      <c r="C3119" s="266"/>
      <c r="D3119" s="287"/>
      <c r="E3119" s="276"/>
      <c r="F3119" s="276"/>
      <c r="G3119" s="277"/>
      <c r="H3119" s="136" t="s">
        <v>75</v>
      </c>
      <c r="I3119" s="181">
        <f>D3117*K3119</f>
        <v>217171.6</v>
      </c>
      <c r="J3119" s="181">
        <f>I3119/D3117</f>
        <v>68</v>
      </c>
      <c r="K3119" s="181">
        <v>68</v>
      </c>
      <c r="L3119" s="145"/>
      <c r="M3119" s="145"/>
      <c r="N3119" s="145"/>
      <c r="O3119" s="145"/>
      <c r="P3119" s="145"/>
      <c r="Q3119" s="145"/>
      <c r="R3119" s="145"/>
      <c r="S3119" s="145"/>
      <c r="T3119" s="145"/>
      <c r="U3119" s="145"/>
      <c r="V3119" s="145"/>
      <c r="W3119" s="145"/>
      <c r="X3119" s="145"/>
      <c r="Y3119" s="145"/>
      <c r="Z3119" s="145"/>
      <c r="AA3119" s="145"/>
      <c r="AB3119" s="145"/>
      <c r="AC3119" s="145"/>
      <c r="AD3119" s="145"/>
      <c r="AE3119" s="145"/>
      <c r="AF3119" s="145"/>
      <c r="AG3119" s="145"/>
      <c r="AH3119" s="145"/>
      <c r="AI3119" s="145"/>
      <c r="AJ3119" s="145"/>
      <c r="AK3119" s="145"/>
      <c r="AL3119" s="145"/>
      <c r="AM3119" s="145"/>
      <c r="AN3119" s="145"/>
      <c r="AO3119" s="145"/>
      <c r="AP3119" s="145"/>
      <c r="AQ3119" s="145"/>
      <c r="AR3119" s="145"/>
      <c r="AS3119" s="145"/>
      <c r="AT3119" s="145"/>
      <c r="AU3119" s="145"/>
      <c r="AV3119" s="145"/>
      <c r="AW3119" s="145"/>
      <c r="AX3119" s="145"/>
      <c r="AY3119" s="145"/>
      <c r="AZ3119" s="145"/>
      <c r="BA3119" s="145"/>
      <c r="BB3119" s="145"/>
      <c r="BC3119" s="145"/>
      <c r="BD3119" s="145"/>
      <c r="BE3119" s="145"/>
      <c r="BF3119" s="145"/>
      <c r="BG3119" s="145"/>
      <c r="BH3119" s="145"/>
      <c r="BI3119" s="145"/>
      <c r="BJ3119" s="145"/>
      <c r="BK3119" s="145"/>
      <c r="BL3119" s="145"/>
      <c r="BM3119" s="145"/>
      <c r="BN3119" s="145"/>
      <c r="BO3119" s="145"/>
      <c r="BP3119" s="145"/>
      <c r="BQ3119" s="145"/>
      <c r="BR3119" s="145"/>
      <c r="BS3119" s="145"/>
      <c r="BT3119" s="145"/>
      <c r="BU3119" s="145"/>
      <c r="BV3119" s="145"/>
      <c r="BW3119" s="145"/>
      <c r="BX3119" s="145"/>
      <c r="BY3119" s="145"/>
      <c r="BZ3119" s="145"/>
      <c r="CA3119" s="145"/>
      <c r="CB3119" s="145"/>
      <c r="CC3119" s="145"/>
      <c r="CD3119" s="145"/>
      <c r="CE3119" s="145"/>
      <c r="CF3119" s="145"/>
      <c r="CG3119" s="145"/>
      <c r="CH3119" s="145"/>
      <c r="CI3119" s="145"/>
      <c r="CJ3119" s="145"/>
      <c r="CK3119" s="145"/>
      <c r="CL3119" s="145"/>
      <c r="CM3119" s="145"/>
      <c r="CN3119" s="145"/>
      <c r="CO3119" s="145"/>
      <c r="CP3119" s="145"/>
      <c r="CQ3119" s="145"/>
      <c r="CR3119" s="145"/>
      <c r="CS3119" s="145"/>
      <c r="CT3119" s="145"/>
      <c r="CU3119" s="145"/>
      <c r="CV3119" s="145"/>
      <c r="CW3119" s="145"/>
      <c r="CX3119" s="145"/>
      <c r="CY3119" s="145"/>
      <c r="CZ3119" s="145"/>
      <c r="DA3119" s="145"/>
      <c r="DB3119" s="145"/>
      <c r="DC3119" s="145"/>
      <c r="DD3119" s="145"/>
      <c r="DE3119" s="145"/>
      <c r="DF3119" s="145"/>
      <c r="DG3119" s="145"/>
      <c r="DH3119" s="145"/>
      <c r="DI3119" s="145"/>
      <c r="DJ3119" s="145"/>
      <c r="DK3119" s="145"/>
      <c r="DL3119" s="145"/>
      <c r="DM3119" s="145"/>
      <c r="DN3119" s="145"/>
      <c r="DO3119" s="145"/>
      <c r="DP3119" s="145"/>
      <c r="DQ3119" s="145"/>
      <c r="DR3119" s="145"/>
      <c r="DS3119" s="145"/>
      <c r="DT3119" s="145"/>
      <c r="DU3119" s="145"/>
      <c r="DV3119" s="145"/>
      <c r="DW3119" s="145"/>
      <c r="DX3119" s="145"/>
      <c r="DY3119" s="145"/>
      <c r="DZ3119" s="145"/>
      <c r="EA3119" s="145"/>
      <c r="EB3119" s="145"/>
      <c r="EC3119" s="145"/>
      <c r="ED3119" s="145"/>
      <c r="EE3119" s="145"/>
      <c r="EF3119" s="145"/>
      <c r="EG3119" s="145"/>
      <c r="EH3119" s="145"/>
      <c r="EI3119" s="145"/>
      <c r="EJ3119" s="145"/>
      <c r="EK3119" s="145"/>
      <c r="EL3119" s="145"/>
      <c r="EM3119" s="145"/>
      <c r="EN3119" s="145"/>
      <c r="EO3119" s="145"/>
      <c r="EP3119" s="145"/>
      <c r="EQ3119" s="145"/>
      <c r="ER3119" s="145"/>
      <c r="ES3119" s="145"/>
      <c r="ET3119" s="145"/>
      <c r="EU3119" s="145"/>
      <c r="EV3119" s="145"/>
      <c r="EW3119" s="145"/>
      <c r="EX3119" s="145"/>
      <c r="EY3119" s="145"/>
      <c r="EZ3119" s="145"/>
      <c r="FA3119" s="145"/>
      <c r="FB3119" s="145"/>
      <c r="FC3119" s="145"/>
      <c r="FD3119" s="145"/>
      <c r="FE3119" s="145"/>
      <c r="FF3119" s="145"/>
      <c r="FG3119" s="145"/>
      <c r="FH3119" s="145"/>
      <c r="FI3119" s="145"/>
      <c r="FJ3119" s="145"/>
      <c r="FK3119" s="145"/>
      <c r="FL3119" s="145"/>
      <c r="FM3119" s="145"/>
      <c r="FN3119" s="145"/>
      <c r="FO3119" s="145"/>
      <c r="FP3119" s="145"/>
      <c r="FQ3119" s="145"/>
      <c r="FR3119" s="145"/>
      <c r="FS3119" s="145"/>
      <c r="FT3119" s="145"/>
      <c r="FU3119" s="145"/>
      <c r="FV3119" s="145"/>
      <c r="FW3119" s="145"/>
      <c r="FX3119" s="145"/>
      <c r="FY3119" s="145"/>
      <c r="FZ3119" s="145"/>
      <c r="GA3119" s="145"/>
      <c r="GB3119" s="145"/>
      <c r="GC3119" s="145"/>
      <c r="GD3119" s="145"/>
      <c r="GE3119" s="145"/>
      <c r="GF3119" s="145"/>
      <c r="GG3119" s="145"/>
      <c r="GH3119" s="145"/>
      <c r="GI3119" s="145"/>
      <c r="GJ3119" s="145"/>
      <c r="GK3119" s="145"/>
      <c r="GL3119" s="145"/>
      <c r="GM3119" s="145"/>
      <c r="GN3119" s="145"/>
      <c r="GO3119" s="145"/>
      <c r="GP3119" s="145"/>
      <c r="GQ3119" s="145"/>
      <c r="GR3119" s="145"/>
      <c r="GS3119" s="145"/>
      <c r="GT3119" s="145"/>
      <c r="GU3119" s="145"/>
      <c r="GV3119" s="145"/>
      <c r="GW3119" s="145"/>
      <c r="GX3119" s="145"/>
      <c r="GY3119" s="145"/>
      <c r="GZ3119" s="145"/>
      <c r="HA3119" s="145"/>
      <c r="HB3119" s="145"/>
      <c r="HC3119" s="145"/>
    </row>
    <row r="3120" spans="1:214" x14ac:dyDescent="0.35">
      <c r="A3120" s="270">
        <f>A3117+1</f>
        <v>63</v>
      </c>
      <c r="B3120" s="270">
        <v>2432</v>
      </c>
      <c r="C3120" s="262" t="s">
        <v>144</v>
      </c>
      <c r="D3120" s="273">
        <v>1229.0999999999999</v>
      </c>
      <c r="E3120" s="267" t="s">
        <v>74</v>
      </c>
      <c r="F3120" s="267">
        <v>4</v>
      </c>
      <c r="G3120" s="270" t="s">
        <v>84</v>
      </c>
      <c r="H3120" s="136" t="s">
        <v>72</v>
      </c>
      <c r="I3120" s="181">
        <f>I3121+I3122+I3123+I3124</f>
        <v>6873127.2000000002</v>
      </c>
      <c r="J3120" s="181">
        <f>J3121+J3122+J3123+J3124</f>
        <v>5592</v>
      </c>
      <c r="K3120" s="181">
        <f>K3121+K3122+K3123+K3124</f>
        <v>5592</v>
      </c>
      <c r="L3120" s="145"/>
      <c r="M3120" s="145"/>
      <c r="N3120" s="145"/>
      <c r="O3120" s="145"/>
      <c r="P3120" s="145"/>
      <c r="Q3120" s="145"/>
      <c r="R3120" s="145"/>
      <c r="S3120" s="145"/>
      <c r="T3120" s="145"/>
      <c r="U3120" s="145"/>
      <c r="V3120" s="145"/>
      <c r="W3120" s="145"/>
      <c r="X3120" s="145"/>
      <c r="Y3120" s="145"/>
      <c r="Z3120" s="145"/>
      <c r="AA3120" s="145"/>
      <c r="AB3120" s="145"/>
      <c r="AC3120" s="145"/>
      <c r="AD3120" s="145"/>
      <c r="AE3120" s="145"/>
      <c r="AF3120" s="145"/>
      <c r="AG3120" s="145"/>
      <c r="AH3120" s="145"/>
      <c r="AI3120" s="145"/>
      <c r="AJ3120" s="145"/>
      <c r="AK3120" s="145"/>
      <c r="AL3120" s="145"/>
      <c r="AM3120" s="145"/>
      <c r="AN3120" s="145"/>
      <c r="AO3120" s="145"/>
      <c r="AP3120" s="145"/>
      <c r="AQ3120" s="145"/>
      <c r="AR3120" s="145"/>
      <c r="AS3120" s="145"/>
      <c r="AT3120" s="145"/>
      <c r="AU3120" s="145"/>
      <c r="AV3120" s="145"/>
      <c r="AW3120" s="145"/>
      <c r="AX3120" s="145"/>
      <c r="AY3120" s="145"/>
      <c r="AZ3120" s="145"/>
      <c r="BA3120" s="145"/>
      <c r="BB3120" s="145"/>
      <c r="BC3120" s="145"/>
      <c r="BD3120" s="145"/>
      <c r="BE3120" s="145"/>
      <c r="BF3120" s="145"/>
      <c r="BG3120" s="145"/>
      <c r="BH3120" s="145"/>
      <c r="BI3120" s="145"/>
      <c r="BJ3120" s="145"/>
      <c r="BK3120" s="145"/>
      <c r="BL3120" s="145"/>
      <c r="BM3120" s="145"/>
      <c r="BN3120" s="145"/>
      <c r="BO3120" s="145"/>
      <c r="BP3120" s="145"/>
      <c r="BQ3120" s="145"/>
      <c r="BR3120" s="145"/>
      <c r="BS3120" s="145"/>
      <c r="BT3120" s="145"/>
      <c r="BU3120" s="145"/>
      <c r="BV3120" s="145"/>
      <c r="BW3120" s="145"/>
      <c r="BX3120" s="145"/>
      <c r="BY3120" s="145"/>
      <c r="BZ3120" s="145"/>
      <c r="CA3120" s="145"/>
      <c r="CB3120" s="145"/>
      <c r="CC3120" s="145"/>
      <c r="CD3120" s="145"/>
      <c r="CE3120" s="145"/>
      <c r="CF3120" s="145"/>
      <c r="CG3120" s="145"/>
      <c r="CH3120" s="145"/>
      <c r="CI3120" s="145"/>
      <c r="CJ3120" s="145"/>
      <c r="CK3120" s="145"/>
      <c r="CL3120" s="145"/>
      <c r="CM3120" s="145"/>
      <c r="CN3120" s="145"/>
      <c r="CO3120" s="145"/>
      <c r="CP3120" s="145"/>
      <c r="CQ3120" s="145"/>
      <c r="CR3120" s="145"/>
      <c r="CS3120" s="145"/>
      <c r="CT3120" s="145"/>
      <c r="CU3120" s="145"/>
      <c r="CV3120" s="145"/>
      <c r="CW3120" s="145"/>
      <c r="CX3120" s="145"/>
      <c r="CY3120" s="145"/>
      <c r="CZ3120" s="145"/>
      <c r="DA3120" s="145"/>
      <c r="DB3120" s="145"/>
      <c r="DC3120" s="145"/>
      <c r="DD3120" s="145"/>
      <c r="DE3120" s="145"/>
      <c r="DF3120" s="145"/>
      <c r="DG3120" s="145"/>
      <c r="DH3120" s="145"/>
      <c r="DI3120" s="145"/>
      <c r="DJ3120" s="145"/>
      <c r="DK3120" s="145"/>
      <c r="DL3120" s="145"/>
      <c r="DM3120" s="145"/>
      <c r="DN3120" s="145"/>
      <c r="DO3120" s="145"/>
      <c r="DP3120" s="145"/>
      <c r="DQ3120" s="145"/>
      <c r="DR3120" s="145"/>
      <c r="DS3120" s="145"/>
      <c r="DT3120" s="145"/>
      <c r="DU3120" s="145"/>
      <c r="DV3120" s="145"/>
      <c r="DW3120" s="145"/>
      <c r="DX3120" s="145"/>
      <c r="DY3120" s="145"/>
      <c r="DZ3120" s="145"/>
      <c r="EA3120" s="145"/>
      <c r="EB3120" s="145"/>
      <c r="EC3120" s="145"/>
      <c r="ED3120" s="145"/>
      <c r="EE3120" s="145"/>
      <c r="EF3120" s="145"/>
      <c r="EG3120" s="145"/>
      <c r="EH3120" s="145"/>
      <c r="EI3120" s="145"/>
      <c r="EJ3120" s="145"/>
      <c r="EK3120" s="145"/>
      <c r="EL3120" s="145"/>
      <c r="EM3120" s="145"/>
      <c r="EN3120" s="145"/>
      <c r="EO3120" s="145"/>
      <c r="EP3120" s="145"/>
      <c r="EQ3120" s="145"/>
      <c r="ER3120" s="145"/>
      <c r="ES3120" s="145"/>
      <c r="ET3120" s="145"/>
      <c r="EU3120" s="145"/>
      <c r="EV3120" s="145"/>
      <c r="EW3120" s="145"/>
      <c r="EX3120" s="145"/>
      <c r="EY3120" s="145"/>
      <c r="EZ3120" s="145"/>
      <c r="FA3120" s="145"/>
      <c r="FB3120" s="145"/>
      <c r="FC3120" s="145"/>
      <c r="FD3120" s="145"/>
      <c r="FE3120" s="145"/>
      <c r="FF3120" s="145"/>
      <c r="FG3120" s="145"/>
      <c r="FH3120" s="145"/>
      <c r="FI3120" s="145"/>
      <c r="FJ3120" s="145"/>
      <c r="FK3120" s="145"/>
      <c r="FL3120" s="145"/>
      <c r="FM3120" s="145"/>
      <c r="FN3120" s="145"/>
      <c r="FO3120" s="145"/>
      <c r="FP3120" s="145"/>
      <c r="FQ3120" s="145"/>
      <c r="FR3120" s="145"/>
      <c r="FS3120" s="145"/>
      <c r="FT3120" s="145"/>
      <c r="FU3120" s="145"/>
      <c r="FV3120" s="145"/>
      <c r="FW3120" s="145"/>
      <c r="FX3120" s="145"/>
      <c r="FY3120" s="145"/>
      <c r="FZ3120" s="145"/>
      <c r="GA3120" s="145"/>
      <c r="GB3120" s="145"/>
      <c r="GC3120" s="145"/>
      <c r="GD3120" s="145"/>
      <c r="GE3120" s="145"/>
      <c r="GF3120" s="145"/>
      <c r="GG3120" s="145"/>
      <c r="GH3120" s="145"/>
      <c r="GI3120" s="145"/>
      <c r="GJ3120" s="145"/>
      <c r="GK3120" s="145"/>
      <c r="GL3120" s="145"/>
      <c r="GM3120" s="145"/>
      <c r="GN3120" s="145"/>
      <c r="GO3120" s="145"/>
      <c r="GP3120" s="145"/>
      <c r="GQ3120" s="145"/>
      <c r="GR3120" s="145"/>
      <c r="GS3120" s="145"/>
      <c r="GT3120" s="145"/>
      <c r="GU3120" s="145"/>
      <c r="GV3120" s="145"/>
      <c r="GW3120" s="145"/>
      <c r="GX3120" s="145"/>
      <c r="GY3120" s="145"/>
      <c r="GZ3120" s="145"/>
      <c r="HA3120" s="145"/>
      <c r="HB3120" s="145"/>
      <c r="HC3120" s="145"/>
    </row>
    <row r="3121" spans="1:214" x14ac:dyDescent="0.35">
      <c r="A3121" s="271"/>
      <c r="B3121" s="271"/>
      <c r="C3121" s="263"/>
      <c r="D3121" s="274"/>
      <c r="E3121" s="268"/>
      <c r="F3121" s="268"/>
      <c r="G3121" s="271"/>
      <c r="H3121" s="136" t="s">
        <v>73</v>
      </c>
      <c r="I3121" s="181">
        <f>D3120*K3121</f>
        <v>1924770.6</v>
      </c>
      <c r="J3121" s="181">
        <f>I3121/D3120</f>
        <v>1566</v>
      </c>
      <c r="K3121" s="181">
        <v>1566</v>
      </c>
      <c r="L3121" s="145"/>
      <c r="M3121" s="145"/>
      <c r="N3121" s="145"/>
      <c r="O3121" s="145"/>
      <c r="P3121" s="145"/>
      <c r="Q3121" s="145"/>
      <c r="R3121" s="145"/>
      <c r="S3121" s="145"/>
      <c r="T3121" s="145"/>
      <c r="U3121" s="145"/>
      <c r="V3121" s="145"/>
      <c r="W3121" s="145"/>
      <c r="X3121" s="145"/>
      <c r="Y3121" s="145"/>
      <c r="Z3121" s="145"/>
      <c r="AA3121" s="145"/>
      <c r="AB3121" s="145"/>
      <c r="AC3121" s="145"/>
      <c r="AD3121" s="145"/>
      <c r="AE3121" s="145"/>
      <c r="AF3121" s="145"/>
      <c r="AG3121" s="145"/>
      <c r="AH3121" s="145"/>
      <c r="AI3121" s="145"/>
      <c r="AJ3121" s="145"/>
      <c r="AK3121" s="145"/>
      <c r="AL3121" s="145"/>
      <c r="AM3121" s="145"/>
      <c r="AN3121" s="145"/>
      <c r="AO3121" s="145"/>
      <c r="AP3121" s="145"/>
      <c r="AQ3121" s="145"/>
      <c r="AR3121" s="145"/>
      <c r="AS3121" s="145"/>
      <c r="AT3121" s="145"/>
      <c r="AU3121" s="145"/>
      <c r="AV3121" s="145"/>
      <c r="AW3121" s="145"/>
      <c r="AX3121" s="145"/>
      <c r="AY3121" s="145"/>
      <c r="AZ3121" s="145"/>
      <c r="BA3121" s="145"/>
      <c r="BB3121" s="145"/>
      <c r="BC3121" s="145"/>
      <c r="BD3121" s="145"/>
      <c r="BE3121" s="145"/>
      <c r="BF3121" s="145"/>
      <c r="BG3121" s="145"/>
      <c r="BH3121" s="145"/>
      <c r="BI3121" s="145"/>
      <c r="BJ3121" s="145"/>
      <c r="BK3121" s="145"/>
      <c r="BL3121" s="145"/>
      <c r="BM3121" s="145"/>
      <c r="BN3121" s="145"/>
      <c r="BO3121" s="145"/>
      <c r="BP3121" s="145"/>
      <c r="BQ3121" s="145"/>
      <c r="BR3121" s="145"/>
      <c r="BS3121" s="145"/>
      <c r="BT3121" s="145"/>
      <c r="BU3121" s="145"/>
      <c r="BV3121" s="145"/>
      <c r="BW3121" s="145"/>
      <c r="BX3121" s="145"/>
      <c r="BY3121" s="145"/>
      <c r="BZ3121" s="145"/>
      <c r="CA3121" s="145"/>
      <c r="CB3121" s="145"/>
      <c r="CC3121" s="145"/>
      <c r="CD3121" s="145"/>
      <c r="CE3121" s="145"/>
      <c r="CF3121" s="145"/>
      <c r="CG3121" s="145"/>
      <c r="CH3121" s="145"/>
      <c r="CI3121" s="145"/>
      <c r="CJ3121" s="145"/>
      <c r="CK3121" s="145"/>
      <c r="CL3121" s="145"/>
      <c r="CM3121" s="145"/>
      <c r="CN3121" s="145"/>
      <c r="CO3121" s="145"/>
      <c r="CP3121" s="145"/>
      <c r="CQ3121" s="145"/>
      <c r="CR3121" s="145"/>
      <c r="CS3121" s="145"/>
      <c r="CT3121" s="145"/>
      <c r="CU3121" s="145"/>
      <c r="CV3121" s="145"/>
      <c r="CW3121" s="145"/>
      <c r="CX3121" s="145"/>
      <c r="CY3121" s="145"/>
      <c r="CZ3121" s="145"/>
      <c r="DA3121" s="145"/>
      <c r="DB3121" s="145"/>
      <c r="DC3121" s="145"/>
      <c r="DD3121" s="145"/>
      <c r="DE3121" s="145"/>
      <c r="DF3121" s="145"/>
      <c r="DG3121" s="145"/>
      <c r="DH3121" s="145"/>
      <c r="DI3121" s="145"/>
      <c r="DJ3121" s="145"/>
      <c r="DK3121" s="145"/>
      <c r="DL3121" s="145"/>
      <c r="DM3121" s="145"/>
      <c r="DN3121" s="145"/>
      <c r="DO3121" s="145"/>
      <c r="DP3121" s="145"/>
      <c r="DQ3121" s="145"/>
      <c r="DR3121" s="145"/>
      <c r="DS3121" s="145"/>
      <c r="DT3121" s="145"/>
      <c r="DU3121" s="145"/>
      <c r="DV3121" s="145"/>
      <c r="DW3121" s="145"/>
      <c r="DX3121" s="145"/>
      <c r="DY3121" s="145"/>
      <c r="DZ3121" s="145"/>
      <c r="EA3121" s="145"/>
      <c r="EB3121" s="145"/>
      <c r="EC3121" s="145"/>
      <c r="ED3121" s="145"/>
      <c r="EE3121" s="145"/>
      <c r="EF3121" s="145"/>
      <c r="EG3121" s="145"/>
      <c r="EH3121" s="145"/>
      <c r="EI3121" s="145"/>
      <c r="EJ3121" s="145"/>
      <c r="EK3121" s="145"/>
      <c r="EL3121" s="145"/>
      <c r="EM3121" s="145"/>
      <c r="EN3121" s="145"/>
      <c r="EO3121" s="145"/>
      <c r="EP3121" s="145"/>
      <c r="EQ3121" s="145"/>
      <c r="ER3121" s="145"/>
      <c r="ES3121" s="145"/>
      <c r="ET3121" s="145"/>
      <c r="EU3121" s="145"/>
      <c r="EV3121" s="145"/>
      <c r="EW3121" s="145"/>
      <c r="EX3121" s="145"/>
      <c r="EY3121" s="145"/>
      <c r="EZ3121" s="145"/>
      <c r="FA3121" s="145"/>
      <c r="FB3121" s="145"/>
      <c r="FC3121" s="145"/>
      <c r="FD3121" s="145"/>
      <c r="FE3121" s="145"/>
      <c r="FF3121" s="145"/>
      <c r="FG3121" s="145"/>
      <c r="FH3121" s="145"/>
      <c r="FI3121" s="145"/>
      <c r="FJ3121" s="145"/>
      <c r="FK3121" s="145"/>
      <c r="FL3121" s="145"/>
      <c r="FM3121" s="145"/>
      <c r="FN3121" s="145"/>
      <c r="FO3121" s="145"/>
      <c r="FP3121" s="145"/>
      <c r="FQ3121" s="145"/>
      <c r="FR3121" s="145"/>
      <c r="FS3121" s="145"/>
      <c r="FT3121" s="145"/>
      <c r="FU3121" s="145"/>
      <c r="FV3121" s="145"/>
      <c r="FW3121" s="145"/>
      <c r="FX3121" s="145"/>
      <c r="FY3121" s="145"/>
      <c r="FZ3121" s="145"/>
      <c r="GA3121" s="145"/>
      <c r="GB3121" s="145"/>
      <c r="GC3121" s="145"/>
      <c r="GD3121" s="145"/>
      <c r="GE3121" s="145"/>
      <c r="GF3121" s="145"/>
      <c r="GG3121" s="145"/>
      <c r="GH3121" s="145"/>
      <c r="GI3121" s="145"/>
      <c r="GJ3121" s="145"/>
      <c r="GK3121" s="145"/>
      <c r="GL3121" s="145"/>
      <c r="GM3121" s="145"/>
      <c r="GN3121" s="145"/>
      <c r="GO3121" s="145"/>
      <c r="GP3121" s="145"/>
      <c r="GQ3121" s="145"/>
      <c r="GR3121" s="145"/>
      <c r="GS3121" s="145"/>
      <c r="GT3121" s="145"/>
      <c r="GU3121" s="145"/>
      <c r="GV3121" s="145"/>
      <c r="GW3121" s="145"/>
      <c r="GX3121" s="145"/>
      <c r="GY3121" s="145"/>
      <c r="GZ3121" s="145"/>
      <c r="HA3121" s="145"/>
      <c r="HB3121" s="145"/>
      <c r="HC3121" s="145"/>
    </row>
    <row r="3122" spans="1:214" x14ac:dyDescent="0.35">
      <c r="A3122" s="271"/>
      <c r="B3122" s="271"/>
      <c r="C3122" s="263"/>
      <c r="D3122" s="274"/>
      <c r="E3122" s="268"/>
      <c r="F3122" s="268"/>
      <c r="G3122" s="271"/>
      <c r="H3122" s="136" t="s">
        <v>75</v>
      </c>
      <c r="I3122" s="181">
        <f>D3120*K3122</f>
        <v>41789.4</v>
      </c>
      <c r="J3122" s="181">
        <f>I3122/D3120</f>
        <v>34</v>
      </c>
      <c r="K3122" s="181">
        <v>34</v>
      </c>
      <c r="L3122" s="145"/>
      <c r="M3122" s="145"/>
      <c r="N3122" s="145"/>
      <c r="O3122" s="145"/>
      <c r="P3122" s="145"/>
      <c r="Q3122" s="145"/>
      <c r="R3122" s="145"/>
      <c r="S3122" s="145"/>
      <c r="T3122" s="145"/>
      <c r="U3122" s="145"/>
      <c r="V3122" s="145"/>
      <c r="W3122" s="145"/>
      <c r="X3122" s="145"/>
      <c r="Y3122" s="145"/>
      <c r="Z3122" s="145"/>
      <c r="AA3122" s="145"/>
      <c r="AB3122" s="145"/>
      <c r="AC3122" s="145"/>
      <c r="AD3122" s="145"/>
      <c r="AE3122" s="145"/>
      <c r="AF3122" s="145"/>
      <c r="AG3122" s="145"/>
      <c r="AH3122" s="145"/>
      <c r="AI3122" s="145"/>
      <c r="AJ3122" s="145"/>
      <c r="AK3122" s="145"/>
      <c r="AL3122" s="145"/>
      <c r="AM3122" s="145"/>
      <c r="AN3122" s="145"/>
      <c r="AO3122" s="145"/>
      <c r="AP3122" s="145"/>
      <c r="AQ3122" s="145"/>
      <c r="AR3122" s="145"/>
      <c r="AS3122" s="145"/>
      <c r="AT3122" s="145"/>
      <c r="AU3122" s="145"/>
      <c r="AV3122" s="145"/>
      <c r="AW3122" s="145"/>
      <c r="AX3122" s="145"/>
      <c r="AY3122" s="145"/>
      <c r="AZ3122" s="145"/>
      <c r="BA3122" s="145"/>
      <c r="BB3122" s="145"/>
      <c r="BC3122" s="145"/>
      <c r="BD3122" s="145"/>
      <c r="BE3122" s="145"/>
      <c r="BF3122" s="145"/>
      <c r="BG3122" s="145"/>
      <c r="BH3122" s="145"/>
      <c r="BI3122" s="145"/>
      <c r="BJ3122" s="145"/>
      <c r="BK3122" s="145"/>
      <c r="BL3122" s="145"/>
      <c r="BM3122" s="145"/>
      <c r="BN3122" s="145"/>
      <c r="BO3122" s="145"/>
      <c r="BP3122" s="145"/>
      <c r="BQ3122" s="145"/>
      <c r="BR3122" s="145"/>
      <c r="BS3122" s="145"/>
      <c r="BT3122" s="145"/>
      <c r="BU3122" s="145"/>
      <c r="BV3122" s="145"/>
      <c r="BW3122" s="145"/>
      <c r="BX3122" s="145"/>
      <c r="BY3122" s="145"/>
      <c r="BZ3122" s="145"/>
      <c r="CA3122" s="145"/>
      <c r="CB3122" s="145"/>
      <c r="CC3122" s="145"/>
      <c r="CD3122" s="145"/>
      <c r="CE3122" s="145"/>
      <c r="CF3122" s="145"/>
      <c r="CG3122" s="145"/>
      <c r="CH3122" s="145"/>
      <c r="CI3122" s="145"/>
      <c r="CJ3122" s="145"/>
      <c r="CK3122" s="145"/>
      <c r="CL3122" s="145"/>
      <c r="CM3122" s="145"/>
      <c r="CN3122" s="145"/>
      <c r="CO3122" s="145"/>
      <c r="CP3122" s="145"/>
      <c r="CQ3122" s="145"/>
      <c r="CR3122" s="145"/>
      <c r="CS3122" s="145"/>
      <c r="CT3122" s="145"/>
      <c r="CU3122" s="145"/>
      <c r="CV3122" s="145"/>
      <c r="CW3122" s="145"/>
      <c r="CX3122" s="145"/>
      <c r="CY3122" s="145"/>
      <c r="CZ3122" s="145"/>
      <c r="DA3122" s="145"/>
      <c r="DB3122" s="145"/>
      <c r="DC3122" s="145"/>
      <c r="DD3122" s="145"/>
      <c r="DE3122" s="145"/>
      <c r="DF3122" s="145"/>
      <c r="DG3122" s="145"/>
      <c r="DH3122" s="145"/>
      <c r="DI3122" s="145"/>
      <c r="DJ3122" s="145"/>
      <c r="DK3122" s="145"/>
      <c r="DL3122" s="145"/>
      <c r="DM3122" s="145"/>
      <c r="DN3122" s="145"/>
      <c r="DO3122" s="145"/>
      <c r="DP3122" s="145"/>
      <c r="DQ3122" s="145"/>
      <c r="DR3122" s="145"/>
      <c r="DS3122" s="145"/>
      <c r="DT3122" s="145"/>
      <c r="DU3122" s="145"/>
      <c r="DV3122" s="145"/>
      <c r="DW3122" s="145"/>
      <c r="DX3122" s="145"/>
      <c r="DY3122" s="145"/>
      <c r="DZ3122" s="145"/>
      <c r="EA3122" s="145"/>
      <c r="EB3122" s="145"/>
      <c r="EC3122" s="145"/>
      <c r="ED3122" s="145"/>
      <c r="EE3122" s="145"/>
      <c r="EF3122" s="145"/>
      <c r="EG3122" s="145"/>
      <c r="EH3122" s="145"/>
      <c r="EI3122" s="145"/>
      <c r="EJ3122" s="145"/>
      <c r="EK3122" s="145"/>
      <c r="EL3122" s="145"/>
      <c r="EM3122" s="145"/>
      <c r="EN3122" s="145"/>
      <c r="EO3122" s="145"/>
      <c r="EP3122" s="145"/>
      <c r="EQ3122" s="145"/>
      <c r="ER3122" s="145"/>
      <c r="ES3122" s="145"/>
      <c r="ET3122" s="145"/>
      <c r="EU3122" s="145"/>
      <c r="EV3122" s="145"/>
      <c r="EW3122" s="145"/>
      <c r="EX3122" s="145"/>
      <c r="EY3122" s="145"/>
      <c r="EZ3122" s="145"/>
      <c r="FA3122" s="145"/>
      <c r="FB3122" s="145"/>
      <c r="FC3122" s="145"/>
      <c r="FD3122" s="145"/>
      <c r="FE3122" s="145"/>
      <c r="FF3122" s="145"/>
      <c r="FG3122" s="145"/>
      <c r="FH3122" s="145"/>
      <c r="FI3122" s="145"/>
      <c r="FJ3122" s="145"/>
      <c r="FK3122" s="145"/>
      <c r="FL3122" s="145"/>
      <c r="FM3122" s="145"/>
      <c r="FN3122" s="145"/>
      <c r="FO3122" s="145"/>
      <c r="FP3122" s="145"/>
      <c r="FQ3122" s="145"/>
      <c r="FR3122" s="145"/>
      <c r="FS3122" s="145"/>
      <c r="FT3122" s="145"/>
      <c r="FU3122" s="145"/>
      <c r="FV3122" s="145"/>
      <c r="FW3122" s="145"/>
      <c r="FX3122" s="145"/>
      <c r="FY3122" s="145"/>
      <c r="FZ3122" s="145"/>
      <c r="GA3122" s="145"/>
      <c r="GB3122" s="145"/>
      <c r="GC3122" s="145"/>
      <c r="GD3122" s="145"/>
      <c r="GE3122" s="145"/>
      <c r="GF3122" s="145"/>
      <c r="GG3122" s="145"/>
      <c r="GH3122" s="145"/>
      <c r="GI3122" s="145"/>
      <c r="GJ3122" s="145"/>
      <c r="GK3122" s="145"/>
      <c r="GL3122" s="145"/>
      <c r="GM3122" s="145"/>
      <c r="GN3122" s="145"/>
      <c r="GO3122" s="145"/>
      <c r="GP3122" s="145"/>
      <c r="GQ3122" s="145"/>
      <c r="GR3122" s="145"/>
      <c r="GS3122" s="145"/>
      <c r="GT3122" s="145"/>
      <c r="GU3122" s="145"/>
      <c r="GV3122" s="145"/>
      <c r="GW3122" s="145"/>
      <c r="GX3122" s="145"/>
      <c r="GY3122" s="145"/>
      <c r="GZ3122" s="145"/>
      <c r="HA3122" s="145"/>
      <c r="HB3122" s="145"/>
      <c r="HC3122" s="145"/>
    </row>
    <row r="3123" spans="1:214" x14ac:dyDescent="0.35">
      <c r="A3123" s="271"/>
      <c r="B3123" s="271"/>
      <c r="C3123" s="263"/>
      <c r="D3123" s="274"/>
      <c r="E3123" s="268"/>
      <c r="F3123" s="268"/>
      <c r="G3123" s="271"/>
      <c r="H3123" s="182" t="s">
        <v>676</v>
      </c>
      <c r="I3123" s="181">
        <f>D3120*K3123</f>
        <v>4803322.8</v>
      </c>
      <c r="J3123" s="181">
        <f>I3123/D3120</f>
        <v>3908</v>
      </c>
      <c r="K3123" s="181">
        <v>3908</v>
      </c>
      <c r="L3123" s="145"/>
      <c r="M3123" s="145"/>
      <c r="N3123" s="145"/>
      <c r="O3123" s="145"/>
      <c r="P3123" s="145"/>
      <c r="Q3123" s="145"/>
      <c r="R3123" s="145"/>
      <c r="S3123" s="145"/>
      <c r="T3123" s="145"/>
      <c r="U3123" s="145"/>
      <c r="V3123" s="145"/>
      <c r="W3123" s="145"/>
      <c r="X3123" s="145"/>
      <c r="Y3123" s="145"/>
      <c r="Z3123" s="145"/>
      <c r="AA3123" s="145"/>
      <c r="AB3123" s="145"/>
      <c r="AC3123" s="145"/>
      <c r="AD3123" s="145"/>
      <c r="AE3123" s="145"/>
      <c r="AF3123" s="145"/>
      <c r="AG3123" s="145"/>
      <c r="AH3123" s="145"/>
      <c r="AI3123" s="145"/>
      <c r="AJ3123" s="145"/>
      <c r="AK3123" s="145"/>
      <c r="AL3123" s="145"/>
      <c r="AM3123" s="145"/>
      <c r="AN3123" s="145"/>
      <c r="AO3123" s="145"/>
      <c r="AP3123" s="145"/>
      <c r="AQ3123" s="145"/>
      <c r="AR3123" s="145"/>
      <c r="AS3123" s="145"/>
      <c r="AT3123" s="145"/>
      <c r="AU3123" s="145"/>
      <c r="AV3123" s="145"/>
      <c r="AW3123" s="145"/>
      <c r="AX3123" s="145"/>
      <c r="AY3123" s="145"/>
      <c r="AZ3123" s="145"/>
      <c r="BA3123" s="145"/>
      <c r="BB3123" s="145"/>
      <c r="BC3123" s="145"/>
      <c r="BD3123" s="145"/>
      <c r="BE3123" s="145"/>
      <c r="BF3123" s="145"/>
      <c r="BG3123" s="145"/>
      <c r="BH3123" s="145"/>
      <c r="BI3123" s="145"/>
      <c r="BJ3123" s="145"/>
      <c r="BK3123" s="145"/>
      <c r="BL3123" s="145"/>
      <c r="BM3123" s="145"/>
      <c r="BN3123" s="145"/>
      <c r="BO3123" s="145"/>
      <c r="BP3123" s="145"/>
      <c r="BQ3123" s="145"/>
      <c r="BR3123" s="145"/>
      <c r="BS3123" s="145"/>
      <c r="BT3123" s="145"/>
      <c r="BU3123" s="145"/>
      <c r="BV3123" s="145"/>
      <c r="BW3123" s="145"/>
      <c r="BX3123" s="145"/>
      <c r="BY3123" s="145"/>
      <c r="BZ3123" s="145"/>
      <c r="CA3123" s="145"/>
      <c r="CB3123" s="145"/>
      <c r="CC3123" s="145"/>
      <c r="CD3123" s="145"/>
      <c r="CE3123" s="145"/>
      <c r="CF3123" s="145"/>
      <c r="CG3123" s="145"/>
      <c r="CH3123" s="145"/>
      <c r="CI3123" s="145"/>
      <c r="CJ3123" s="145"/>
      <c r="CK3123" s="145"/>
      <c r="CL3123" s="145"/>
      <c r="CM3123" s="145"/>
      <c r="CN3123" s="145"/>
      <c r="CO3123" s="145"/>
      <c r="CP3123" s="145"/>
      <c r="CQ3123" s="145"/>
      <c r="CR3123" s="145"/>
      <c r="CS3123" s="145"/>
      <c r="CT3123" s="145"/>
      <c r="CU3123" s="145"/>
      <c r="CV3123" s="145"/>
      <c r="CW3123" s="145"/>
      <c r="CX3123" s="145"/>
      <c r="CY3123" s="145"/>
      <c r="CZ3123" s="145"/>
      <c r="DA3123" s="145"/>
      <c r="DB3123" s="145"/>
      <c r="DC3123" s="145"/>
      <c r="DD3123" s="145"/>
      <c r="DE3123" s="145"/>
      <c r="DF3123" s="145"/>
      <c r="DG3123" s="145"/>
      <c r="DH3123" s="145"/>
      <c r="DI3123" s="145"/>
      <c r="DJ3123" s="145"/>
      <c r="DK3123" s="145"/>
      <c r="DL3123" s="145"/>
      <c r="DM3123" s="145"/>
      <c r="DN3123" s="145"/>
      <c r="DO3123" s="145"/>
      <c r="DP3123" s="145"/>
      <c r="DQ3123" s="145"/>
      <c r="DR3123" s="145"/>
      <c r="DS3123" s="145"/>
      <c r="DT3123" s="145"/>
      <c r="DU3123" s="145"/>
      <c r="DV3123" s="145"/>
      <c r="DW3123" s="145"/>
      <c r="DX3123" s="145"/>
      <c r="DY3123" s="145"/>
      <c r="DZ3123" s="145"/>
      <c r="EA3123" s="145"/>
      <c r="EB3123" s="145"/>
      <c r="EC3123" s="145"/>
      <c r="ED3123" s="145"/>
      <c r="EE3123" s="145"/>
      <c r="EF3123" s="145"/>
      <c r="EG3123" s="145"/>
      <c r="EH3123" s="145"/>
      <c r="EI3123" s="145"/>
      <c r="EJ3123" s="145"/>
      <c r="EK3123" s="145"/>
      <c r="EL3123" s="145"/>
      <c r="EM3123" s="145"/>
      <c r="EN3123" s="145"/>
      <c r="EO3123" s="145"/>
      <c r="EP3123" s="145"/>
      <c r="EQ3123" s="145"/>
      <c r="ER3123" s="145"/>
      <c r="ES3123" s="145"/>
      <c r="ET3123" s="145"/>
      <c r="EU3123" s="145"/>
      <c r="EV3123" s="145"/>
      <c r="EW3123" s="145"/>
      <c r="EX3123" s="145"/>
      <c r="EY3123" s="145"/>
      <c r="EZ3123" s="145"/>
      <c r="FA3123" s="145"/>
      <c r="FB3123" s="145"/>
      <c r="FC3123" s="145"/>
      <c r="FD3123" s="145"/>
      <c r="FE3123" s="145"/>
      <c r="FF3123" s="145"/>
      <c r="FG3123" s="145"/>
      <c r="FH3123" s="145"/>
      <c r="FI3123" s="145"/>
      <c r="FJ3123" s="145"/>
      <c r="FK3123" s="145"/>
      <c r="FL3123" s="145"/>
      <c r="FM3123" s="145"/>
      <c r="FN3123" s="145"/>
      <c r="FO3123" s="145"/>
      <c r="FP3123" s="145"/>
      <c r="FQ3123" s="145"/>
      <c r="FR3123" s="145"/>
      <c r="FS3123" s="145"/>
      <c r="FT3123" s="145"/>
      <c r="FU3123" s="145"/>
      <c r="FV3123" s="145"/>
      <c r="FW3123" s="145"/>
      <c r="FX3123" s="145"/>
      <c r="FY3123" s="145"/>
      <c r="FZ3123" s="145"/>
      <c r="GA3123" s="145"/>
      <c r="GB3123" s="145"/>
      <c r="GC3123" s="145"/>
      <c r="GD3123" s="145"/>
      <c r="GE3123" s="145"/>
      <c r="GF3123" s="145"/>
      <c r="GG3123" s="145"/>
      <c r="GH3123" s="145"/>
      <c r="GI3123" s="145"/>
      <c r="GJ3123" s="145"/>
      <c r="GK3123" s="145"/>
      <c r="GL3123" s="145"/>
      <c r="GM3123" s="145"/>
      <c r="GN3123" s="145"/>
      <c r="GO3123" s="145"/>
      <c r="GP3123" s="145"/>
      <c r="GQ3123" s="145"/>
      <c r="GR3123" s="145"/>
      <c r="GS3123" s="145"/>
      <c r="GT3123" s="145"/>
      <c r="GU3123" s="145"/>
      <c r="GV3123" s="145"/>
      <c r="GW3123" s="145"/>
      <c r="GX3123" s="145"/>
      <c r="GY3123" s="145"/>
      <c r="GZ3123" s="145"/>
      <c r="HA3123" s="145"/>
      <c r="HB3123" s="145"/>
      <c r="HC3123" s="145"/>
    </row>
    <row r="3124" spans="1:214" x14ac:dyDescent="0.35">
      <c r="A3124" s="271"/>
      <c r="B3124" s="271"/>
      <c r="C3124" s="263"/>
      <c r="D3124" s="274"/>
      <c r="E3124" s="268"/>
      <c r="F3124" s="268"/>
      <c r="G3124" s="272"/>
      <c r="H3124" s="182" t="s">
        <v>75</v>
      </c>
      <c r="I3124" s="181">
        <f>D3120*K3124</f>
        <v>103244.4</v>
      </c>
      <c r="J3124" s="181">
        <f>I3124/D3120</f>
        <v>84</v>
      </c>
      <c r="K3124" s="181">
        <v>84</v>
      </c>
      <c r="L3124" s="145"/>
      <c r="M3124" s="145"/>
      <c r="N3124" s="145"/>
      <c r="O3124" s="145"/>
      <c r="P3124" s="145"/>
      <c r="Q3124" s="145"/>
      <c r="R3124" s="145"/>
      <c r="S3124" s="145"/>
      <c r="T3124" s="145"/>
      <c r="U3124" s="145"/>
      <c r="V3124" s="145"/>
      <c r="W3124" s="145"/>
      <c r="X3124" s="145"/>
      <c r="Y3124" s="145"/>
      <c r="Z3124" s="145"/>
      <c r="AA3124" s="145"/>
      <c r="AB3124" s="145"/>
      <c r="AC3124" s="145"/>
      <c r="AD3124" s="145"/>
      <c r="AE3124" s="145"/>
      <c r="AF3124" s="145"/>
      <c r="AG3124" s="145"/>
      <c r="AH3124" s="145"/>
      <c r="AI3124" s="145"/>
      <c r="AJ3124" s="145"/>
      <c r="AK3124" s="145"/>
      <c r="AL3124" s="145"/>
      <c r="AM3124" s="145"/>
      <c r="AN3124" s="145"/>
      <c r="AO3124" s="145"/>
      <c r="AP3124" s="145"/>
      <c r="AQ3124" s="145"/>
      <c r="AR3124" s="145"/>
      <c r="AS3124" s="145"/>
      <c r="AT3124" s="145"/>
      <c r="AU3124" s="145"/>
      <c r="AV3124" s="145"/>
      <c r="AW3124" s="145"/>
      <c r="AX3124" s="145"/>
      <c r="AY3124" s="145"/>
      <c r="AZ3124" s="145"/>
      <c r="BA3124" s="145"/>
      <c r="BB3124" s="145"/>
      <c r="BC3124" s="145"/>
      <c r="BD3124" s="145"/>
      <c r="BE3124" s="145"/>
      <c r="BF3124" s="145"/>
      <c r="BG3124" s="145"/>
      <c r="BH3124" s="145"/>
      <c r="BI3124" s="145"/>
      <c r="BJ3124" s="145"/>
      <c r="BK3124" s="145"/>
      <c r="BL3124" s="145"/>
      <c r="BM3124" s="145"/>
      <c r="BN3124" s="145"/>
      <c r="BO3124" s="145"/>
      <c r="BP3124" s="145"/>
      <c r="BQ3124" s="145"/>
      <c r="BR3124" s="145"/>
      <c r="BS3124" s="145"/>
      <c r="BT3124" s="145"/>
      <c r="BU3124" s="145"/>
      <c r="BV3124" s="145"/>
      <c r="BW3124" s="145"/>
      <c r="BX3124" s="145"/>
      <c r="BY3124" s="145"/>
      <c r="BZ3124" s="145"/>
      <c r="CA3124" s="145"/>
      <c r="CB3124" s="145"/>
      <c r="CC3124" s="145"/>
      <c r="CD3124" s="145"/>
      <c r="CE3124" s="145"/>
      <c r="CF3124" s="145"/>
      <c r="CG3124" s="145"/>
      <c r="CH3124" s="145"/>
      <c r="CI3124" s="145"/>
      <c r="CJ3124" s="145"/>
      <c r="CK3124" s="145"/>
      <c r="CL3124" s="145"/>
      <c r="CM3124" s="145"/>
      <c r="CN3124" s="145"/>
      <c r="CO3124" s="145"/>
      <c r="CP3124" s="145"/>
      <c r="CQ3124" s="145"/>
      <c r="CR3124" s="145"/>
      <c r="CS3124" s="145"/>
      <c r="CT3124" s="145"/>
      <c r="CU3124" s="145"/>
      <c r="CV3124" s="145"/>
      <c r="CW3124" s="145"/>
      <c r="CX3124" s="145"/>
      <c r="CY3124" s="145"/>
      <c r="CZ3124" s="145"/>
      <c r="DA3124" s="145"/>
      <c r="DB3124" s="145"/>
      <c r="DC3124" s="145"/>
      <c r="DD3124" s="145"/>
      <c r="DE3124" s="145"/>
      <c r="DF3124" s="145"/>
      <c r="DG3124" s="145"/>
      <c r="DH3124" s="145"/>
      <c r="DI3124" s="145"/>
      <c r="DJ3124" s="145"/>
      <c r="DK3124" s="145"/>
      <c r="DL3124" s="145"/>
      <c r="DM3124" s="145"/>
      <c r="DN3124" s="145"/>
      <c r="DO3124" s="145"/>
      <c r="DP3124" s="145"/>
      <c r="DQ3124" s="145"/>
      <c r="DR3124" s="145"/>
      <c r="DS3124" s="145"/>
      <c r="DT3124" s="145"/>
      <c r="DU3124" s="145"/>
      <c r="DV3124" s="145"/>
      <c r="DW3124" s="145"/>
      <c r="DX3124" s="145"/>
      <c r="DY3124" s="145"/>
      <c r="DZ3124" s="145"/>
      <c r="EA3124" s="145"/>
      <c r="EB3124" s="145"/>
      <c r="EC3124" s="145"/>
      <c r="ED3124" s="145"/>
      <c r="EE3124" s="145"/>
      <c r="EF3124" s="145"/>
      <c r="EG3124" s="145"/>
      <c r="EH3124" s="145"/>
      <c r="EI3124" s="145"/>
      <c r="EJ3124" s="145"/>
      <c r="EK3124" s="145"/>
      <c r="EL3124" s="145"/>
      <c r="EM3124" s="145"/>
      <c r="EN3124" s="145"/>
      <c r="EO3124" s="145"/>
      <c r="EP3124" s="145"/>
      <c r="EQ3124" s="145"/>
      <c r="ER3124" s="145"/>
      <c r="ES3124" s="145"/>
      <c r="ET3124" s="145"/>
      <c r="EU3124" s="145"/>
      <c r="EV3124" s="145"/>
      <c r="EW3124" s="145"/>
      <c r="EX3124" s="145"/>
      <c r="EY3124" s="145"/>
      <c r="EZ3124" s="145"/>
      <c r="FA3124" s="145"/>
      <c r="FB3124" s="145"/>
      <c r="FC3124" s="145"/>
      <c r="FD3124" s="145"/>
      <c r="FE3124" s="145"/>
      <c r="FF3124" s="145"/>
      <c r="FG3124" s="145"/>
      <c r="FH3124" s="145"/>
      <c r="FI3124" s="145"/>
      <c r="FJ3124" s="145"/>
      <c r="FK3124" s="145"/>
      <c r="FL3124" s="145"/>
      <c r="FM3124" s="145"/>
      <c r="FN3124" s="145"/>
      <c r="FO3124" s="145"/>
      <c r="FP3124" s="145"/>
      <c r="FQ3124" s="145"/>
      <c r="FR3124" s="145"/>
      <c r="FS3124" s="145"/>
      <c r="FT3124" s="145"/>
      <c r="FU3124" s="145"/>
      <c r="FV3124" s="145"/>
      <c r="FW3124" s="145"/>
      <c r="FX3124" s="145"/>
      <c r="FY3124" s="145"/>
      <c r="FZ3124" s="145"/>
      <c r="GA3124" s="145"/>
      <c r="GB3124" s="145"/>
      <c r="GC3124" s="145"/>
      <c r="GD3124" s="145"/>
      <c r="GE3124" s="145"/>
      <c r="GF3124" s="145"/>
      <c r="GG3124" s="145"/>
      <c r="GH3124" s="145"/>
      <c r="GI3124" s="145"/>
      <c r="GJ3124" s="145"/>
      <c r="GK3124" s="145"/>
      <c r="GL3124" s="145"/>
      <c r="GM3124" s="145"/>
      <c r="GN3124" s="145"/>
      <c r="GO3124" s="145"/>
      <c r="GP3124" s="145"/>
      <c r="GQ3124" s="145"/>
      <c r="GR3124" s="145"/>
      <c r="GS3124" s="145"/>
      <c r="GT3124" s="145"/>
      <c r="GU3124" s="145"/>
      <c r="GV3124" s="145"/>
      <c r="GW3124" s="145"/>
      <c r="GX3124" s="145"/>
      <c r="GY3124" s="145"/>
      <c r="GZ3124" s="145"/>
      <c r="HA3124" s="145"/>
      <c r="HB3124" s="145"/>
      <c r="HC3124" s="145"/>
      <c r="HD3124" s="145"/>
      <c r="HE3124" s="145"/>
      <c r="HF3124" s="145"/>
    </row>
    <row r="3125" spans="1:214" x14ac:dyDescent="0.35">
      <c r="A3125" s="277">
        <f>A3120+1</f>
        <v>64</v>
      </c>
      <c r="B3125" s="277">
        <v>2434</v>
      </c>
      <c r="C3125" s="266" t="s">
        <v>145</v>
      </c>
      <c r="D3125" s="287">
        <v>3278.05</v>
      </c>
      <c r="E3125" s="276" t="s">
        <v>70</v>
      </c>
      <c r="F3125" s="276">
        <v>5</v>
      </c>
      <c r="G3125" s="277" t="s">
        <v>71</v>
      </c>
      <c r="H3125" s="136" t="s">
        <v>72</v>
      </c>
      <c r="I3125" s="181">
        <f>I3126+I3127</f>
        <v>11305994.449999999</v>
      </c>
      <c r="J3125" s="181">
        <f>J3126+J3127</f>
        <v>3449</v>
      </c>
      <c r="K3125" s="181">
        <f>K3126+K3127</f>
        <v>3449</v>
      </c>
      <c r="L3125" s="145"/>
      <c r="M3125" s="145"/>
      <c r="N3125" s="145"/>
      <c r="O3125" s="145"/>
      <c r="P3125" s="145"/>
      <c r="Q3125" s="145"/>
      <c r="R3125" s="145"/>
      <c r="S3125" s="145"/>
      <c r="T3125" s="145"/>
      <c r="U3125" s="145"/>
      <c r="V3125" s="145"/>
      <c r="W3125" s="145"/>
      <c r="X3125" s="145"/>
      <c r="Y3125" s="145"/>
      <c r="Z3125" s="145"/>
      <c r="AA3125" s="145"/>
      <c r="AB3125" s="145"/>
      <c r="AC3125" s="145"/>
      <c r="AD3125" s="145"/>
      <c r="AE3125" s="145"/>
      <c r="AF3125" s="145"/>
      <c r="AG3125" s="145"/>
      <c r="AH3125" s="145"/>
      <c r="AI3125" s="145"/>
      <c r="AJ3125" s="145"/>
      <c r="AK3125" s="145"/>
      <c r="AL3125" s="145"/>
      <c r="AM3125" s="145"/>
      <c r="AN3125" s="145"/>
      <c r="AO3125" s="145"/>
      <c r="AP3125" s="145"/>
      <c r="AQ3125" s="145"/>
      <c r="AR3125" s="145"/>
      <c r="AS3125" s="145"/>
      <c r="AT3125" s="145"/>
      <c r="AU3125" s="145"/>
      <c r="AV3125" s="145"/>
      <c r="AW3125" s="145"/>
      <c r="AX3125" s="145"/>
      <c r="AY3125" s="145"/>
      <c r="AZ3125" s="145"/>
      <c r="BA3125" s="145"/>
      <c r="BB3125" s="145"/>
      <c r="BC3125" s="145"/>
      <c r="BD3125" s="145"/>
      <c r="BE3125" s="145"/>
      <c r="BF3125" s="145"/>
      <c r="BG3125" s="145"/>
      <c r="BH3125" s="145"/>
      <c r="BI3125" s="145"/>
      <c r="BJ3125" s="145"/>
      <c r="BK3125" s="145"/>
      <c r="BL3125" s="145"/>
      <c r="BM3125" s="145"/>
      <c r="BN3125" s="145"/>
      <c r="BO3125" s="145"/>
      <c r="BP3125" s="145"/>
      <c r="BQ3125" s="145"/>
      <c r="BR3125" s="145"/>
      <c r="BS3125" s="145"/>
      <c r="BT3125" s="145"/>
      <c r="BU3125" s="145"/>
      <c r="BV3125" s="145"/>
      <c r="BW3125" s="145"/>
      <c r="BX3125" s="145"/>
      <c r="BY3125" s="145"/>
      <c r="BZ3125" s="145"/>
      <c r="CA3125" s="145"/>
      <c r="CB3125" s="145"/>
      <c r="CC3125" s="145"/>
      <c r="CD3125" s="145"/>
      <c r="CE3125" s="145"/>
      <c r="CF3125" s="145"/>
      <c r="CG3125" s="145"/>
      <c r="CH3125" s="145"/>
      <c r="CI3125" s="145"/>
      <c r="CJ3125" s="145"/>
      <c r="CK3125" s="145"/>
      <c r="CL3125" s="145"/>
      <c r="CM3125" s="145"/>
      <c r="CN3125" s="145"/>
      <c r="CO3125" s="145"/>
      <c r="CP3125" s="145"/>
      <c r="CQ3125" s="145"/>
      <c r="CR3125" s="145"/>
      <c r="CS3125" s="145"/>
      <c r="CT3125" s="145"/>
      <c r="CU3125" s="145"/>
      <c r="CV3125" s="145"/>
      <c r="CW3125" s="145"/>
      <c r="CX3125" s="145"/>
      <c r="CY3125" s="145"/>
      <c r="CZ3125" s="145"/>
      <c r="DA3125" s="145"/>
      <c r="DB3125" s="145"/>
      <c r="DC3125" s="145"/>
      <c r="DD3125" s="145"/>
      <c r="DE3125" s="145"/>
      <c r="DF3125" s="145"/>
      <c r="DG3125" s="145"/>
      <c r="DH3125" s="145"/>
      <c r="DI3125" s="145"/>
      <c r="DJ3125" s="145"/>
      <c r="DK3125" s="145"/>
      <c r="DL3125" s="145"/>
      <c r="DM3125" s="145"/>
      <c r="DN3125" s="145"/>
      <c r="DO3125" s="145"/>
      <c r="DP3125" s="145"/>
      <c r="DQ3125" s="145"/>
      <c r="DR3125" s="145"/>
      <c r="DS3125" s="145"/>
      <c r="DT3125" s="145"/>
      <c r="DU3125" s="145"/>
      <c r="DV3125" s="145"/>
      <c r="DW3125" s="145"/>
      <c r="DX3125" s="145"/>
      <c r="DY3125" s="145"/>
      <c r="DZ3125" s="145"/>
      <c r="EA3125" s="145"/>
      <c r="EB3125" s="145"/>
      <c r="EC3125" s="145"/>
      <c r="ED3125" s="145"/>
      <c r="EE3125" s="145"/>
      <c r="EF3125" s="145"/>
      <c r="EG3125" s="145"/>
      <c r="EH3125" s="145"/>
      <c r="EI3125" s="145"/>
      <c r="EJ3125" s="145"/>
      <c r="EK3125" s="145"/>
      <c r="EL3125" s="145"/>
      <c r="EM3125" s="145"/>
      <c r="EN3125" s="145"/>
      <c r="EO3125" s="145"/>
      <c r="EP3125" s="145"/>
      <c r="EQ3125" s="145"/>
      <c r="ER3125" s="145"/>
      <c r="ES3125" s="145"/>
      <c r="ET3125" s="145"/>
      <c r="EU3125" s="145"/>
      <c r="EV3125" s="145"/>
      <c r="EW3125" s="145"/>
      <c r="EX3125" s="145"/>
      <c r="EY3125" s="145"/>
      <c r="EZ3125" s="145"/>
      <c r="FA3125" s="145"/>
      <c r="FB3125" s="145"/>
      <c r="FC3125" s="145"/>
      <c r="FD3125" s="145"/>
      <c r="FE3125" s="145"/>
      <c r="FF3125" s="145"/>
      <c r="FG3125" s="145"/>
      <c r="FH3125" s="145"/>
      <c r="FI3125" s="145"/>
      <c r="FJ3125" s="145"/>
      <c r="FK3125" s="145"/>
      <c r="FL3125" s="145"/>
      <c r="FM3125" s="145"/>
      <c r="FN3125" s="145"/>
      <c r="FO3125" s="145"/>
      <c r="FP3125" s="145"/>
      <c r="FQ3125" s="145"/>
      <c r="FR3125" s="145"/>
      <c r="FS3125" s="145"/>
      <c r="FT3125" s="145"/>
      <c r="FU3125" s="145"/>
      <c r="FV3125" s="145"/>
      <c r="FW3125" s="145"/>
      <c r="FX3125" s="145"/>
      <c r="FY3125" s="145"/>
      <c r="FZ3125" s="145"/>
      <c r="GA3125" s="145"/>
      <c r="GB3125" s="145"/>
      <c r="GC3125" s="145"/>
      <c r="GD3125" s="145"/>
      <c r="GE3125" s="145"/>
      <c r="GF3125" s="145"/>
      <c r="GG3125" s="145"/>
      <c r="GH3125" s="145"/>
      <c r="GI3125" s="145"/>
      <c r="GJ3125" s="145"/>
      <c r="GK3125" s="145"/>
      <c r="GL3125" s="145"/>
      <c r="GM3125" s="145"/>
      <c r="GN3125" s="145"/>
      <c r="GO3125" s="145"/>
      <c r="GP3125" s="145"/>
      <c r="GQ3125" s="145"/>
      <c r="GR3125" s="145"/>
      <c r="GS3125" s="145"/>
      <c r="GT3125" s="145"/>
      <c r="GU3125" s="145"/>
      <c r="GV3125" s="145"/>
      <c r="GW3125" s="145"/>
      <c r="GX3125" s="145"/>
      <c r="GY3125" s="145"/>
      <c r="GZ3125" s="145"/>
      <c r="HA3125" s="145"/>
      <c r="HB3125" s="145"/>
      <c r="HC3125" s="145"/>
      <c r="HD3125" s="145"/>
      <c r="HE3125" s="145"/>
      <c r="HF3125" s="145"/>
    </row>
    <row r="3126" spans="1:214" ht="31" x14ac:dyDescent="0.35">
      <c r="A3126" s="277">
        <v>75</v>
      </c>
      <c r="B3126" s="277"/>
      <c r="C3126" s="266"/>
      <c r="D3126" s="287"/>
      <c r="E3126" s="276"/>
      <c r="F3126" s="276"/>
      <c r="G3126" s="277"/>
      <c r="H3126" s="136" t="s">
        <v>85</v>
      </c>
      <c r="I3126" s="181">
        <f>D3125*K3126</f>
        <v>11069974.85</v>
      </c>
      <c r="J3126" s="181">
        <f>I3126/D3125</f>
        <v>3377</v>
      </c>
      <c r="K3126" s="181">
        <v>3377</v>
      </c>
    </row>
    <row r="3127" spans="1:214" x14ac:dyDescent="0.35">
      <c r="A3127" s="277">
        <v>76</v>
      </c>
      <c r="B3127" s="277"/>
      <c r="C3127" s="266"/>
      <c r="D3127" s="287"/>
      <c r="E3127" s="276"/>
      <c r="F3127" s="276"/>
      <c r="G3127" s="277"/>
      <c r="H3127" s="136" t="s">
        <v>75</v>
      </c>
      <c r="I3127" s="181">
        <f>D3125*K3127</f>
        <v>236019.6</v>
      </c>
      <c r="J3127" s="181">
        <f>I3127/D3125</f>
        <v>72</v>
      </c>
      <c r="K3127" s="181">
        <v>72</v>
      </c>
      <c r="L3127" s="145"/>
      <c r="M3127" s="145"/>
      <c r="N3127" s="145"/>
      <c r="O3127" s="145"/>
      <c r="P3127" s="145"/>
      <c r="Q3127" s="145"/>
      <c r="R3127" s="145"/>
      <c r="S3127" s="145"/>
      <c r="T3127" s="145"/>
      <c r="U3127" s="145"/>
      <c r="V3127" s="145"/>
      <c r="W3127" s="145"/>
      <c r="X3127" s="145"/>
      <c r="Y3127" s="145"/>
      <c r="Z3127" s="145"/>
      <c r="AA3127" s="145"/>
      <c r="AB3127" s="145"/>
      <c r="AC3127" s="145"/>
      <c r="AD3127" s="145"/>
      <c r="AE3127" s="145"/>
      <c r="AF3127" s="145"/>
      <c r="AG3127" s="145"/>
      <c r="AH3127" s="145"/>
      <c r="AI3127" s="145"/>
      <c r="AJ3127" s="145"/>
      <c r="AK3127" s="145"/>
      <c r="AL3127" s="145"/>
      <c r="AM3127" s="145"/>
      <c r="AN3127" s="145"/>
      <c r="AO3127" s="145"/>
      <c r="AP3127" s="145"/>
      <c r="AQ3127" s="145"/>
      <c r="AR3127" s="145"/>
      <c r="AS3127" s="145"/>
      <c r="AT3127" s="145"/>
      <c r="AU3127" s="145"/>
      <c r="AV3127" s="145"/>
      <c r="AW3127" s="145"/>
      <c r="AX3127" s="145"/>
      <c r="AY3127" s="145"/>
      <c r="AZ3127" s="145"/>
      <c r="BA3127" s="145"/>
      <c r="BB3127" s="145"/>
      <c r="BC3127" s="145"/>
      <c r="BD3127" s="145"/>
      <c r="BE3127" s="145"/>
      <c r="BF3127" s="145"/>
      <c r="BG3127" s="145"/>
      <c r="BH3127" s="145"/>
      <c r="BI3127" s="145"/>
      <c r="BJ3127" s="145"/>
      <c r="BK3127" s="145"/>
      <c r="BL3127" s="145"/>
      <c r="BM3127" s="145"/>
      <c r="BN3127" s="145"/>
      <c r="BO3127" s="145"/>
      <c r="BP3127" s="145"/>
      <c r="BQ3127" s="145"/>
      <c r="BR3127" s="145"/>
      <c r="BS3127" s="145"/>
      <c r="BT3127" s="145"/>
      <c r="BU3127" s="145"/>
      <c r="BV3127" s="145"/>
      <c r="BW3127" s="145"/>
      <c r="BX3127" s="145"/>
      <c r="BY3127" s="145"/>
      <c r="BZ3127" s="145"/>
      <c r="CA3127" s="145"/>
      <c r="CB3127" s="145"/>
      <c r="CC3127" s="145"/>
      <c r="CD3127" s="145"/>
      <c r="CE3127" s="145"/>
      <c r="CF3127" s="145"/>
      <c r="CG3127" s="145"/>
      <c r="CH3127" s="145"/>
      <c r="CI3127" s="145"/>
      <c r="CJ3127" s="145"/>
      <c r="CK3127" s="145"/>
      <c r="CL3127" s="145"/>
      <c r="CM3127" s="145"/>
      <c r="CN3127" s="145"/>
      <c r="CO3127" s="145"/>
      <c r="CP3127" s="145"/>
      <c r="CQ3127" s="145"/>
      <c r="CR3127" s="145"/>
      <c r="CS3127" s="145"/>
      <c r="CT3127" s="145"/>
      <c r="CU3127" s="145"/>
      <c r="CV3127" s="145"/>
      <c r="CW3127" s="145"/>
      <c r="CX3127" s="145"/>
      <c r="CY3127" s="145"/>
      <c r="CZ3127" s="145"/>
      <c r="DA3127" s="145"/>
      <c r="DB3127" s="145"/>
      <c r="DC3127" s="145"/>
      <c r="DD3127" s="145"/>
      <c r="DE3127" s="145"/>
      <c r="DF3127" s="145"/>
      <c r="DG3127" s="145"/>
      <c r="DH3127" s="145"/>
      <c r="DI3127" s="145"/>
      <c r="DJ3127" s="145"/>
      <c r="DK3127" s="145"/>
      <c r="DL3127" s="145"/>
      <c r="DM3127" s="145"/>
      <c r="DN3127" s="145"/>
      <c r="DO3127" s="145"/>
      <c r="DP3127" s="145"/>
      <c r="DQ3127" s="145"/>
      <c r="DR3127" s="145"/>
      <c r="DS3127" s="145"/>
      <c r="DT3127" s="145"/>
      <c r="DU3127" s="145"/>
      <c r="DV3127" s="145"/>
      <c r="DW3127" s="145"/>
      <c r="DX3127" s="145"/>
      <c r="DY3127" s="145"/>
      <c r="DZ3127" s="145"/>
      <c r="EA3127" s="145"/>
      <c r="EB3127" s="145"/>
      <c r="EC3127" s="145"/>
      <c r="ED3127" s="145"/>
      <c r="EE3127" s="145"/>
      <c r="EF3127" s="145"/>
      <c r="EG3127" s="145"/>
      <c r="EH3127" s="145"/>
      <c r="EI3127" s="145"/>
      <c r="EJ3127" s="145"/>
      <c r="EK3127" s="145"/>
      <c r="EL3127" s="145"/>
      <c r="EM3127" s="145"/>
      <c r="EN3127" s="145"/>
      <c r="EO3127" s="145"/>
      <c r="EP3127" s="145"/>
      <c r="EQ3127" s="145"/>
      <c r="ER3127" s="145"/>
      <c r="ES3127" s="145"/>
      <c r="ET3127" s="145"/>
      <c r="EU3127" s="145"/>
      <c r="EV3127" s="145"/>
      <c r="EW3127" s="145"/>
      <c r="EX3127" s="145"/>
      <c r="EY3127" s="145"/>
      <c r="EZ3127" s="145"/>
      <c r="FA3127" s="145"/>
      <c r="FB3127" s="145"/>
      <c r="FC3127" s="145"/>
      <c r="FD3127" s="145"/>
      <c r="FE3127" s="145"/>
      <c r="FF3127" s="145"/>
      <c r="FG3127" s="145"/>
      <c r="FH3127" s="145"/>
      <c r="FI3127" s="145"/>
      <c r="FJ3127" s="145"/>
      <c r="FK3127" s="145"/>
      <c r="FL3127" s="145"/>
      <c r="FM3127" s="145"/>
      <c r="FN3127" s="145"/>
      <c r="FO3127" s="145"/>
      <c r="FP3127" s="145"/>
      <c r="FQ3127" s="145"/>
      <c r="FR3127" s="145"/>
      <c r="FS3127" s="145"/>
      <c r="FT3127" s="145"/>
      <c r="FU3127" s="145"/>
      <c r="FV3127" s="145"/>
      <c r="FW3127" s="145"/>
      <c r="FX3127" s="145"/>
      <c r="FY3127" s="145"/>
      <c r="FZ3127" s="145"/>
      <c r="GA3127" s="145"/>
      <c r="GB3127" s="145"/>
      <c r="GC3127" s="145"/>
      <c r="GD3127" s="145"/>
      <c r="GE3127" s="145"/>
      <c r="GF3127" s="145"/>
      <c r="GG3127" s="145"/>
      <c r="GH3127" s="145"/>
      <c r="GI3127" s="145"/>
      <c r="GJ3127" s="145"/>
      <c r="GK3127" s="145"/>
      <c r="GL3127" s="145"/>
      <c r="GM3127" s="145"/>
      <c r="GN3127" s="145"/>
      <c r="GO3127" s="145"/>
      <c r="GP3127" s="145"/>
      <c r="GQ3127" s="145"/>
      <c r="GR3127" s="145"/>
      <c r="GS3127" s="145"/>
      <c r="GT3127" s="145"/>
      <c r="GU3127" s="145"/>
      <c r="GV3127" s="145"/>
      <c r="GW3127" s="145"/>
      <c r="GX3127" s="145"/>
      <c r="GY3127" s="145"/>
      <c r="GZ3127" s="145"/>
      <c r="HA3127" s="145"/>
      <c r="HB3127" s="145"/>
      <c r="HC3127" s="145"/>
      <c r="HD3127" s="145"/>
      <c r="HE3127" s="145"/>
      <c r="HF3127" s="145"/>
    </row>
    <row r="3128" spans="1:214" x14ac:dyDescent="0.35">
      <c r="A3128" s="270">
        <f>A3125+1</f>
        <v>65</v>
      </c>
      <c r="B3128" s="270">
        <v>2967</v>
      </c>
      <c r="C3128" s="278" t="s">
        <v>669</v>
      </c>
      <c r="D3128" s="273">
        <v>3510.7</v>
      </c>
      <c r="E3128" s="267" t="s">
        <v>70</v>
      </c>
      <c r="F3128" s="267">
        <v>5</v>
      </c>
      <c r="G3128" s="165"/>
      <c r="H3128" s="136" t="s">
        <v>72</v>
      </c>
      <c r="I3128" s="181">
        <f>I3129+I3130</f>
        <v>417071.16</v>
      </c>
      <c r="J3128" s="181">
        <f>J3129+J3130</f>
        <v>118.8</v>
      </c>
      <c r="K3128" s="181">
        <f>K3129+K3130</f>
        <v>168</v>
      </c>
      <c r="L3128" s="145"/>
      <c r="M3128" s="145"/>
      <c r="N3128" s="145"/>
      <c r="O3128" s="145"/>
      <c r="P3128" s="145"/>
      <c r="Q3128" s="145"/>
      <c r="R3128" s="145"/>
      <c r="S3128" s="145"/>
      <c r="T3128" s="145"/>
      <c r="U3128" s="145"/>
      <c r="V3128" s="145"/>
      <c r="W3128" s="145"/>
      <c r="X3128" s="145"/>
      <c r="Y3128" s="145"/>
      <c r="Z3128" s="145"/>
      <c r="AA3128" s="145"/>
      <c r="AB3128" s="145"/>
      <c r="AC3128" s="145"/>
      <c r="AD3128" s="145"/>
      <c r="AE3128" s="145"/>
      <c r="AF3128" s="145"/>
      <c r="AG3128" s="145"/>
      <c r="AH3128" s="145"/>
      <c r="AI3128" s="145"/>
      <c r="AJ3128" s="145"/>
      <c r="AK3128" s="145"/>
      <c r="AL3128" s="145"/>
      <c r="AM3128" s="145"/>
      <c r="AN3128" s="145"/>
      <c r="AO3128" s="145"/>
      <c r="AP3128" s="145"/>
      <c r="AQ3128" s="145"/>
      <c r="AR3128" s="145"/>
      <c r="AS3128" s="145"/>
      <c r="AT3128" s="145"/>
      <c r="AU3128" s="145"/>
      <c r="AV3128" s="145"/>
      <c r="AW3128" s="145"/>
      <c r="AX3128" s="145"/>
      <c r="AY3128" s="145"/>
      <c r="AZ3128" s="145"/>
      <c r="BA3128" s="145"/>
      <c r="BB3128" s="145"/>
      <c r="BC3128" s="145"/>
      <c r="BD3128" s="145"/>
      <c r="BE3128" s="145"/>
      <c r="BF3128" s="145"/>
      <c r="BG3128" s="145"/>
      <c r="BH3128" s="145"/>
      <c r="BI3128" s="145"/>
      <c r="BJ3128" s="145"/>
      <c r="BK3128" s="145"/>
      <c r="BL3128" s="145"/>
      <c r="BM3128" s="145"/>
      <c r="BN3128" s="145"/>
      <c r="BO3128" s="145"/>
      <c r="BP3128" s="145"/>
      <c r="BQ3128" s="145"/>
      <c r="BR3128" s="145"/>
      <c r="BS3128" s="145"/>
      <c r="BT3128" s="145"/>
      <c r="BU3128" s="145"/>
      <c r="BV3128" s="145"/>
      <c r="BW3128" s="145"/>
      <c r="BX3128" s="145"/>
      <c r="BY3128" s="145"/>
      <c r="BZ3128" s="145"/>
      <c r="CA3128" s="145"/>
      <c r="CB3128" s="145"/>
      <c r="CC3128" s="145"/>
      <c r="CD3128" s="145"/>
      <c r="CE3128" s="145"/>
      <c r="CF3128" s="145"/>
      <c r="CG3128" s="145"/>
      <c r="CH3128" s="145"/>
      <c r="CI3128" s="145"/>
      <c r="CJ3128" s="145"/>
      <c r="CK3128" s="145"/>
      <c r="CL3128" s="145"/>
      <c r="CM3128" s="145"/>
      <c r="CN3128" s="145"/>
      <c r="CO3128" s="145"/>
      <c r="CP3128" s="145"/>
      <c r="CQ3128" s="145"/>
      <c r="CR3128" s="145"/>
      <c r="CS3128" s="145"/>
      <c r="CT3128" s="145"/>
      <c r="CU3128" s="145"/>
      <c r="CV3128" s="145"/>
      <c r="CW3128" s="145"/>
      <c r="CX3128" s="145"/>
      <c r="CY3128" s="145"/>
      <c r="CZ3128" s="145"/>
      <c r="DA3128" s="145"/>
      <c r="DB3128" s="145"/>
      <c r="DC3128" s="145"/>
      <c r="DD3128" s="145"/>
      <c r="DE3128" s="145"/>
      <c r="DF3128" s="145"/>
      <c r="DG3128" s="145"/>
      <c r="DH3128" s="145"/>
      <c r="DI3128" s="145"/>
      <c r="DJ3128" s="145"/>
      <c r="DK3128" s="145"/>
      <c r="DL3128" s="145"/>
      <c r="DM3128" s="145"/>
      <c r="DN3128" s="145"/>
      <c r="DO3128" s="145"/>
      <c r="DP3128" s="145"/>
      <c r="DQ3128" s="145"/>
      <c r="DR3128" s="145"/>
      <c r="DS3128" s="145"/>
      <c r="DT3128" s="145"/>
      <c r="DU3128" s="145"/>
      <c r="DV3128" s="145"/>
      <c r="DW3128" s="145"/>
      <c r="DX3128" s="145"/>
      <c r="DY3128" s="145"/>
      <c r="DZ3128" s="145"/>
      <c r="EA3128" s="145"/>
      <c r="EB3128" s="145"/>
      <c r="EC3128" s="145"/>
      <c r="ED3128" s="145"/>
      <c r="EE3128" s="145"/>
      <c r="EF3128" s="145"/>
      <c r="EG3128" s="145"/>
      <c r="EH3128" s="145"/>
      <c r="EI3128" s="145"/>
      <c r="EJ3128" s="145"/>
      <c r="EK3128" s="145"/>
      <c r="EL3128" s="145"/>
      <c r="EM3128" s="145"/>
      <c r="EN3128" s="145"/>
      <c r="EO3128" s="145"/>
      <c r="EP3128" s="145"/>
      <c r="EQ3128" s="145"/>
      <c r="ER3128" s="145"/>
      <c r="ES3128" s="145"/>
      <c r="ET3128" s="145"/>
      <c r="EU3128" s="145"/>
      <c r="EV3128" s="145"/>
      <c r="EW3128" s="145"/>
      <c r="EX3128" s="145"/>
      <c r="EY3128" s="145"/>
      <c r="EZ3128" s="145"/>
      <c r="FA3128" s="145"/>
      <c r="FB3128" s="145"/>
      <c r="FC3128" s="145"/>
      <c r="FD3128" s="145"/>
      <c r="FE3128" s="145"/>
      <c r="FF3128" s="145"/>
      <c r="FG3128" s="145"/>
      <c r="FH3128" s="145"/>
      <c r="FI3128" s="145"/>
      <c r="FJ3128" s="145"/>
      <c r="FK3128" s="145"/>
      <c r="FL3128" s="145"/>
      <c r="FM3128" s="145"/>
      <c r="FN3128" s="145"/>
      <c r="FO3128" s="145"/>
      <c r="FP3128" s="145"/>
      <c r="FQ3128" s="145"/>
      <c r="FR3128" s="145"/>
      <c r="FS3128" s="145"/>
      <c r="FT3128" s="145"/>
      <c r="FU3128" s="145"/>
      <c r="FV3128" s="145"/>
      <c r="FW3128" s="145"/>
      <c r="FX3128" s="145"/>
      <c r="FY3128" s="145"/>
      <c r="FZ3128" s="145"/>
      <c r="GA3128" s="145"/>
      <c r="GB3128" s="145"/>
      <c r="GC3128" s="145"/>
      <c r="GD3128" s="145"/>
      <c r="GE3128" s="145"/>
      <c r="GF3128" s="145"/>
      <c r="GG3128" s="145"/>
      <c r="GH3128" s="145"/>
      <c r="GI3128" s="145"/>
      <c r="GJ3128" s="145"/>
      <c r="GK3128" s="145"/>
      <c r="GL3128" s="145"/>
      <c r="GM3128" s="145"/>
      <c r="GN3128" s="145"/>
      <c r="GO3128" s="145"/>
      <c r="GP3128" s="145"/>
      <c r="GQ3128" s="145"/>
      <c r="GR3128" s="145"/>
      <c r="GS3128" s="145"/>
      <c r="GT3128" s="145"/>
      <c r="GU3128" s="145"/>
      <c r="GV3128" s="145"/>
      <c r="GW3128" s="145"/>
      <c r="GX3128" s="145"/>
      <c r="GY3128" s="145"/>
      <c r="GZ3128" s="145"/>
      <c r="HA3128" s="145"/>
      <c r="HB3128" s="145"/>
      <c r="HC3128" s="145"/>
      <c r="HD3128" s="145"/>
      <c r="HE3128" s="145"/>
      <c r="HF3128" s="145"/>
    </row>
    <row r="3129" spans="1:214" x14ac:dyDescent="0.35">
      <c r="A3129" s="271"/>
      <c r="B3129" s="271"/>
      <c r="C3129" s="279"/>
      <c r="D3129" s="274"/>
      <c r="E3129" s="268"/>
      <c r="F3129" s="268"/>
      <c r="G3129" s="270" t="s">
        <v>83</v>
      </c>
      <c r="H3129" s="136" t="s">
        <v>73</v>
      </c>
      <c r="I3129" s="181">
        <f>K3129*D3128*0.7</f>
        <v>403028.36</v>
      </c>
      <c r="J3129" s="181">
        <f>I3129/D3128</f>
        <v>114.8</v>
      </c>
      <c r="K3129" s="181">
        <v>164</v>
      </c>
      <c r="L3129" s="145"/>
      <c r="M3129" s="145"/>
      <c r="N3129" s="145"/>
      <c r="O3129" s="145"/>
      <c r="P3129" s="145"/>
      <c r="Q3129" s="145"/>
      <c r="R3129" s="145"/>
      <c r="S3129" s="145"/>
      <c r="T3129" s="145"/>
      <c r="U3129" s="145"/>
      <c r="V3129" s="145"/>
      <c r="W3129" s="145"/>
      <c r="X3129" s="145"/>
      <c r="Y3129" s="145"/>
      <c r="Z3129" s="145"/>
      <c r="AA3129" s="145"/>
      <c r="AB3129" s="145"/>
      <c r="AC3129" s="145"/>
      <c r="AD3129" s="145"/>
      <c r="AE3129" s="145"/>
      <c r="AF3129" s="145"/>
      <c r="AG3129" s="145"/>
      <c r="AH3129" s="145"/>
      <c r="AI3129" s="145"/>
      <c r="AJ3129" s="145"/>
      <c r="AK3129" s="145"/>
      <c r="AL3129" s="145"/>
      <c r="AM3129" s="145"/>
      <c r="AN3129" s="145"/>
      <c r="AO3129" s="145"/>
      <c r="AP3129" s="145"/>
      <c r="AQ3129" s="145"/>
      <c r="AR3129" s="145"/>
      <c r="AS3129" s="145"/>
      <c r="AT3129" s="145"/>
      <c r="AU3129" s="145"/>
      <c r="AV3129" s="145"/>
      <c r="AW3129" s="145"/>
      <c r="AX3129" s="145"/>
      <c r="AY3129" s="145"/>
      <c r="AZ3129" s="145"/>
      <c r="BA3129" s="145"/>
      <c r="BB3129" s="145"/>
      <c r="BC3129" s="145"/>
      <c r="BD3129" s="145"/>
      <c r="BE3129" s="145"/>
      <c r="BF3129" s="145"/>
      <c r="BG3129" s="145"/>
      <c r="BH3129" s="145"/>
      <c r="BI3129" s="145"/>
      <c r="BJ3129" s="145"/>
      <c r="BK3129" s="145"/>
      <c r="BL3129" s="145"/>
      <c r="BM3129" s="145"/>
      <c r="BN3129" s="145"/>
      <c r="BO3129" s="145"/>
      <c r="BP3129" s="145"/>
      <c r="BQ3129" s="145"/>
      <c r="BR3129" s="145"/>
      <c r="BS3129" s="145"/>
      <c r="BT3129" s="145"/>
      <c r="BU3129" s="145"/>
      <c r="BV3129" s="145"/>
      <c r="BW3129" s="145"/>
      <c r="BX3129" s="145"/>
      <c r="BY3129" s="145"/>
      <c r="BZ3129" s="145"/>
      <c r="CA3129" s="145"/>
      <c r="CB3129" s="145"/>
      <c r="CC3129" s="145"/>
      <c r="CD3129" s="145"/>
      <c r="CE3129" s="145"/>
      <c r="CF3129" s="145"/>
      <c r="CG3129" s="145"/>
      <c r="CH3129" s="145"/>
      <c r="CI3129" s="145"/>
      <c r="CJ3129" s="145"/>
      <c r="CK3129" s="145"/>
      <c r="CL3129" s="145"/>
      <c r="CM3129" s="145"/>
      <c r="CN3129" s="145"/>
      <c r="CO3129" s="145"/>
      <c r="CP3129" s="145"/>
      <c r="CQ3129" s="145"/>
      <c r="CR3129" s="145"/>
      <c r="CS3129" s="145"/>
      <c r="CT3129" s="145"/>
      <c r="CU3129" s="145"/>
      <c r="CV3129" s="145"/>
      <c r="CW3129" s="145"/>
      <c r="CX3129" s="145"/>
      <c r="CY3129" s="145"/>
      <c r="CZ3129" s="145"/>
      <c r="DA3129" s="145"/>
      <c r="DB3129" s="145"/>
      <c r="DC3129" s="145"/>
      <c r="DD3129" s="145"/>
      <c r="DE3129" s="145"/>
      <c r="DF3129" s="145"/>
      <c r="DG3129" s="145"/>
      <c r="DH3129" s="145"/>
      <c r="DI3129" s="145"/>
      <c r="DJ3129" s="145"/>
      <c r="DK3129" s="145"/>
      <c r="DL3129" s="145"/>
      <c r="DM3129" s="145"/>
      <c r="DN3129" s="145"/>
      <c r="DO3129" s="145"/>
      <c r="DP3129" s="145"/>
      <c r="DQ3129" s="145"/>
      <c r="DR3129" s="145"/>
      <c r="DS3129" s="145"/>
      <c r="DT3129" s="145"/>
      <c r="DU3129" s="145"/>
      <c r="DV3129" s="145"/>
      <c r="DW3129" s="145"/>
      <c r="DX3129" s="145"/>
      <c r="DY3129" s="145"/>
      <c r="DZ3129" s="145"/>
      <c r="EA3129" s="145"/>
      <c r="EB3129" s="145"/>
      <c r="EC3129" s="145"/>
      <c r="ED3129" s="145"/>
      <c r="EE3129" s="145"/>
      <c r="EF3129" s="145"/>
      <c r="EG3129" s="145"/>
      <c r="EH3129" s="145"/>
      <c r="EI3129" s="145"/>
      <c r="EJ3129" s="145"/>
      <c r="EK3129" s="145"/>
      <c r="EL3129" s="145"/>
      <c r="EM3129" s="145"/>
      <c r="EN3129" s="145"/>
      <c r="EO3129" s="145"/>
      <c r="EP3129" s="145"/>
      <c r="EQ3129" s="145"/>
      <c r="ER3129" s="145"/>
      <c r="ES3129" s="145"/>
      <c r="ET3129" s="145"/>
      <c r="EU3129" s="145"/>
      <c r="EV3129" s="145"/>
      <c r="EW3129" s="145"/>
      <c r="EX3129" s="145"/>
      <c r="EY3129" s="145"/>
      <c r="EZ3129" s="145"/>
      <c r="FA3129" s="145"/>
      <c r="FB3129" s="145"/>
      <c r="FC3129" s="145"/>
      <c r="FD3129" s="145"/>
      <c r="FE3129" s="145"/>
      <c r="FF3129" s="145"/>
      <c r="FG3129" s="145"/>
      <c r="FH3129" s="145"/>
      <c r="FI3129" s="145"/>
      <c r="FJ3129" s="145"/>
      <c r="FK3129" s="145"/>
      <c r="FL3129" s="145"/>
      <c r="FM3129" s="145"/>
      <c r="FN3129" s="145"/>
      <c r="FO3129" s="145"/>
      <c r="FP3129" s="145"/>
      <c r="FQ3129" s="145"/>
      <c r="FR3129" s="145"/>
      <c r="FS3129" s="145"/>
      <c r="FT3129" s="145"/>
      <c r="FU3129" s="145"/>
      <c r="FV3129" s="145"/>
      <c r="FW3129" s="145"/>
      <c r="FX3129" s="145"/>
      <c r="FY3129" s="145"/>
      <c r="FZ3129" s="145"/>
      <c r="GA3129" s="145"/>
      <c r="GB3129" s="145"/>
      <c r="GC3129" s="145"/>
      <c r="GD3129" s="145"/>
      <c r="GE3129" s="145"/>
      <c r="GF3129" s="145"/>
      <c r="GG3129" s="145"/>
      <c r="GH3129" s="145"/>
      <c r="GI3129" s="145"/>
      <c r="GJ3129" s="145"/>
      <c r="GK3129" s="145"/>
      <c r="GL3129" s="145"/>
      <c r="GM3129" s="145"/>
      <c r="GN3129" s="145"/>
      <c r="GO3129" s="145"/>
      <c r="GP3129" s="145"/>
      <c r="GQ3129" s="145"/>
      <c r="GR3129" s="145"/>
      <c r="GS3129" s="145"/>
      <c r="GT3129" s="145"/>
      <c r="GU3129" s="145"/>
      <c r="GV3129" s="145"/>
      <c r="GW3129" s="145"/>
      <c r="GX3129" s="145"/>
      <c r="GY3129" s="145"/>
      <c r="GZ3129" s="145"/>
      <c r="HA3129" s="145"/>
      <c r="HB3129" s="145"/>
      <c r="HC3129" s="145"/>
      <c r="HD3129" s="145"/>
      <c r="HE3129" s="145"/>
      <c r="HF3129" s="145"/>
    </row>
    <row r="3130" spans="1:214" x14ac:dyDescent="0.35">
      <c r="A3130" s="272"/>
      <c r="B3130" s="272"/>
      <c r="C3130" s="285"/>
      <c r="D3130" s="275"/>
      <c r="E3130" s="269"/>
      <c r="F3130" s="269"/>
      <c r="G3130" s="272"/>
      <c r="H3130" s="136" t="s">
        <v>75</v>
      </c>
      <c r="I3130" s="181">
        <f>K3130*D3128</f>
        <v>14042.8</v>
      </c>
      <c r="J3130" s="181">
        <f>I3130/D3128</f>
        <v>4</v>
      </c>
      <c r="K3130" s="181">
        <v>4</v>
      </c>
    </row>
    <row r="3131" spans="1:214" x14ac:dyDescent="0.35">
      <c r="A3131" s="277">
        <f>A3128+1</f>
        <v>66</v>
      </c>
      <c r="B3131" s="277">
        <v>2291</v>
      </c>
      <c r="C3131" s="286" t="s">
        <v>146</v>
      </c>
      <c r="D3131" s="287">
        <v>1274.0999999999999</v>
      </c>
      <c r="E3131" s="276" t="s">
        <v>74</v>
      </c>
      <c r="F3131" s="276">
        <v>4</v>
      </c>
      <c r="G3131" s="277" t="s">
        <v>71</v>
      </c>
      <c r="H3131" s="136" t="s">
        <v>72</v>
      </c>
      <c r="I3131" s="181">
        <f>I3132+I3133</f>
        <v>3920317.48</v>
      </c>
      <c r="J3131" s="181">
        <f>J3132+J3133</f>
        <v>3076.93</v>
      </c>
      <c r="K3131" s="181">
        <f>K3132+K3133</f>
        <v>4728</v>
      </c>
      <c r="L3131" s="145"/>
      <c r="M3131" s="145"/>
      <c r="N3131" s="145"/>
      <c r="O3131" s="145"/>
      <c r="P3131" s="145"/>
      <c r="Q3131" s="145"/>
      <c r="R3131" s="145"/>
      <c r="S3131" s="145"/>
      <c r="T3131" s="145"/>
      <c r="U3131" s="145"/>
      <c r="V3131" s="145"/>
      <c r="W3131" s="145"/>
      <c r="X3131" s="145"/>
      <c r="Y3131" s="145"/>
      <c r="Z3131" s="145"/>
      <c r="AA3131" s="145"/>
      <c r="AB3131" s="145"/>
      <c r="AC3131" s="145"/>
      <c r="AD3131" s="145"/>
      <c r="AE3131" s="145"/>
      <c r="AF3131" s="145"/>
      <c r="AG3131" s="145"/>
      <c r="AH3131" s="145"/>
      <c r="AI3131" s="145"/>
      <c r="AJ3131" s="145"/>
      <c r="AK3131" s="145"/>
      <c r="AL3131" s="145"/>
      <c r="AM3131" s="145"/>
      <c r="AN3131" s="145"/>
      <c r="AO3131" s="145"/>
      <c r="AP3131" s="145"/>
      <c r="AQ3131" s="145"/>
      <c r="AR3131" s="145"/>
      <c r="AS3131" s="145"/>
      <c r="AT3131" s="145"/>
      <c r="AU3131" s="145"/>
      <c r="AV3131" s="145"/>
      <c r="AW3131" s="145"/>
      <c r="AX3131" s="145"/>
      <c r="AY3131" s="145"/>
      <c r="AZ3131" s="145"/>
      <c r="BA3131" s="145"/>
      <c r="BB3131" s="145"/>
      <c r="BC3131" s="145"/>
      <c r="BD3131" s="145"/>
      <c r="BE3131" s="145"/>
      <c r="BF3131" s="145"/>
      <c r="BG3131" s="145"/>
      <c r="BH3131" s="145"/>
      <c r="BI3131" s="145"/>
      <c r="BJ3131" s="145"/>
      <c r="BK3131" s="145"/>
      <c r="BL3131" s="145"/>
      <c r="BM3131" s="145"/>
      <c r="BN3131" s="145"/>
      <c r="BO3131" s="145"/>
      <c r="BP3131" s="145"/>
      <c r="BQ3131" s="145"/>
      <c r="BR3131" s="145"/>
      <c r="BS3131" s="145"/>
      <c r="BT3131" s="145"/>
      <c r="BU3131" s="145"/>
      <c r="BV3131" s="145"/>
      <c r="BW3131" s="145"/>
      <c r="BX3131" s="145"/>
      <c r="BY3131" s="145"/>
      <c r="BZ3131" s="145"/>
      <c r="CA3131" s="145"/>
      <c r="CB3131" s="145"/>
      <c r="CC3131" s="145"/>
      <c r="CD3131" s="145"/>
      <c r="CE3131" s="145"/>
      <c r="CF3131" s="145"/>
      <c r="CG3131" s="145"/>
      <c r="CH3131" s="145"/>
      <c r="CI3131" s="145"/>
      <c r="CJ3131" s="145"/>
      <c r="CK3131" s="145"/>
      <c r="CL3131" s="145"/>
      <c r="CM3131" s="145"/>
      <c r="CN3131" s="145"/>
      <c r="CO3131" s="145"/>
      <c r="CP3131" s="145"/>
      <c r="CQ3131" s="145"/>
      <c r="CR3131" s="145"/>
      <c r="CS3131" s="145"/>
      <c r="CT3131" s="145"/>
      <c r="CU3131" s="145"/>
      <c r="CV3131" s="145"/>
      <c r="CW3131" s="145"/>
      <c r="CX3131" s="145"/>
      <c r="CY3131" s="145"/>
      <c r="CZ3131" s="145"/>
      <c r="DA3131" s="145"/>
      <c r="DB3131" s="145"/>
      <c r="DC3131" s="145"/>
      <c r="DD3131" s="145"/>
      <c r="DE3131" s="145"/>
      <c r="DF3131" s="145"/>
      <c r="DG3131" s="145"/>
      <c r="DH3131" s="145"/>
      <c r="DI3131" s="145"/>
      <c r="DJ3131" s="145"/>
      <c r="DK3131" s="145"/>
      <c r="DL3131" s="145"/>
      <c r="DM3131" s="145"/>
      <c r="DN3131" s="145"/>
      <c r="DO3131" s="145"/>
      <c r="DP3131" s="145"/>
      <c r="DQ3131" s="145"/>
      <c r="DR3131" s="145"/>
      <c r="DS3131" s="145"/>
      <c r="DT3131" s="145"/>
      <c r="DU3131" s="145"/>
      <c r="DV3131" s="145"/>
      <c r="DW3131" s="145"/>
      <c r="DX3131" s="145"/>
      <c r="DY3131" s="145"/>
      <c r="DZ3131" s="145"/>
      <c r="EA3131" s="145"/>
      <c r="EB3131" s="145"/>
      <c r="EC3131" s="145"/>
      <c r="ED3131" s="145"/>
      <c r="EE3131" s="145"/>
      <c r="EF3131" s="145"/>
      <c r="EG3131" s="145"/>
      <c r="EH3131" s="145"/>
      <c r="EI3131" s="145"/>
      <c r="EJ3131" s="145"/>
      <c r="EK3131" s="145"/>
      <c r="EL3131" s="145"/>
      <c r="EM3131" s="145"/>
      <c r="EN3131" s="145"/>
      <c r="EO3131" s="145"/>
      <c r="EP3131" s="145"/>
      <c r="EQ3131" s="145"/>
      <c r="ER3131" s="145"/>
      <c r="ES3131" s="145"/>
      <c r="ET3131" s="145"/>
      <c r="EU3131" s="145"/>
      <c r="EV3131" s="145"/>
      <c r="EW3131" s="145"/>
      <c r="EX3131" s="145"/>
      <c r="EY3131" s="145"/>
      <c r="EZ3131" s="145"/>
      <c r="FA3131" s="145"/>
      <c r="FB3131" s="145"/>
      <c r="FC3131" s="145"/>
      <c r="FD3131" s="145"/>
      <c r="FE3131" s="145"/>
      <c r="FF3131" s="145"/>
      <c r="FG3131" s="145"/>
      <c r="FH3131" s="145"/>
      <c r="FI3131" s="145"/>
      <c r="FJ3131" s="145"/>
      <c r="FK3131" s="145"/>
      <c r="FL3131" s="145"/>
      <c r="FM3131" s="145"/>
      <c r="FN3131" s="145"/>
      <c r="FO3131" s="145"/>
      <c r="FP3131" s="145"/>
      <c r="FQ3131" s="145"/>
      <c r="FR3131" s="145"/>
      <c r="FS3131" s="145"/>
      <c r="FT3131" s="145"/>
      <c r="FU3131" s="145"/>
      <c r="FV3131" s="145"/>
      <c r="FW3131" s="145"/>
      <c r="FX3131" s="145"/>
      <c r="FY3131" s="145"/>
      <c r="FZ3131" s="145"/>
      <c r="GA3131" s="145"/>
      <c r="GB3131" s="145"/>
      <c r="GC3131" s="145"/>
      <c r="GD3131" s="145"/>
      <c r="GE3131" s="145"/>
      <c r="GF3131" s="145"/>
      <c r="GG3131" s="145"/>
      <c r="GH3131" s="145"/>
      <c r="GI3131" s="145"/>
      <c r="GJ3131" s="145"/>
      <c r="GK3131" s="145"/>
      <c r="GL3131" s="145"/>
      <c r="GM3131" s="145"/>
      <c r="GN3131" s="145"/>
      <c r="GO3131" s="145"/>
      <c r="GP3131" s="145"/>
      <c r="GQ3131" s="145"/>
      <c r="GR3131" s="145"/>
      <c r="GS3131" s="145"/>
      <c r="GT3131" s="145"/>
      <c r="GU3131" s="145"/>
      <c r="GV3131" s="145"/>
      <c r="GW3131" s="145"/>
      <c r="GX3131" s="145"/>
      <c r="GY3131" s="145"/>
      <c r="GZ3131" s="145"/>
      <c r="HA3131" s="145"/>
      <c r="HB3131" s="145"/>
      <c r="HC3131" s="145"/>
      <c r="HD3131" s="145"/>
      <c r="HE3131" s="145"/>
      <c r="HF3131" s="145"/>
    </row>
    <row r="3132" spans="1:214" x14ac:dyDescent="0.35">
      <c r="A3132" s="277"/>
      <c r="B3132" s="277"/>
      <c r="C3132" s="286"/>
      <c r="D3132" s="287"/>
      <c r="E3132" s="276"/>
      <c r="F3132" s="276"/>
      <c r="G3132" s="277"/>
      <c r="H3132" s="136" t="s">
        <v>73</v>
      </c>
      <c r="I3132" s="181">
        <f>(3135550+53366.93)*1.02*1.18</f>
        <v>3838180.42</v>
      </c>
      <c r="J3132" s="181">
        <f>I3132/D3131</f>
        <v>3012.46</v>
      </c>
      <c r="K3132" s="181">
        <v>4629</v>
      </c>
      <c r="L3132" s="145"/>
      <c r="M3132" s="145"/>
      <c r="N3132" s="145"/>
      <c r="O3132" s="145"/>
      <c r="P3132" s="145"/>
      <c r="Q3132" s="145"/>
      <c r="R3132" s="145"/>
      <c r="S3132" s="145"/>
      <c r="T3132" s="145"/>
      <c r="U3132" s="145"/>
      <c r="V3132" s="145"/>
      <c r="W3132" s="145"/>
      <c r="X3132" s="145"/>
      <c r="Y3132" s="145"/>
      <c r="Z3132" s="145"/>
      <c r="AA3132" s="145"/>
      <c r="AB3132" s="145"/>
      <c r="AC3132" s="145"/>
      <c r="AD3132" s="145"/>
      <c r="AE3132" s="145"/>
      <c r="AF3132" s="145"/>
      <c r="AG3132" s="145"/>
      <c r="AH3132" s="145"/>
      <c r="AI3132" s="145"/>
      <c r="AJ3132" s="145"/>
      <c r="AK3132" s="145"/>
      <c r="AL3132" s="145"/>
      <c r="AM3132" s="145"/>
      <c r="AN3132" s="145"/>
      <c r="AO3132" s="145"/>
      <c r="AP3132" s="145"/>
      <c r="AQ3132" s="145"/>
      <c r="AR3132" s="145"/>
      <c r="AS3132" s="145"/>
      <c r="AT3132" s="145"/>
      <c r="AU3132" s="145"/>
      <c r="AV3132" s="145"/>
      <c r="AW3132" s="145"/>
      <c r="AX3132" s="145"/>
      <c r="AY3132" s="145"/>
      <c r="AZ3132" s="145"/>
      <c r="BA3132" s="145"/>
      <c r="BB3132" s="145"/>
      <c r="BC3132" s="145"/>
      <c r="BD3132" s="145"/>
      <c r="BE3132" s="145"/>
      <c r="BF3132" s="145"/>
      <c r="BG3132" s="145"/>
      <c r="BH3132" s="145"/>
      <c r="BI3132" s="145"/>
      <c r="BJ3132" s="145"/>
      <c r="BK3132" s="145"/>
      <c r="BL3132" s="145"/>
      <c r="BM3132" s="145"/>
      <c r="BN3132" s="145"/>
      <c r="BO3132" s="145"/>
      <c r="BP3132" s="145"/>
      <c r="BQ3132" s="145"/>
      <c r="BR3132" s="145"/>
      <c r="BS3132" s="145"/>
      <c r="BT3132" s="145"/>
      <c r="BU3132" s="145"/>
      <c r="BV3132" s="145"/>
      <c r="BW3132" s="145"/>
      <c r="BX3132" s="145"/>
      <c r="BY3132" s="145"/>
      <c r="BZ3132" s="145"/>
      <c r="CA3132" s="145"/>
      <c r="CB3132" s="145"/>
      <c r="CC3132" s="145"/>
      <c r="CD3132" s="145"/>
      <c r="CE3132" s="145"/>
      <c r="CF3132" s="145"/>
      <c r="CG3132" s="145"/>
      <c r="CH3132" s="145"/>
      <c r="CI3132" s="145"/>
      <c r="CJ3132" s="145"/>
      <c r="CK3132" s="145"/>
      <c r="CL3132" s="145"/>
      <c r="CM3132" s="145"/>
      <c r="CN3132" s="145"/>
      <c r="CO3132" s="145"/>
      <c r="CP3132" s="145"/>
      <c r="CQ3132" s="145"/>
      <c r="CR3132" s="145"/>
      <c r="CS3132" s="145"/>
      <c r="CT3132" s="145"/>
      <c r="CU3132" s="145"/>
      <c r="CV3132" s="145"/>
      <c r="CW3132" s="145"/>
      <c r="CX3132" s="145"/>
      <c r="CY3132" s="145"/>
      <c r="CZ3132" s="145"/>
      <c r="DA3132" s="145"/>
      <c r="DB3132" s="145"/>
      <c r="DC3132" s="145"/>
      <c r="DD3132" s="145"/>
      <c r="DE3132" s="145"/>
      <c r="DF3132" s="145"/>
      <c r="DG3132" s="145"/>
      <c r="DH3132" s="145"/>
      <c r="DI3132" s="145"/>
      <c r="DJ3132" s="145"/>
      <c r="DK3132" s="145"/>
      <c r="DL3132" s="145"/>
      <c r="DM3132" s="145"/>
      <c r="DN3132" s="145"/>
      <c r="DO3132" s="145"/>
      <c r="DP3132" s="145"/>
      <c r="DQ3132" s="145"/>
      <c r="DR3132" s="145"/>
      <c r="DS3132" s="145"/>
      <c r="DT3132" s="145"/>
      <c r="DU3132" s="145"/>
      <c r="DV3132" s="145"/>
      <c r="DW3132" s="145"/>
      <c r="DX3132" s="145"/>
      <c r="DY3132" s="145"/>
      <c r="DZ3132" s="145"/>
      <c r="EA3132" s="145"/>
      <c r="EB3132" s="145"/>
      <c r="EC3132" s="145"/>
      <c r="ED3132" s="145"/>
      <c r="EE3132" s="145"/>
      <c r="EF3132" s="145"/>
      <c r="EG3132" s="145"/>
      <c r="EH3132" s="145"/>
      <c r="EI3132" s="145"/>
      <c r="EJ3132" s="145"/>
      <c r="EK3132" s="145"/>
      <c r="EL3132" s="145"/>
      <c r="EM3132" s="145"/>
      <c r="EN3132" s="145"/>
      <c r="EO3132" s="145"/>
      <c r="EP3132" s="145"/>
      <c r="EQ3132" s="145"/>
      <c r="ER3132" s="145"/>
      <c r="ES3132" s="145"/>
      <c r="ET3132" s="145"/>
      <c r="EU3132" s="145"/>
      <c r="EV3132" s="145"/>
      <c r="EW3132" s="145"/>
      <c r="EX3132" s="145"/>
      <c r="EY3132" s="145"/>
      <c r="EZ3132" s="145"/>
      <c r="FA3132" s="145"/>
      <c r="FB3132" s="145"/>
      <c r="FC3132" s="145"/>
      <c r="FD3132" s="145"/>
      <c r="FE3132" s="145"/>
      <c r="FF3132" s="145"/>
      <c r="FG3132" s="145"/>
      <c r="FH3132" s="145"/>
      <c r="FI3132" s="145"/>
      <c r="FJ3132" s="145"/>
      <c r="FK3132" s="145"/>
      <c r="FL3132" s="145"/>
      <c r="FM3132" s="145"/>
      <c r="FN3132" s="145"/>
      <c r="FO3132" s="145"/>
      <c r="FP3132" s="145"/>
      <c r="FQ3132" s="145"/>
      <c r="FR3132" s="145"/>
      <c r="FS3132" s="145"/>
      <c r="FT3132" s="145"/>
      <c r="FU3132" s="145"/>
      <c r="FV3132" s="145"/>
      <c r="FW3132" s="145"/>
      <c r="FX3132" s="145"/>
      <c r="FY3132" s="145"/>
      <c r="FZ3132" s="145"/>
      <c r="GA3132" s="145"/>
      <c r="GB3132" s="145"/>
      <c r="GC3132" s="145"/>
      <c r="GD3132" s="145"/>
      <c r="GE3132" s="145"/>
      <c r="GF3132" s="145"/>
      <c r="GG3132" s="145"/>
      <c r="GH3132" s="145"/>
      <c r="GI3132" s="145"/>
      <c r="GJ3132" s="145"/>
      <c r="GK3132" s="145"/>
      <c r="GL3132" s="145"/>
      <c r="GM3132" s="145"/>
      <c r="GN3132" s="145"/>
      <c r="GO3132" s="145"/>
      <c r="GP3132" s="145"/>
      <c r="GQ3132" s="145"/>
      <c r="GR3132" s="145"/>
      <c r="GS3132" s="145"/>
      <c r="GT3132" s="145"/>
      <c r="GU3132" s="145"/>
      <c r="GV3132" s="145"/>
      <c r="GW3132" s="145"/>
      <c r="GX3132" s="145"/>
      <c r="GY3132" s="145"/>
      <c r="GZ3132" s="145"/>
      <c r="HA3132" s="145"/>
      <c r="HB3132" s="145"/>
      <c r="HC3132" s="145"/>
      <c r="HD3132" s="145"/>
      <c r="HE3132" s="145"/>
      <c r="HF3132" s="145"/>
    </row>
    <row r="3133" spans="1:214" x14ac:dyDescent="0.35">
      <c r="A3133" s="277"/>
      <c r="B3133" s="277"/>
      <c r="C3133" s="286"/>
      <c r="D3133" s="287"/>
      <c r="E3133" s="276"/>
      <c r="F3133" s="276"/>
      <c r="G3133" s="277"/>
      <c r="H3133" s="136" t="s">
        <v>75</v>
      </c>
      <c r="I3133" s="181">
        <f>(3135550+53366.93)*1.02*1.18*0.0214</f>
        <v>82137.06</v>
      </c>
      <c r="J3133" s="181">
        <f>I3133/D3131</f>
        <v>64.47</v>
      </c>
      <c r="K3133" s="181">
        <v>99</v>
      </c>
      <c r="L3133" s="145"/>
      <c r="M3133" s="145"/>
      <c r="N3133" s="145"/>
      <c r="O3133" s="145"/>
      <c r="P3133" s="145"/>
      <c r="Q3133" s="145"/>
      <c r="R3133" s="145"/>
      <c r="S3133" s="145"/>
      <c r="T3133" s="145"/>
      <c r="U3133" s="145"/>
      <c r="V3133" s="145"/>
      <c r="W3133" s="145"/>
      <c r="X3133" s="145"/>
      <c r="Y3133" s="145"/>
      <c r="Z3133" s="145"/>
      <c r="AA3133" s="145"/>
      <c r="AB3133" s="145"/>
      <c r="AC3133" s="145"/>
      <c r="AD3133" s="145"/>
      <c r="AE3133" s="145"/>
      <c r="AF3133" s="145"/>
      <c r="AG3133" s="145"/>
      <c r="AH3133" s="145"/>
      <c r="AI3133" s="145"/>
      <c r="AJ3133" s="145"/>
      <c r="AK3133" s="145"/>
      <c r="AL3133" s="145"/>
      <c r="AM3133" s="145"/>
      <c r="AN3133" s="145"/>
      <c r="AO3133" s="145"/>
      <c r="AP3133" s="145"/>
      <c r="AQ3133" s="145"/>
      <c r="AR3133" s="145"/>
      <c r="AS3133" s="145"/>
      <c r="AT3133" s="145"/>
      <c r="AU3133" s="145"/>
      <c r="AV3133" s="145"/>
      <c r="AW3133" s="145"/>
      <c r="AX3133" s="145"/>
      <c r="AY3133" s="145"/>
      <c r="AZ3133" s="145"/>
      <c r="BA3133" s="145"/>
      <c r="BB3133" s="145"/>
      <c r="BC3133" s="145"/>
      <c r="BD3133" s="145"/>
      <c r="BE3133" s="145"/>
      <c r="BF3133" s="145"/>
      <c r="BG3133" s="145"/>
      <c r="BH3133" s="145"/>
      <c r="BI3133" s="145"/>
      <c r="BJ3133" s="145"/>
      <c r="BK3133" s="145"/>
      <c r="BL3133" s="145"/>
      <c r="BM3133" s="145"/>
      <c r="BN3133" s="145"/>
      <c r="BO3133" s="145"/>
      <c r="BP3133" s="145"/>
      <c r="BQ3133" s="145"/>
      <c r="BR3133" s="145"/>
      <c r="BS3133" s="145"/>
      <c r="BT3133" s="145"/>
      <c r="BU3133" s="145"/>
      <c r="BV3133" s="145"/>
      <c r="BW3133" s="145"/>
      <c r="BX3133" s="145"/>
      <c r="BY3133" s="145"/>
      <c r="BZ3133" s="145"/>
      <c r="CA3133" s="145"/>
      <c r="CB3133" s="145"/>
      <c r="CC3133" s="145"/>
      <c r="CD3133" s="145"/>
      <c r="CE3133" s="145"/>
      <c r="CF3133" s="145"/>
      <c r="CG3133" s="145"/>
      <c r="CH3133" s="145"/>
      <c r="CI3133" s="145"/>
      <c r="CJ3133" s="145"/>
      <c r="CK3133" s="145"/>
      <c r="CL3133" s="145"/>
      <c r="CM3133" s="145"/>
      <c r="CN3133" s="145"/>
      <c r="CO3133" s="145"/>
      <c r="CP3133" s="145"/>
      <c r="CQ3133" s="145"/>
      <c r="CR3133" s="145"/>
      <c r="CS3133" s="145"/>
      <c r="CT3133" s="145"/>
      <c r="CU3133" s="145"/>
      <c r="CV3133" s="145"/>
      <c r="CW3133" s="145"/>
      <c r="CX3133" s="145"/>
      <c r="CY3133" s="145"/>
      <c r="CZ3133" s="145"/>
      <c r="DA3133" s="145"/>
      <c r="DB3133" s="145"/>
      <c r="DC3133" s="145"/>
      <c r="DD3133" s="145"/>
      <c r="DE3133" s="145"/>
      <c r="DF3133" s="145"/>
      <c r="DG3133" s="145"/>
      <c r="DH3133" s="145"/>
      <c r="DI3133" s="145"/>
      <c r="DJ3133" s="145"/>
      <c r="DK3133" s="145"/>
      <c r="DL3133" s="145"/>
      <c r="DM3133" s="145"/>
      <c r="DN3133" s="145"/>
      <c r="DO3133" s="145"/>
      <c r="DP3133" s="145"/>
      <c r="DQ3133" s="145"/>
      <c r="DR3133" s="145"/>
      <c r="DS3133" s="145"/>
      <c r="DT3133" s="145"/>
      <c r="DU3133" s="145"/>
      <c r="DV3133" s="145"/>
      <c r="DW3133" s="145"/>
      <c r="DX3133" s="145"/>
      <c r="DY3133" s="145"/>
      <c r="DZ3133" s="145"/>
      <c r="EA3133" s="145"/>
      <c r="EB3133" s="145"/>
      <c r="EC3133" s="145"/>
      <c r="ED3133" s="145"/>
      <c r="EE3133" s="145"/>
      <c r="EF3133" s="145"/>
      <c r="EG3133" s="145"/>
      <c r="EH3133" s="145"/>
      <c r="EI3133" s="145"/>
      <c r="EJ3133" s="145"/>
      <c r="EK3133" s="145"/>
      <c r="EL3133" s="145"/>
      <c r="EM3133" s="145"/>
      <c r="EN3133" s="145"/>
      <c r="EO3133" s="145"/>
      <c r="EP3133" s="145"/>
      <c r="EQ3133" s="145"/>
      <c r="ER3133" s="145"/>
      <c r="ES3133" s="145"/>
      <c r="ET3133" s="145"/>
      <c r="EU3133" s="145"/>
      <c r="EV3133" s="145"/>
      <c r="EW3133" s="145"/>
      <c r="EX3133" s="145"/>
      <c r="EY3133" s="145"/>
      <c r="EZ3133" s="145"/>
      <c r="FA3133" s="145"/>
      <c r="FB3133" s="145"/>
      <c r="FC3133" s="145"/>
      <c r="FD3133" s="145"/>
      <c r="FE3133" s="145"/>
      <c r="FF3133" s="145"/>
      <c r="FG3133" s="145"/>
      <c r="FH3133" s="145"/>
      <c r="FI3133" s="145"/>
      <c r="FJ3133" s="145"/>
      <c r="FK3133" s="145"/>
      <c r="FL3133" s="145"/>
      <c r="FM3133" s="145"/>
      <c r="FN3133" s="145"/>
      <c r="FO3133" s="145"/>
      <c r="FP3133" s="145"/>
      <c r="FQ3133" s="145"/>
      <c r="FR3133" s="145"/>
      <c r="FS3133" s="145"/>
      <c r="FT3133" s="145"/>
      <c r="FU3133" s="145"/>
      <c r="FV3133" s="145"/>
      <c r="FW3133" s="145"/>
      <c r="FX3133" s="145"/>
      <c r="FY3133" s="145"/>
      <c r="FZ3133" s="145"/>
      <c r="GA3133" s="145"/>
      <c r="GB3133" s="145"/>
      <c r="GC3133" s="145"/>
      <c r="GD3133" s="145"/>
      <c r="GE3133" s="145"/>
      <c r="GF3133" s="145"/>
      <c r="GG3133" s="145"/>
      <c r="GH3133" s="145"/>
      <c r="GI3133" s="145"/>
      <c r="GJ3133" s="145"/>
      <c r="GK3133" s="145"/>
      <c r="GL3133" s="145"/>
      <c r="GM3133" s="145"/>
      <c r="GN3133" s="145"/>
      <c r="GO3133" s="145"/>
      <c r="GP3133" s="145"/>
      <c r="GQ3133" s="145"/>
      <c r="GR3133" s="145"/>
      <c r="GS3133" s="145"/>
      <c r="GT3133" s="145"/>
      <c r="GU3133" s="145"/>
      <c r="GV3133" s="145"/>
      <c r="GW3133" s="145"/>
      <c r="GX3133" s="145"/>
      <c r="GY3133" s="145"/>
      <c r="GZ3133" s="145"/>
      <c r="HA3133" s="145"/>
      <c r="HB3133" s="145"/>
      <c r="HC3133" s="145"/>
      <c r="HD3133" s="145"/>
      <c r="HE3133" s="145"/>
      <c r="HF3133" s="145"/>
    </row>
    <row r="3134" spans="1:214" x14ac:dyDescent="0.35">
      <c r="A3134" s="277">
        <f>A3131+1</f>
        <v>67</v>
      </c>
      <c r="B3134" s="277">
        <v>2451</v>
      </c>
      <c r="C3134" s="266" t="s">
        <v>147</v>
      </c>
      <c r="D3134" s="287">
        <v>3730.46</v>
      </c>
      <c r="E3134" s="276" t="s">
        <v>70</v>
      </c>
      <c r="F3134" s="276">
        <v>5</v>
      </c>
      <c r="G3134" s="277" t="s">
        <v>71</v>
      </c>
      <c r="H3134" s="136" t="s">
        <v>72</v>
      </c>
      <c r="I3134" s="181">
        <f>I3135+I3136</f>
        <v>9916427.4600000009</v>
      </c>
      <c r="J3134" s="181">
        <f>J3135+J3136</f>
        <v>2658.23</v>
      </c>
      <c r="K3134" s="181">
        <f>K3135+K3136</f>
        <v>3242</v>
      </c>
      <c r="L3134" s="145"/>
      <c r="M3134" s="145"/>
      <c r="N3134" s="145"/>
      <c r="O3134" s="145"/>
      <c r="P3134" s="145"/>
      <c r="Q3134" s="145"/>
      <c r="R3134" s="145"/>
      <c r="S3134" s="145"/>
      <c r="T3134" s="145"/>
      <c r="U3134" s="145"/>
      <c r="V3134" s="145"/>
      <c r="W3134" s="145"/>
      <c r="X3134" s="145"/>
      <c r="Y3134" s="145"/>
      <c r="Z3134" s="145"/>
      <c r="AA3134" s="145"/>
      <c r="AB3134" s="145"/>
      <c r="AC3134" s="145"/>
      <c r="AD3134" s="145"/>
      <c r="AE3134" s="145"/>
      <c r="AF3134" s="145"/>
      <c r="AG3134" s="145"/>
      <c r="AH3134" s="145"/>
      <c r="AI3134" s="145"/>
      <c r="AJ3134" s="145"/>
      <c r="AK3134" s="145"/>
      <c r="AL3134" s="145"/>
      <c r="AM3134" s="145"/>
      <c r="AN3134" s="145"/>
      <c r="AO3134" s="145"/>
      <c r="AP3134" s="145"/>
      <c r="AQ3134" s="145"/>
      <c r="AR3134" s="145"/>
      <c r="AS3134" s="145"/>
      <c r="AT3134" s="145"/>
      <c r="AU3134" s="145"/>
      <c r="AV3134" s="145"/>
      <c r="AW3134" s="145"/>
      <c r="AX3134" s="145"/>
      <c r="AY3134" s="145"/>
      <c r="AZ3134" s="145"/>
      <c r="BA3134" s="145"/>
      <c r="BB3134" s="145"/>
      <c r="BC3134" s="145"/>
      <c r="BD3134" s="145"/>
      <c r="BE3134" s="145"/>
      <c r="BF3134" s="145"/>
      <c r="BG3134" s="145"/>
      <c r="BH3134" s="145"/>
      <c r="BI3134" s="145"/>
      <c r="BJ3134" s="145"/>
      <c r="BK3134" s="145"/>
      <c r="BL3134" s="145"/>
      <c r="BM3134" s="145"/>
      <c r="BN3134" s="145"/>
      <c r="BO3134" s="145"/>
      <c r="BP3134" s="145"/>
      <c r="BQ3134" s="145"/>
      <c r="BR3134" s="145"/>
      <c r="BS3134" s="145"/>
      <c r="BT3134" s="145"/>
      <c r="BU3134" s="145"/>
      <c r="BV3134" s="145"/>
      <c r="BW3134" s="145"/>
      <c r="BX3134" s="145"/>
      <c r="BY3134" s="145"/>
      <c r="BZ3134" s="145"/>
      <c r="CA3134" s="145"/>
      <c r="CB3134" s="145"/>
      <c r="CC3134" s="145"/>
      <c r="CD3134" s="145"/>
      <c r="CE3134" s="145"/>
      <c r="CF3134" s="145"/>
      <c r="CG3134" s="145"/>
      <c r="CH3134" s="145"/>
      <c r="CI3134" s="145"/>
      <c r="CJ3134" s="145"/>
      <c r="CK3134" s="145"/>
      <c r="CL3134" s="145"/>
      <c r="CM3134" s="145"/>
      <c r="CN3134" s="145"/>
      <c r="CO3134" s="145"/>
      <c r="CP3134" s="145"/>
      <c r="CQ3134" s="145"/>
      <c r="CR3134" s="145"/>
      <c r="CS3134" s="145"/>
      <c r="CT3134" s="145"/>
      <c r="CU3134" s="145"/>
      <c r="CV3134" s="145"/>
      <c r="CW3134" s="145"/>
      <c r="CX3134" s="145"/>
      <c r="CY3134" s="145"/>
      <c r="CZ3134" s="145"/>
      <c r="DA3134" s="145"/>
      <c r="DB3134" s="145"/>
      <c r="DC3134" s="145"/>
      <c r="DD3134" s="145"/>
      <c r="DE3134" s="145"/>
      <c r="DF3134" s="145"/>
      <c r="DG3134" s="145"/>
      <c r="DH3134" s="145"/>
      <c r="DI3134" s="145"/>
      <c r="DJ3134" s="145"/>
      <c r="DK3134" s="145"/>
      <c r="DL3134" s="145"/>
      <c r="DM3134" s="145"/>
      <c r="DN3134" s="145"/>
      <c r="DO3134" s="145"/>
      <c r="DP3134" s="145"/>
      <c r="DQ3134" s="145"/>
      <c r="DR3134" s="145"/>
      <c r="DS3134" s="145"/>
      <c r="DT3134" s="145"/>
      <c r="DU3134" s="145"/>
      <c r="DV3134" s="145"/>
      <c r="DW3134" s="145"/>
      <c r="DX3134" s="145"/>
      <c r="DY3134" s="145"/>
      <c r="DZ3134" s="145"/>
      <c r="EA3134" s="145"/>
      <c r="EB3134" s="145"/>
      <c r="EC3134" s="145"/>
      <c r="ED3134" s="145"/>
      <c r="EE3134" s="145"/>
      <c r="EF3134" s="145"/>
      <c r="EG3134" s="145"/>
      <c r="EH3134" s="145"/>
      <c r="EI3134" s="145"/>
      <c r="EJ3134" s="145"/>
      <c r="EK3134" s="145"/>
      <c r="EL3134" s="145"/>
      <c r="EM3134" s="145"/>
      <c r="EN3134" s="145"/>
      <c r="EO3134" s="145"/>
      <c r="EP3134" s="145"/>
      <c r="EQ3134" s="145"/>
      <c r="ER3134" s="145"/>
      <c r="ES3134" s="145"/>
      <c r="ET3134" s="145"/>
      <c r="EU3134" s="145"/>
      <c r="EV3134" s="145"/>
      <c r="EW3134" s="145"/>
      <c r="EX3134" s="145"/>
      <c r="EY3134" s="145"/>
      <c r="EZ3134" s="145"/>
      <c r="FA3134" s="145"/>
      <c r="FB3134" s="145"/>
      <c r="FC3134" s="145"/>
      <c r="FD3134" s="145"/>
      <c r="FE3134" s="145"/>
      <c r="FF3134" s="145"/>
      <c r="FG3134" s="145"/>
      <c r="FH3134" s="145"/>
      <c r="FI3134" s="145"/>
      <c r="FJ3134" s="145"/>
      <c r="FK3134" s="145"/>
      <c r="FL3134" s="145"/>
      <c r="FM3134" s="145"/>
      <c r="FN3134" s="145"/>
      <c r="FO3134" s="145"/>
      <c r="FP3134" s="145"/>
      <c r="FQ3134" s="145"/>
      <c r="FR3134" s="145"/>
      <c r="FS3134" s="145"/>
      <c r="FT3134" s="145"/>
      <c r="FU3134" s="145"/>
      <c r="FV3134" s="145"/>
      <c r="FW3134" s="145"/>
      <c r="FX3134" s="145"/>
      <c r="FY3134" s="145"/>
      <c r="FZ3134" s="145"/>
      <c r="GA3134" s="145"/>
      <c r="GB3134" s="145"/>
      <c r="GC3134" s="145"/>
      <c r="GD3134" s="145"/>
      <c r="GE3134" s="145"/>
      <c r="GF3134" s="145"/>
      <c r="GG3134" s="145"/>
      <c r="GH3134" s="145"/>
      <c r="GI3134" s="145"/>
      <c r="GJ3134" s="145"/>
      <c r="GK3134" s="145"/>
      <c r="GL3134" s="145"/>
      <c r="GM3134" s="145"/>
      <c r="GN3134" s="145"/>
      <c r="GO3134" s="145"/>
      <c r="GP3134" s="145"/>
      <c r="GQ3134" s="145"/>
      <c r="GR3134" s="145"/>
      <c r="GS3134" s="145"/>
      <c r="GT3134" s="145"/>
      <c r="GU3134" s="145"/>
      <c r="GV3134" s="145"/>
      <c r="GW3134" s="145"/>
      <c r="GX3134" s="145"/>
      <c r="GY3134" s="145"/>
      <c r="GZ3134" s="145"/>
      <c r="HA3134" s="145"/>
      <c r="HB3134" s="145"/>
      <c r="HC3134" s="145"/>
      <c r="HD3134" s="145"/>
      <c r="HE3134" s="145"/>
      <c r="HF3134" s="145"/>
    </row>
    <row r="3135" spans="1:214" x14ac:dyDescent="0.35">
      <c r="A3135" s="277">
        <v>77</v>
      </c>
      <c r="B3135" s="277"/>
      <c r="C3135" s="266"/>
      <c r="D3135" s="287"/>
      <c r="E3135" s="276"/>
      <c r="F3135" s="276"/>
      <c r="G3135" s="277"/>
      <c r="H3135" s="136" t="s">
        <v>73</v>
      </c>
      <c r="I3135" s="181">
        <f>(7831134+235218.68)*1.02*1.18</f>
        <v>9708662.0899999999</v>
      </c>
      <c r="J3135" s="181">
        <f>I3135/D3134</f>
        <v>2602.54</v>
      </c>
      <c r="K3135" s="181">
        <v>3174</v>
      </c>
      <c r="L3135" s="145"/>
      <c r="M3135" s="145"/>
      <c r="N3135" s="145"/>
      <c r="O3135" s="145"/>
      <c r="P3135" s="145"/>
      <c r="Q3135" s="145"/>
      <c r="R3135" s="145"/>
      <c r="S3135" s="145"/>
      <c r="T3135" s="145"/>
      <c r="U3135" s="145"/>
      <c r="V3135" s="145"/>
      <c r="W3135" s="145"/>
      <c r="X3135" s="145"/>
      <c r="Y3135" s="145"/>
      <c r="Z3135" s="145"/>
      <c r="AA3135" s="145"/>
      <c r="AB3135" s="145"/>
      <c r="AC3135" s="145"/>
      <c r="AD3135" s="145"/>
      <c r="AE3135" s="145"/>
      <c r="AF3135" s="145"/>
      <c r="AG3135" s="145"/>
      <c r="AH3135" s="145"/>
      <c r="AI3135" s="145"/>
      <c r="AJ3135" s="145"/>
      <c r="AK3135" s="145"/>
      <c r="AL3135" s="145"/>
      <c r="AM3135" s="145"/>
      <c r="AN3135" s="145"/>
      <c r="AO3135" s="145"/>
      <c r="AP3135" s="145"/>
      <c r="AQ3135" s="145"/>
      <c r="AR3135" s="145"/>
      <c r="AS3135" s="145"/>
      <c r="AT3135" s="145"/>
      <c r="AU3135" s="145"/>
      <c r="AV3135" s="145"/>
      <c r="AW3135" s="145"/>
      <c r="AX3135" s="145"/>
      <c r="AY3135" s="145"/>
      <c r="AZ3135" s="145"/>
      <c r="BA3135" s="145"/>
      <c r="BB3135" s="145"/>
      <c r="BC3135" s="145"/>
      <c r="BD3135" s="145"/>
      <c r="BE3135" s="145"/>
      <c r="BF3135" s="145"/>
      <c r="BG3135" s="145"/>
      <c r="BH3135" s="145"/>
      <c r="BI3135" s="145"/>
      <c r="BJ3135" s="145"/>
      <c r="BK3135" s="145"/>
      <c r="BL3135" s="145"/>
      <c r="BM3135" s="145"/>
      <c r="BN3135" s="145"/>
      <c r="BO3135" s="145"/>
      <c r="BP3135" s="145"/>
      <c r="BQ3135" s="145"/>
      <c r="BR3135" s="145"/>
      <c r="BS3135" s="145"/>
      <c r="BT3135" s="145"/>
      <c r="BU3135" s="145"/>
      <c r="BV3135" s="145"/>
      <c r="BW3135" s="145"/>
      <c r="BX3135" s="145"/>
      <c r="BY3135" s="145"/>
      <c r="BZ3135" s="145"/>
      <c r="CA3135" s="145"/>
      <c r="CB3135" s="145"/>
      <c r="CC3135" s="145"/>
      <c r="CD3135" s="145"/>
      <c r="CE3135" s="145"/>
      <c r="CF3135" s="145"/>
      <c r="CG3135" s="145"/>
      <c r="CH3135" s="145"/>
      <c r="CI3135" s="145"/>
      <c r="CJ3135" s="145"/>
      <c r="CK3135" s="145"/>
      <c r="CL3135" s="145"/>
      <c r="CM3135" s="145"/>
      <c r="CN3135" s="145"/>
      <c r="CO3135" s="145"/>
      <c r="CP3135" s="145"/>
      <c r="CQ3135" s="145"/>
      <c r="CR3135" s="145"/>
      <c r="CS3135" s="145"/>
      <c r="CT3135" s="145"/>
      <c r="CU3135" s="145"/>
      <c r="CV3135" s="145"/>
      <c r="CW3135" s="145"/>
      <c r="CX3135" s="145"/>
      <c r="CY3135" s="145"/>
      <c r="CZ3135" s="145"/>
      <c r="DA3135" s="145"/>
      <c r="DB3135" s="145"/>
      <c r="DC3135" s="145"/>
      <c r="DD3135" s="145"/>
      <c r="DE3135" s="145"/>
      <c r="DF3135" s="145"/>
      <c r="DG3135" s="145"/>
      <c r="DH3135" s="145"/>
      <c r="DI3135" s="145"/>
      <c r="DJ3135" s="145"/>
      <c r="DK3135" s="145"/>
      <c r="DL3135" s="145"/>
      <c r="DM3135" s="145"/>
      <c r="DN3135" s="145"/>
      <c r="DO3135" s="145"/>
      <c r="DP3135" s="145"/>
      <c r="DQ3135" s="145"/>
      <c r="DR3135" s="145"/>
      <c r="DS3135" s="145"/>
      <c r="DT3135" s="145"/>
      <c r="DU3135" s="145"/>
      <c r="DV3135" s="145"/>
      <c r="DW3135" s="145"/>
      <c r="DX3135" s="145"/>
      <c r="DY3135" s="145"/>
      <c r="DZ3135" s="145"/>
      <c r="EA3135" s="145"/>
      <c r="EB3135" s="145"/>
      <c r="EC3135" s="145"/>
      <c r="ED3135" s="145"/>
      <c r="EE3135" s="145"/>
      <c r="EF3135" s="145"/>
      <c r="EG3135" s="145"/>
      <c r="EH3135" s="145"/>
      <c r="EI3135" s="145"/>
      <c r="EJ3135" s="145"/>
      <c r="EK3135" s="145"/>
      <c r="EL3135" s="145"/>
      <c r="EM3135" s="145"/>
      <c r="EN3135" s="145"/>
      <c r="EO3135" s="145"/>
      <c r="EP3135" s="145"/>
      <c r="EQ3135" s="145"/>
      <c r="ER3135" s="145"/>
      <c r="ES3135" s="145"/>
      <c r="ET3135" s="145"/>
      <c r="EU3135" s="145"/>
      <c r="EV3135" s="145"/>
      <c r="EW3135" s="145"/>
      <c r="EX3135" s="145"/>
      <c r="EY3135" s="145"/>
      <c r="EZ3135" s="145"/>
      <c r="FA3135" s="145"/>
      <c r="FB3135" s="145"/>
      <c r="FC3135" s="145"/>
      <c r="FD3135" s="145"/>
      <c r="FE3135" s="145"/>
      <c r="FF3135" s="145"/>
      <c r="FG3135" s="145"/>
      <c r="FH3135" s="145"/>
      <c r="FI3135" s="145"/>
      <c r="FJ3135" s="145"/>
      <c r="FK3135" s="145"/>
      <c r="FL3135" s="145"/>
      <c r="FM3135" s="145"/>
      <c r="FN3135" s="145"/>
      <c r="FO3135" s="145"/>
      <c r="FP3135" s="145"/>
      <c r="FQ3135" s="145"/>
      <c r="FR3135" s="145"/>
      <c r="FS3135" s="145"/>
      <c r="FT3135" s="145"/>
      <c r="FU3135" s="145"/>
      <c r="FV3135" s="145"/>
      <c r="FW3135" s="145"/>
      <c r="FX3135" s="145"/>
      <c r="FY3135" s="145"/>
      <c r="FZ3135" s="145"/>
      <c r="GA3135" s="145"/>
      <c r="GB3135" s="145"/>
      <c r="GC3135" s="145"/>
      <c r="GD3135" s="145"/>
      <c r="GE3135" s="145"/>
      <c r="GF3135" s="145"/>
      <c r="GG3135" s="145"/>
      <c r="GH3135" s="145"/>
      <c r="GI3135" s="145"/>
      <c r="GJ3135" s="145"/>
      <c r="GK3135" s="145"/>
      <c r="GL3135" s="145"/>
      <c r="GM3135" s="145"/>
      <c r="GN3135" s="145"/>
      <c r="GO3135" s="145"/>
      <c r="GP3135" s="145"/>
      <c r="GQ3135" s="145"/>
      <c r="GR3135" s="145"/>
      <c r="GS3135" s="145"/>
      <c r="GT3135" s="145"/>
      <c r="GU3135" s="145"/>
      <c r="GV3135" s="145"/>
      <c r="GW3135" s="145"/>
      <c r="GX3135" s="145"/>
      <c r="GY3135" s="145"/>
      <c r="GZ3135" s="145"/>
      <c r="HA3135" s="145"/>
      <c r="HB3135" s="145"/>
      <c r="HC3135" s="145"/>
      <c r="HD3135" s="145"/>
      <c r="HE3135" s="145"/>
      <c r="HF3135" s="145"/>
    </row>
    <row r="3136" spans="1:214" x14ac:dyDescent="0.35">
      <c r="A3136" s="277">
        <v>78</v>
      </c>
      <c r="B3136" s="277"/>
      <c r="C3136" s="266"/>
      <c r="D3136" s="287"/>
      <c r="E3136" s="276"/>
      <c r="F3136" s="276"/>
      <c r="G3136" s="277"/>
      <c r="H3136" s="136" t="s">
        <v>75</v>
      </c>
      <c r="I3136" s="181">
        <f>(7831134+235218.68)*1.02*1.18*0.0214</f>
        <v>207765.37</v>
      </c>
      <c r="J3136" s="181">
        <f>I3136/D3134</f>
        <v>55.69</v>
      </c>
      <c r="K3136" s="181">
        <v>68</v>
      </c>
      <c r="L3136" s="145"/>
      <c r="M3136" s="145"/>
      <c r="N3136" s="145"/>
      <c r="O3136" s="145"/>
      <c r="P3136" s="145"/>
      <c r="Q3136" s="145"/>
      <c r="R3136" s="145"/>
      <c r="S3136" s="145"/>
      <c r="T3136" s="145"/>
      <c r="U3136" s="145"/>
      <c r="V3136" s="145"/>
      <c r="W3136" s="145"/>
      <c r="X3136" s="145"/>
      <c r="Y3136" s="145"/>
      <c r="Z3136" s="145"/>
      <c r="AA3136" s="145"/>
      <c r="AB3136" s="145"/>
      <c r="AC3136" s="145"/>
      <c r="AD3136" s="145"/>
      <c r="AE3136" s="145"/>
      <c r="AF3136" s="145"/>
      <c r="AG3136" s="145"/>
      <c r="AH3136" s="145"/>
      <c r="AI3136" s="145"/>
      <c r="AJ3136" s="145"/>
      <c r="AK3136" s="145"/>
      <c r="AL3136" s="145"/>
      <c r="AM3136" s="145"/>
      <c r="AN3136" s="145"/>
      <c r="AO3136" s="145"/>
      <c r="AP3136" s="145"/>
      <c r="AQ3136" s="145"/>
      <c r="AR3136" s="145"/>
      <c r="AS3136" s="145"/>
      <c r="AT3136" s="145"/>
      <c r="AU3136" s="145"/>
      <c r="AV3136" s="145"/>
      <c r="AW3136" s="145"/>
      <c r="AX3136" s="145"/>
      <c r="AY3136" s="145"/>
      <c r="AZ3136" s="145"/>
      <c r="BA3136" s="145"/>
      <c r="BB3136" s="145"/>
      <c r="BC3136" s="145"/>
      <c r="BD3136" s="145"/>
      <c r="BE3136" s="145"/>
      <c r="BF3136" s="145"/>
      <c r="BG3136" s="145"/>
      <c r="BH3136" s="145"/>
      <c r="BI3136" s="145"/>
      <c r="BJ3136" s="145"/>
      <c r="BK3136" s="145"/>
      <c r="BL3136" s="145"/>
      <c r="BM3136" s="145"/>
      <c r="BN3136" s="145"/>
      <c r="BO3136" s="145"/>
      <c r="BP3136" s="145"/>
      <c r="BQ3136" s="145"/>
      <c r="BR3136" s="145"/>
      <c r="BS3136" s="145"/>
      <c r="BT3136" s="145"/>
      <c r="BU3136" s="145"/>
      <c r="BV3136" s="145"/>
      <c r="BW3136" s="145"/>
      <c r="BX3136" s="145"/>
      <c r="BY3136" s="145"/>
      <c r="BZ3136" s="145"/>
      <c r="CA3136" s="145"/>
      <c r="CB3136" s="145"/>
      <c r="CC3136" s="145"/>
      <c r="CD3136" s="145"/>
      <c r="CE3136" s="145"/>
      <c r="CF3136" s="145"/>
      <c r="CG3136" s="145"/>
      <c r="CH3136" s="145"/>
      <c r="CI3136" s="145"/>
      <c r="CJ3136" s="145"/>
      <c r="CK3136" s="145"/>
      <c r="CL3136" s="145"/>
      <c r="CM3136" s="145"/>
      <c r="CN3136" s="145"/>
      <c r="CO3136" s="145"/>
      <c r="CP3136" s="145"/>
      <c r="CQ3136" s="145"/>
      <c r="CR3136" s="145"/>
      <c r="CS3136" s="145"/>
      <c r="CT3136" s="145"/>
      <c r="CU3136" s="145"/>
      <c r="CV3136" s="145"/>
      <c r="CW3136" s="145"/>
      <c r="CX3136" s="145"/>
      <c r="CY3136" s="145"/>
      <c r="CZ3136" s="145"/>
      <c r="DA3136" s="145"/>
      <c r="DB3136" s="145"/>
      <c r="DC3136" s="145"/>
      <c r="DD3136" s="145"/>
      <c r="DE3136" s="145"/>
      <c r="DF3136" s="145"/>
      <c r="DG3136" s="145"/>
      <c r="DH3136" s="145"/>
      <c r="DI3136" s="145"/>
      <c r="DJ3136" s="145"/>
      <c r="DK3136" s="145"/>
      <c r="DL3136" s="145"/>
      <c r="DM3136" s="145"/>
      <c r="DN3136" s="145"/>
      <c r="DO3136" s="145"/>
      <c r="DP3136" s="145"/>
      <c r="DQ3136" s="145"/>
      <c r="DR3136" s="145"/>
      <c r="DS3136" s="145"/>
      <c r="DT3136" s="145"/>
      <c r="DU3136" s="145"/>
      <c r="DV3136" s="145"/>
      <c r="DW3136" s="145"/>
      <c r="DX3136" s="145"/>
      <c r="DY3136" s="145"/>
      <c r="DZ3136" s="145"/>
      <c r="EA3136" s="145"/>
      <c r="EB3136" s="145"/>
      <c r="EC3136" s="145"/>
      <c r="ED3136" s="145"/>
      <c r="EE3136" s="145"/>
      <c r="EF3136" s="145"/>
      <c r="EG3136" s="145"/>
      <c r="EH3136" s="145"/>
      <c r="EI3136" s="145"/>
      <c r="EJ3136" s="145"/>
      <c r="EK3136" s="145"/>
      <c r="EL3136" s="145"/>
      <c r="EM3136" s="145"/>
      <c r="EN3136" s="145"/>
      <c r="EO3136" s="145"/>
      <c r="EP3136" s="145"/>
      <c r="EQ3136" s="145"/>
      <c r="ER3136" s="145"/>
      <c r="ES3136" s="145"/>
      <c r="ET3136" s="145"/>
      <c r="EU3136" s="145"/>
      <c r="EV3136" s="145"/>
      <c r="EW3136" s="145"/>
      <c r="EX3136" s="145"/>
      <c r="EY3136" s="145"/>
      <c r="EZ3136" s="145"/>
      <c r="FA3136" s="145"/>
      <c r="FB3136" s="145"/>
      <c r="FC3136" s="145"/>
      <c r="FD3136" s="145"/>
      <c r="FE3136" s="145"/>
      <c r="FF3136" s="145"/>
      <c r="FG3136" s="145"/>
      <c r="FH3136" s="145"/>
      <c r="FI3136" s="145"/>
      <c r="FJ3136" s="145"/>
      <c r="FK3136" s="145"/>
      <c r="FL3136" s="145"/>
      <c r="FM3136" s="145"/>
      <c r="FN3136" s="145"/>
      <c r="FO3136" s="145"/>
      <c r="FP3136" s="145"/>
      <c r="FQ3136" s="145"/>
      <c r="FR3136" s="145"/>
      <c r="FS3136" s="145"/>
      <c r="FT3136" s="145"/>
      <c r="FU3136" s="145"/>
      <c r="FV3136" s="145"/>
      <c r="FW3136" s="145"/>
      <c r="FX3136" s="145"/>
      <c r="FY3136" s="145"/>
      <c r="FZ3136" s="145"/>
      <c r="GA3136" s="145"/>
      <c r="GB3136" s="145"/>
      <c r="GC3136" s="145"/>
      <c r="GD3136" s="145"/>
      <c r="GE3136" s="145"/>
      <c r="GF3136" s="145"/>
      <c r="GG3136" s="145"/>
      <c r="GH3136" s="145"/>
      <c r="GI3136" s="145"/>
      <c r="GJ3136" s="145"/>
      <c r="GK3136" s="145"/>
      <c r="GL3136" s="145"/>
      <c r="GM3136" s="145"/>
      <c r="GN3136" s="145"/>
      <c r="GO3136" s="145"/>
      <c r="GP3136" s="145"/>
      <c r="GQ3136" s="145"/>
      <c r="GR3136" s="145"/>
      <c r="GS3136" s="145"/>
      <c r="GT3136" s="145"/>
      <c r="GU3136" s="145"/>
      <c r="GV3136" s="145"/>
      <c r="GW3136" s="145"/>
      <c r="GX3136" s="145"/>
      <c r="GY3136" s="145"/>
      <c r="GZ3136" s="145"/>
      <c r="HA3136" s="145"/>
      <c r="HB3136" s="145"/>
      <c r="HC3136" s="145"/>
      <c r="HD3136" s="145"/>
      <c r="HE3136" s="145"/>
      <c r="HF3136" s="145"/>
    </row>
    <row r="3137" spans="1:214" x14ac:dyDescent="0.35">
      <c r="A3137" s="277">
        <f>A3134+1</f>
        <v>68</v>
      </c>
      <c r="B3137" s="277">
        <v>2452</v>
      </c>
      <c r="C3137" s="266" t="s">
        <v>148</v>
      </c>
      <c r="D3137" s="287">
        <v>2542.6</v>
      </c>
      <c r="E3137" s="276" t="s">
        <v>74</v>
      </c>
      <c r="F3137" s="276">
        <v>3</v>
      </c>
      <c r="G3137" s="277" t="s">
        <v>71</v>
      </c>
      <c r="H3137" s="136" t="s">
        <v>72</v>
      </c>
      <c r="I3137" s="181">
        <f>I3138+I3139</f>
        <v>12021412.800000001</v>
      </c>
      <c r="J3137" s="181">
        <f>J3138+J3139</f>
        <v>4728</v>
      </c>
      <c r="K3137" s="181">
        <f>K3138+K3139</f>
        <v>4728</v>
      </c>
      <c r="L3137" s="145"/>
      <c r="M3137" s="145"/>
      <c r="N3137" s="145"/>
      <c r="O3137" s="145"/>
      <c r="P3137" s="145"/>
      <c r="Q3137" s="145"/>
      <c r="R3137" s="145"/>
      <c r="S3137" s="145"/>
      <c r="T3137" s="145"/>
      <c r="U3137" s="145"/>
      <c r="V3137" s="145"/>
      <c r="W3137" s="145"/>
      <c r="X3137" s="145"/>
      <c r="Y3137" s="145"/>
      <c r="Z3137" s="145"/>
      <c r="AA3137" s="145"/>
      <c r="AB3137" s="145"/>
      <c r="AC3137" s="145"/>
      <c r="AD3137" s="145"/>
      <c r="AE3137" s="145"/>
      <c r="AF3137" s="145"/>
      <c r="AG3137" s="145"/>
      <c r="AH3137" s="145"/>
      <c r="AI3137" s="145"/>
      <c r="AJ3137" s="145"/>
      <c r="AK3137" s="145"/>
      <c r="AL3137" s="145"/>
      <c r="AM3137" s="145"/>
      <c r="AN3137" s="145"/>
      <c r="AO3137" s="145"/>
      <c r="AP3137" s="145"/>
      <c r="AQ3137" s="145"/>
      <c r="AR3137" s="145"/>
      <c r="AS3137" s="145"/>
      <c r="AT3137" s="145"/>
      <c r="AU3137" s="145"/>
      <c r="AV3137" s="145"/>
      <c r="AW3137" s="145"/>
      <c r="AX3137" s="145"/>
      <c r="AY3137" s="145"/>
      <c r="AZ3137" s="145"/>
      <c r="BA3137" s="145"/>
      <c r="BB3137" s="145"/>
      <c r="BC3137" s="145"/>
      <c r="BD3137" s="145"/>
      <c r="BE3137" s="145"/>
      <c r="BF3137" s="145"/>
      <c r="BG3137" s="145"/>
      <c r="BH3137" s="145"/>
      <c r="BI3137" s="145"/>
      <c r="BJ3137" s="145"/>
      <c r="BK3137" s="145"/>
      <c r="BL3137" s="145"/>
      <c r="BM3137" s="145"/>
      <c r="BN3137" s="145"/>
      <c r="BO3137" s="145"/>
      <c r="BP3137" s="145"/>
      <c r="BQ3137" s="145"/>
      <c r="BR3137" s="145"/>
      <c r="BS3137" s="145"/>
      <c r="BT3137" s="145"/>
      <c r="BU3137" s="145"/>
      <c r="BV3137" s="145"/>
      <c r="BW3137" s="145"/>
      <c r="BX3137" s="145"/>
      <c r="BY3137" s="145"/>
      <c r="BZ3137" s="145"/>
      <c r="CA3137" s="145"/>
      <c r="CB3137" s="145"/>
      <c r="CC3137" s="145"/>
      <c r="CD3137" s="145"/>
      <c r="CE3137" s="145"/>
      <c r="CF3137" s="145"/>
      <c r="CG3137" s="145"/>
      <c r="CH3137" s="145"/>
      <c r="CI3137" s="145"/>
      <c r="CJ3137" s="145"/>
      <c r="CK3137" s="145"/>
      <c r="CL3137" s="145"/>
      <c r="CM3137" s="145"/>
      <c r="CN3137" s="145"/>
      <c r="CO3137" s="145"/>
      <c r="CP3137" s="145"/>
      <c r="CQ3137" s="145"/>
      <c r="CR3137" s="145"/>
      <c r="CS3137" s="145"/>
      <c r="CT3137" s="145"/>
      <c r="CU3137" s="145"/>
      <c r="CV3137" s="145"/>
      <c r="CW3137" s="145"/>
      <c r="CX3137" s="145"/>
      <c r="CY3137" s="145"/>
      <c r="CZ3137" s="145"/>
      <c r="DA3137" s="145"/>
      <c r="DB3137" s="145"/>
      <c r="DC3137" s="145"/>
      <c r="DD3137" s="145"/>
      <c r="DE3137" s="145"/>
      <c r="DF3137" s="145"/>
      <c r="DG3137" s="145"/>
      <c r="DH3137" s="145"/>
      <c r="DI3137" s="145"/>
      <c r="DJ3137" s="145"/>
      <c r="DK3137" s="145"/>
      <c r="DL3137" s="145"/>
      <c r="DM3137" s="145"/>
      <c r="DN3137" s="145"/>
      <c r="DO3137" s="145"/>
      <c r="DP3137" s="145"/>
      <c r="DQ3137" s="145"/>
      <c r="DR3137" s="145"/>
      <c r="DS3137" s="145"/>
      <c r="DT3137" s="145"/>
      <c r="DU3137" s="145"/>
      <c r="DV3137" s="145"/>
      <c r="DW3137" s="145"/>
      <c r="DX3137" s="145"/>
      <c r="DY3137" s="145"/>
      <c r="DZ3137" s="145"/>
      <c r="EA3137" s="145"/>
      <c r="EB3137" s="145"/>
      <c r="EC3137" s="145"/>
      <c r="ED3137" s="145"/>
      <c r="EE3137" s="145"/>
      <c r="EF3137" s="145"/>
      <c r="EG3137" s="145"/>
      <c r="EH3137" s="145"/>
      <c r="EI3137" s="145"/>
      <c r="EJ3137" s="145"/>
      <c r="EK3137" s="145"/>
      <c r="EL3137" s="145"/>
      <c r="EM3137" s="145"/>
      <c r="EN3137" s="145"/>
      <c r="EO3137" s="145"/>
      <c r="EP3137" s="145"/>
      <c r="EQ3137" s="145"/>
      <c r="ER3137" s="145"/>
      <c r="ES3137" s="145"/>
      <c r="ET3137" s="145"/>
      <c r="EU3137" s="145"/>
      <c r="EV3137" s="145"/>
      <c r="EW3137" s="145"/>
      <c r="EX3137" s="145"/>
      <c r="EY3137" s="145"/>
      <c r="EZ3137" s="145"/>
      <c r="FA3137" s="145"/>
      <c r="FB3137" s="145"/>
      <c r="FC3137" s="145"/>
      <c r="FD3137" s="145"/>
      <c r="FE3137" s="145"/>
      <c r="FF3137" s="145"/>
      <c r="FG3137" s="145"/>
      <c r="FH3137" s="145"/>
      <c r="FI3137" s="145"/>
      <c r="FJ3137" s="145"/>
      <c r="FK3137" s="145"/>
      <c r="FL3137" s="145"/>
      <c r="FM3137" s="145"/>
      <c r="FN3137" s="145"/>
      <c r="FO3137" s="145"/>
      <c r="FP3137" s="145"/>
      <c r="FQ3137" s="145"/>
      <c r="FR3137" s="145"/>
      <c r="FS3137" s="145"/>
      <c r="FT3137" s="145"/>
      <c r="FU3137" s="145"/>
      <c r="FV3137" s="145"/>
      <c r="FW3137" s="145"/>
      <c r="FX3137" s="145"/>
      <c r="FY3137" s="145"/>
      <c r="FZ3137" s="145"/>
      <c r="GA3137" s="145"/>
      <c r="GB3137" s="145"/>
      <c r="GC3137" s="145"/>
      <c r="GD3137" s="145"/>
      <c r="GE3137" s="145"/>
      <c r="GF3137" s="145"/>
      <c r="GG3137" s="145"/>
      <c r="GH3137" s="145"/>
      <c r="GI3137" s="145"/>
      <c r="GJ3137" s="145"/>
      <c r="GK3137" s="145"/>
      <c r="GL3137" s="145"/>
      <c r="GM3137" s="145"/>
      <c r="GN3137" s="145"/>
      <c r="GO3137" s="145"/>
      <c r="GP3137" s="145"/>
      <c r="GQ3137" s="145"/>
      <c r="GR3137" s="145"/>
      <c r="GS3137" s="145"/>
      <c r="GT3137" s="145"/>
      <c r="GU3137" s="145"/>
      <c r="GV3137" s="145"/>
      <c r="GW3137" s="145"/>
      <c r="GX3137" s="145"/>
      <c r="GY3137" s="145"/>
      <c r="GZ3137" s="145"/>
      <c r="HA3137" s="145"/>
      <c r="HB3137" s="145"/>
      <c r="HC3137" s="145"/>
      <c r="HD3137" s="145"/>
      <c r="HE3137" s="145"/>
      <c r="HF3137" s="145"/>
    </row>
    <row r="3138" spans="1:214" x14ac:dyDescent="0.35">
      <c r="A3138" s="277">
        <v>79</v>
      </c>
      <c r="B3138" s="277"/>
      <c r="C3138" s="266"/>
      <c r="D3138" s="287"/>
      <c r="E3138" s="276"/>
      <c r="F3138" s="276"/>
      <c r="G3138" s="277"/>
      <c r="H3138" s="136" t="s">
        <v>73</v>
      </c>
      <c r="I3138" s="181">
        <f>D3137*K3138</f>
        <v>11769695.4</v>
      </c>
      <c r="J3138" s="181">
        <f>I3138/D3137</f>
        <v>4629</v>
      </c>
      <c r="K3138" s="181">
        <v>4629</v>
      </c>
      <c r="L3138" s="145"/>
      <c r="M3138" s="145"/>
      <c r="N3138" s="145"/>
      <c r="O3138" s="145"/>
      <c r="P3138" s="145"/>
      <c r="Q3138" s="145"/>
      <c r="R3138" s="145"/>
      <c r="S3138" s="145"/>
      <c r="T3138" s="145"/>
      <c r="U3138" s="145"/>
      <c r="V3138" s="145"/>
      <c r="W3138" s="145"/>
      <c r="X3138" s="145"/>
      <c r="Y3138" s="145"/>
      <c r="Z3138" s="145"/>
      <c r="AA3138" s="145"/>
      <c r="AB3138" s="145"/>
      <c r="AC3138" s="145"/>
      <c r="AD3138" s="145"/>
      <c r="AE3138" s="145"/>
      <c r="AF3138" s="145"/>
      <c r="AG3138" s="145"/>
      <c r="AH3138" s="145"/>
      <c r="AI3138" s="145"/>
      <c r="AJ3138" s="145"/>
      <c r="AK3138" s="145"/>
      <c r="AL3138" s="145"/>
      <c r="AM3138" s="145"/>
      <c r="AN3138" s="145"/>
      <c r="AO3138" s="145"/>
      <c r="AP3138" s="145"/>
      <c r="AQ3138" s="145"/>
      <c r="AR3138" s="145"/>
      <c r="AS3138" s="145"/>
      <c r="AT3138" s="145"/>
      <c r="AU3138" s="145"/>
      <c r="AV3138" s="145"/>
      <c r="AW3138" s="145"/>
      <c r="AX3138" s="145"/>
      <c r="AY3138" s="145"/>
      <c r="AZ3138" s="145"/>
      <c r="BA3138" s="145"/>
      <c r="BB3138" s="145"/>
      <c r="BC3138" s="145"/>
      <c r="BD3138" s="145"/>
      <c r="BE3138" s="145"/>
      <c r="BF3138" s="145"/>
      <c r="BG3138" s="145"/>
      <c r="BH3138" s="145"/>
      <c r="BI3138" s="145"/>
      <c r="BJ3138" s="145"/>
      <c r="BK3138" s="145"/>
      <c r="BL3138" s="145"/>
      <c r="BM3138" s="145"/>
      <c r="BN3138" s="145"/>
      <c r="BO3138" s="145"/>
      <c r="BP3138" s="145"/>
      <c r="BQ3138" s="145"/>
      <c r="BR3138" s="145"/>
      <c r="BS3138" s="145"/>
      <c r="BT3138" s="145"/>
      <c r="BU3138" s="145"/>
      <c r="BV3138" s="145"/>
      <c r="BW3138" s="145"/>
      <c r="BX3138" s="145"/>
      <c r="BY3138" s="145"/>
      <c r="BZ3138" s="145"/>
      <c r="CA3138" s="145"/>
      <c r="CB3138" s="145"/>
      <c r="CC3138" s="145"/>
      <c r="CD3138" s="145"/>
      <c r="CE3138" s="145"/>
      <c r="CF3138" s="145"/>
      <c r="CG3138" s="145"/>
      <c r="CH3138" s="145"/>
      <c r="CI3138" s="145"/>
      <c r="CJ3138" s="145"/>
      <c r="CK3138" s="145"/>
      <c r="CL3138" s="145"/>
      <c r="CM3138" s="145"/>
      <c r="CN3138" s="145"/>
      <c r="CO3138" s="145"/>
      <c r="CP3138" s="145"/>
      <c r="CQ3138" s="145"/>
      <c r="CR3138" s="145"/>
      <c r="CS3138" s="145"/>
      <c r="CT3138" s="145"/>
      <c r="CU3138" s="145"/>
      <c r="CV3138" s="145"/>
      <c r="CW3138" s="145"/>
      <c r="CX3138" s="145"/>
      <c r="CY3138" s="145"/>
      <c r="CZ3138" s="145"/>
      <c r="DA3138" s="145"/>
      <c r="DB3138" s="145"/>
      <c r="DC3138" s="145"/>
      <c r="DD3138" s="145"/>
      <c r="DE3138" s="145"/>
      <c r="DF3138" s="145"/>
      <c r="DG3138" s="145"/>
      <c r="DH3138" s="145"/>
      <c r="DI3138" s="145"/>
      <c r="DJ3138" s="145"/>
      <c r="DK3138" s="145"/>
      <c r="DL3138" s="145"/>
      <c r="DM3138" s="145"/>
      <c r="DN3138" s="145"/>
      <c r="DO3138" s="145"/>
      <c r="DP3138" s="145"/>
      <c r="DQ3138" s="145"/>
      <c r="DR3138" s="145"/>
      <c r="DS3138" s="145"/>
      <c r="DT3138" s="145"/>
      <c r="DU3138" s="145"/>
      <c r="DV3138" s="145"/>
      <c r="DW3138" s="145"/>
      <c r="DX3138" s="145"/>
      <c r="DY3138" s="145"/>
      <c r="DZ3138" s="145"/>
      <c r="EA3138" s="145"/>
      <c r="EB3138" s="145"/>
      <c r="EC3138" s="145"/>
      <c r="ED3138" s="145"/>
      <c r="EE3138" s="145"/>
      <c r="EF3138" s="145"/>
      <c r="EG3138" s="145"/>
      <c r="EH3138" s="145"/>
      <c r="EI3138" s="145"/>
      <c r="EJ3138" s="145"/>
      <c r="EK3138" s="145"/>
      <c r="EL3138" s="145"/>
      <c r="EM3138" s="145"/>
      <c r="EN3138" s="145"/>
      <c r="EO3138" s="145"/>
      <c r="EP3138" s="145"/>
      <c r="EQ3138" s="145"/>
      <c r="ER3138" s="145"/>
      <c r="ES3138" s="145"/>
      <c r="ET3138" s="145"/>
      <c r="EU3138" s="145"/>
      <c r="EV3138" s="145"/>
      <c r="EW3138" s="145"/>
      <c r="EX3138" s="145"/>
      <c r="EY3138" s="145"/>
      <c r="EZ3138" s="145"/>
      <c r="FA3138" s="145"/>
      <c r="FB3138" s="145"/>
      <c r="FC3138" s="145"/>
      <c r="FD3138" s="145"/>
      <c r="FE3138" s="145"/>
      <c r="FF3138" s="145"/>
      <c r="FG3138" s="145"/>
      <c r="FH3138" s="145"/>
      <c r="FI3138" s="145"/>
      <c r="FJ3138" s="145"/>
      <c r="FK3138" s="145"/>
      <c r="FL3138" s="145"/>
      <c r="FM3138" s="145"/>
      <c r="FN3138" s="145"/>
      <c r="FO3138" s="145"/>
      <c r="FP3138" s="145"/>
      <c r="FQ3138" s="145"/>
      <c r="FR3138" s="145"/>
      <c r="FS3138" s="145"/>
      <c r="FT3138" s="145"/>
      <c r="FU3138" s="145"/>
      <c r="FV3138" s="145"/>
      <c r="FW3138" s="145"/>
      <c r="FX3138" s="145"/>
      <c r="FY3138" s="145"/>
      <c r="FZ3138" s="145"/>
      <c r="GA3138" s="145"/>
      <c r="GB3138" s="145"/>
      <c r="GC3138" s="145"/>
      <c r="GD3138" s="145"/>
      <c r="GE3138" s="145"/>
      <c r="GF3138" s="145"/>
      <c r="GG3138" s="145"/>
      <c r="GH3138" s="145"/>
      <c r="GI3138" s="145"/>
      <c r="GJ3138" s="145"/>
      <c r="GK3138" s="145"/>
      <c r="GL3138" s="145"/>
      <c r="GM3138" s="145"/>
      <c r="GN3138" s="145"/>
      <c r="GO3138" s="145"/>
      <c r="GP3138" s="145"/>
      <c r="GQ3138" s="145"/>
      <c r="GR3138" s="145"/>
      <c r="GS3138" s="145"/>
      <c r="GT3138" s="145"/>
      <c r="GU3138" s="145"/>
      <c r="GV3138" s="145"/>
      <c r="GW3138" s="145"/>
      <c r="GX3138" s="145"/>
      <c r="GY3138" s="145"/>
      <c r="GZ3138" s="145"/>
      <c r="HA3138" s="145"/>
      <c r="HB3138" s="145"/>
      <c r="HC3138" s="145"/>
      <c r="HD3138" s="145"/>
      <c r="HE3138" s="145"/>
      <c r="HF3138" s="145"/>
    </row>
    <row r="3139" spans="1:214" x14ac:dyDescent="0.35">
      <c r="A3139" s="277">
        <v>80</v>
      </c>
      <c r="B3139" s="277"/>
      <c r="C3139" s="266"/>
      <c r="D3139" s="287"/>
      <c r="E3139" s="276"/>
      <c r="F3139" s="276"/>
      <c r="G3139" s="277"/>
      <c r="H3139" s="136" t="s">
        <v>75</v>
      </c>
      <c r="I3139" s="181">
        <f>D3137*K3139</f>
        <v>251717.4</v>
      </c>
      <c r="J3139" s="181">
        <f>I3139/D3137</f>
        <v>99</v>
      </c>
      <c r="K3139" s="181">
        <v>99</v>
      </c>
    </row>
    <row r="3140" spans="1:214" x14ac:dyDescent="0.35">
      <c r="A3140" s="277">
        <f>A3137+1</f>
        <v>69</v>
      </c>
      <c r="B3140" s="277">
        <v>2315</v>
      </c>
      <c r="C3140" s="266" t="s">
        <v>149</v>
      </c>
      <c r="D3140" s="287">
        <v>669.5</v>
      </c>
      <c r="E3140" s="276" t="s">
        <v>79</v>
      </c>
      <c r="F3140" s="276">
        <v>2</v>
      </c>
      <c r="G3140" s="277" t="s">
        <v>71</v>
      </c>
      <c r="H3140" s="136" t="s">
        <v>72</v>
      </c>
      <c r="I3140" s="181">
        <f>I3141+I3142</f>
        <v>3897204.46</v>
      </c>
      <c r="J3140" s="181">
        <f>J3141+J3142</f>
        <v>5821.07</v>
      </c>
      <c r="K3140" s="181">
        <f>K3141+K3142</f>
        <v>7066</v>
      </c>
    </row>
    <row r="3141" spans="1:214" x14ac:dyDescent="0.35">
      <c r="A3141" s="277">
        <v>81</v>
      </c>
      <c r="B3141" s="277"/>
      <c r="C3141" s="266"/>
      <c r="D3141" s="287"/>
      <c r="E3141" s="276"/>
      <c r="F3141" s="276"/>
      <c r="G3141" s="277"/>
      <c r="H3141" s="136" t="s">
        <v>73</v>
      </c>
      <c r="I3141" s="181">
        <f>(3123291+46825.03)*1.02*1.18</f>
        <v>3815551.65</v>
      </c>
      <c r="J3141" s="181">
        <f>I3141/D3140</f>
        <v>5699.11</v>
      </c>
      <c r="K3141" s="181">
        <v>6918</v>
      </c>
      <c r="L3141" s="145"/>
      <c r="M3141" s="145"/>
      <c r="N3141" s="145"/>
      <c r="O3141" s="145"/>
      <c r="P3141" s="145"/>
      <c r="Q3141" s="145"/>
      <c r="R3141" s="145"/>
      <c r="S3141" s="145"/>
      <c r="T3141" s="145"/>
      <c r="U3141" s="145"/>
      <c r="V3141" s="145"/>
      <c r="W3141" s="145"/>
      <c r="X3141" s="145"/>
      <c r="Y3141" s="145"/>
      <c r="Z3141" s="145"/>
      <c r="AA3141" s="145"/>
      <c r="AB3141" s="145"/>
      <c r="AC3141" s="145"/>
      <c r="AD3141" s="145"/>
      <c r="AE3141" s="145"/>
      <c r="AF3141" s="145"/>
      <c r="AG3141" s="145"/>
      <c r="AH3141" s="145"/>
      <c r="AI3141" s="145"/>
      <c r="AJ3141" s="145"/>
      <c r="AK3141" s="145"/>
      <c r="AL3141" s="145"/>
      <c r="AM3141" s="145"/>
      <c r="AN3141" s="145"/>
      <c r="AO3141" s="145"/>
      <c r="AP3141" s="145"/>
      <c r="AQ3141" s="145"/>
      <c r="AR3141" s="145"/>
      <c r="AS3141" s="145"/>
      <c r="AT3141" s="145"/>
      <c r="AU3141" s="145"/>
      <c r="AV3141" s="145"/>
      <c r="AW3141" s="145"/>
      <c r="AX3141" s="145"/>
      <c r="AY3141" s="145"/>
      <c r="AZ3141" s="145"/>
      <c r="BA3141" s="145"/>
      <c r="BB3141" s="145"/>
      <c r="BC3141" s="145"/>
      <c r="BD3141" s="145"/>
      <c r="BE3141" s="145"/>
      <c r="BF3141" s="145"/>
      <c r="BG3141" s="145"/>
      <c r="BH3141" s="145"/>
      <c r="BI3141" s="145"/>
      <c r="BJ3141" s="145"/>
      <c r="BK3141" s="145"/>
      <c r="BL3141" s="145"/>
      <c r="BM3141" s="145"/>
      <c r="BN3141" s="145"/>
      <c r="BO3141" s="145"/>
      <c r="BP3141" s="145"/>
      <c r="BQ3141" s="145"/>
      <c r="BR3141" s="145"/>
      <c r="BS3141" s="145"/>
      <c r="BT3141" s="145"/>
      <c r="BU3141" s="145"/>
      <c r="BV3141" s="145"/>
      <c r="BW3141" s="145"/>
      <c r="BX3141" s="145"/>
      <c r="BY3141" s="145"/>
      <c r="BZ3141" s="145"/>
      <c r="CA3141" s="145"/>
      <c r="CB3141" s="145"/>
      <c r="CC3141" s="145"/>
      <c r="CD3141" s="145"/>
      <c r="CE3141" s="145"/>
      <c r="CF3141" s="145"/>
      <c r="CG3141" s="145"/>
      <c r="CH3141" s="145"/>
      <c r="CI3141" s="145"/>
      <c r="CJ3141" s="145"/>
      <c r="CK3141" s="145"/>
      <c r="CL3141" s="145"/>
      <c r="CM3141" s="145"/>
      <c r="CN3141" s="145"/>
      <c r="CO3141" s="145"/>
      <c r="CP3141" s="145"/>
      <c r="CQ3141" s="145"/>
      <c r="CR3141" s="145"/>
      <c r="CS3141" s="145"/>
      <c r="CT3141" s="145"/>
      <c r="CU3141" s="145"/>
      <c r="CV3141" s="145"/>
      <c r="CW3141" s="145"/>
      <c r="CX3141" s="145"/>
      <c r="CY3141" s="145"/>
      <c r="CZ3141" s="145"/>
      <c r="DA3141" s="145"/>
      <c r="DB3141" s="145"/>
      <c r="DC3141" s="145"/>
      <c r="DD3141" s="145"/>
      <c r="DE3141" s="145"/>
      <c r="DF3141" s="145"/>
      <c r="DG3141" s="145"/>
      <c r="DH3141" s="145"/>
      <c r="DI3141" s="145"/>
      <c r="DJ3141" s="145"/>
      <c r="DK3141" s="145"/>
      <c r="DL3141" s="145"/>
      <c r="DM3141" s="145"/>
      <c r="DN3141" s="145"/>
      <c r="DO3141" s="145"/>
      <c r="DP3141" s="145"/>
      <c r="DQ3141" s="145"/>
      <c r="DR3141" s="145"/>
      <c r="DS3141" s="145"/>
      <c r="DT3141" s="145"/>
      <c r="DU3141" s="145"/>
      <c r="DV3141" s="145"/>
      <c r="DW3141" s="145"/>
      <c r="DX3141" s="145"/>
      <c r="DY3141" s="145"/>
      <c r="DZ3141" s="145"/>
      <c r="EA3141" s="145"/>
      <c r="EB3141" s="145"/>
      <c r="EC3141" s="145"/>
      <c r="ED3141" s="145"/>
      <c r="EE3141" s="145"/>
      <c r="EF3141" s="145"/>
      <c r="EG3141" s="145"/>
      <c r="EH3141" s="145"/>
      <c r="EI3141" s="145"/>
      <c r="EJ3141" s="145"/>
      <c r="EK3141" s="145"/>
      <c r="EL3141" s="145"/>
      <c r="EM3141" s="145"/>
      <c r="EN3141" s="145"/>
      <c r="EO3141" s="145"/>
      <c r="EP3141" s="145"/>
      <c r="EQ3141" s="145"/>
      <c r="ER3141" s="145"/>
      <c r="ES3141" s="145"/>
      <c r="ET3141" s="145"/>
      <c r="EU3141" s="145"/>
      <c r="EV3141" s="145"/>
      <c r="EW3141" s="145"/>
      <c r="EX3141" s="145"/>
      <c r="EY3141" s="145"/>
      <c r="EZ3141" s="145"/>
      <c r="FA3141" s="145"/>
      <c r="FB3141" s="145"/>
      <c r="FC3141" s="145"/>
      <c r="FD3141" s="145"/>
      <c r="FE3141" s="145"/>
      <c r="FF3141" s="145"/>
      <c r="FG3141" s="145"/>
      <c r="FH3141" s="145"/>
      <c r="FI3141" s="145"/>
      <c r="FJ3141" s="145"/>
      <c r="FK3141" s="145"/>
      <c r="FL3141" s="145"/>
      <c r="FM3141" s="145"/>
      <c r="FN3141" s="145"/>
      <c r="FO3141" s="145"/>
      <c r="FP3141" s="145"/>
      <c r="FQ3141" s="145"/>
      <c r="FR3141" s="145"/>
      <c r="FS3141" s="145"/>
      <c r="FT3141" s="145"/>
      <c r="FU3141" s="145"/>
      <c r="FV3141" s="145"/>
      <c r="FW3141" s="145"/>
      <c r="FX3141" s="145"/>
      <c r="FY3141" s="145"/>
      <c r="FZ3141" s="145"/>
      <c r="GA3141" s="145"/>
      <c r="GB3141" s="145"/>
      <c r="GC3141" s="145"/>
      <c r="GD3141" s="145"/>
      <c r="GE3141" s="145"/>
      <c r="GF3141" s="145"/>
      <c r="GG3141" s="145"/>
      <c r="GH3141" s="145"/>
      <c r="GI3141" s="145"/>
      <c r="GJ3141" s="145"/>
      <c r="GK3141" s="145"/>
      <c r="GL3141" s="145"/>
      <c r="GM3141" s="145"/>
      <c r="GN3141" s="145"/>
      <c r="GO3141" s="145"/>
      <c r="GP3141" s="145"/>
      <c r="GQ3141" s="145"/>
      <c r="GR3141" s="145"/>
      <c r="GS3141" s="145"/>
      <c r="GT3141" s="145"/>
      <c r="GU3141" s="145"/>
      <c r="GV3141" s="145"/>
      <c r="GW3141" s="145"/>
      <c r="GX3141" s="145"/>
      <c r="GY3141" s="145"/>
      <c r="GZ3141" s="145"/>
      <c r="HA3141" s="145"/>
      <c r="HB3141" s="145"/>
      <c r="HC3141" s="145"/>
      <c r="HD3141" s="145"/>
      <c r="HE3141" s="145"/>
      <c r="HF3141" s="145"/>
    </row>
    <row r="3142" spans="1:214" x14ac:dyDescent="0.35">
      <c r="A3142" s="277">
        <v>82</v>
      </c>
      <c r="B3142" s="277"/>
      <c r="C3142" s="266"/>
      <c r="D3142" s="287"/>
      <c r="E3142" s="276"/>
      <c r="F3142" s="276"/>
      <c r="G3142" s="277"/>
      <c r="H3142" s="136" t="s">
        <v>75</v>
      </c>
      <c r="I3142" s="181">
        <f>(3123291+46825.03)*1.02*1.18*0.0214</f>
        <v>81652.81</v>
      </c>
      <c r="J3142" s="181">
        <f>I3142/D3140</f>
        <v>121.96</v>
      </c>
      <c r="K3142" s="181">
        <v>148</v>
      </c>
      <c r="L3142" s="145"/>
      <c r="M3142" s="145"/>
      <c r="N3142" s="145"/>
      <c r="O3142" s="145"/>
      <c r="P3142" s="145"/>
      <c r="Q3142" s="145"/>
      <c r="R3142" s="145"/>
      <c r="S3142" s="145"/>
      <c r="T3142" s="145"/>
      <c r="U3142" s="145"/>
      <c r="V3142" s="145"/>
      <c r="W3142" s="145"/>
      <c r="X3142" s="145"/>
      <c r="Y3142" s="145"/>
      <c r="Z3142" s="145"/>
      <c r="AA3142" s="145"/>
      <c r="AB3142" s="145"/>
      <c r="AC3142" s="145"/>
      <c r="AD3142" s="145"/>
      <c r="AE3142" s="145"/>
      <c r="AF3142" s="145"/>
      <c r="AG3142" s="145"/>
      <c r="AH3142" s="145"/>
      <c r="AI3142" s="145"/>
      <c r="AJ3142" s="145"/>
      <c r="AK3142" s="145"/>
      <c r="AL3142" s="145"/>
      <c r="AM3142" s="145"/>
      <c r="AN3142" s="145"/>
      <c r="AO3142" s="145"/>
      <c r="AP3142" s="145"/>
      <c r="AQ3142" s="145"/>
      <c r="AR3142" s="145"/>
      <c r="AS3142" s="145"/>
      <c r="AT3142" s="145"/>
      <c r="AU3142" s="145"/>
      <c r="AV3142" s="145"/>
      <c r="AW3142" s="145"/>
      <c r="AX3142" s="145"/>
      <c r="AY3142" s="145"/>
      <c r="AZ3142" s="145"/>
      <c r="BA3142" s="145"/>
      <c r="BB3142" s="145"/>
      <c r="BC3142" s="145"/>
      <c r="BD3142" s="145"/>
      <c r="BE3142" s="145"/>
      <c r="BF3142" s="145"/>
      <c r="BG3142" s="145"/>
      <c r="BH3142" s="145"/>
      <c r="BI3142" s="145"/>
      <c r="BJ3142" s="145"/>
      <c r="BK3142" s="145"/>
      <c r="BL3142" s="145"/>
      <c r="BM3142" s="145"/>
      <c r="BN3142" s="145"/>
      <c r="BO3142" s="145"/>
      <c r="BP3142" s="145"/>
      <c r="BQ3142" s="145"/>
      <c r="BR3142" s="145"/>
      <c r="BS3142" s="145"/>
      <c r="BT3142" s="145"/>
      <c r="BU3142" s="145"/>
      <c r="BV3142" s="145"/>
      <c r="BW3142" s="145"/>
      <c r="BX3142" s="145"/>
      <c r="BY3142" s="145"/>
      <c r="BZ3142" s="145"/>
      <c r="CA3142" s="145"/>
      <c r="CB3142" s="145"/>
      <c r="CC3142" s="145"/>
      <c r="CD3142" s="145"/>
      <c r="CE3142" s="145"/>
      <c r="CF3142" s="145"/>
      <c r="CG3142" s="145"/>
      <c r="CH3142" s="145"/>
      <c r="CI3142" s="145"/>
      <c r="CJ3142" s="145"/>
      <c r="CK3142" s="145"/>
      <c r="CL3142" s="145"/>
      <c r="CM3142" s="145"/>
      <c r="CN3142" s="145"/>
      <c r="CO3142" s="145"/>
      <c r="CP3142" s="145"/>
      <c r="CQ3142" s="145"/>
      <c r="CR3142" s="145"/>
      <c r="CS3142" s="145"/>
      <c r="CT3142" s="145"/>
      <c r="CU3142" s="145"/>
      <c r="CV3142" s="145"/>
      <c r="CW3142" s="145"/>
      <c r="CX3142" s="145"/>
      <c r="CY3142" s="145"/>
      <c r="CZ3142" s="145"/>
      <c r="DA3142" s="145"/>
      <c r="DB3142" s="145"/>
      <c r="DC3142" s="145"/>
      <c r="DD3142" s="145"/>
      <c r="DE3142" s="145"/>
      <c r="DF3142" s="145"/>
      <c r="DG3142" s="145"/>
      <c r="DH3142" s="145"/>
      <c r="DI3142" s="145"/>
      <c r="DJ3142" s="145"/>
      <c r="DK3142" s="145"/>
      <c r="DL3142" s="145"/>
      <c r="DM3142" s="145"/>
      <c r="DN3142" s="145"/>
      <c r="DO3142" s="145"/>
      <c r="DP3142" s="145"/>
      <c r="DQ3142" s="145"/>
      <c r="DR3142" s="145"/>
      <c r="DS3142" s="145"/>
      <c r="DT3142" s="145"/>
      <c r="DU3142" s="145"/>
      <c r="DV3142" s="145"/>
      <c r="DW3142" s="145"/>
      <c r="DX3142" s="145"/>
      <c r="DY3142" s="145"/>
      <c r="DZ3142" s="145"/>
      <c r="EA3142" s="145"/>
      <c r="EB3142" s="145"/>
      <c r="EC3142" s="145"/>
      <c r="ED3142" s="145"/>
      <c r="EE3142" s="145"/>
      <c r="EF3142" s="145"/>
      <c r="EG3142" s="145"/>
      <c r="EH3142" s="145"/>
      <c r="EI3142" s="145"/>
      <c r="EJ3142" s="145"/>
      <c r="EK3142" s="145"/>
      <c r="EL3142" s="145"/>
      <c r="EM3142" s="145"/>
      <c r="EN3142" s="145"/>
      <c r="EO3142" s="145"/>
      <c r="EP3142" s="145"/>
      <c r="EQ3142" s="145"/>
      <c r="ER3142" s="145"/>
      <c r="ES3142" s="145"/>
      <c r="ET3142" s="145"/>
      <c r="EU3142" s="145"/>
      <c r="EV3142" s="145"/>
      <c r="EW3142" s="145"/>
      <c r="EX3142" s="145"/>
      <c r="EY3142" s="145"/>
      <c r="EZ3142" s="145"/>
      <c r="FA3142" s="145"/>
      <c r="FB3142" s="145"/>
      <c r="FC3142" s="145"/>
      <c r="FD3142" s="145"/>
      <c r="FE3142" s="145"/>
      <c r="FF3142" s="145"/>
      <c r="FG3142" s="145"/>
      <c r="FH3142" s="145"/>
      <c r="FI3142" s="145"/>
      <c r="FJ3142" s="145"/>
      <c r="FK3142" s="145"/>
      <c r="FL3142" s="145"/>
      <c r="FM3142" s="145"/>
      <c r="FN3142" s="145"/>
      <c r="FO3142" s="145"/>
      <c r="FP3142" s="145"/>
      <c r="FQ3142" s="145"/>
      <c r="FR3142" s="145"/>
      <c r="FS3142" s="145"/>
      <c r="FT3142" s="145"/>
      <c r="FU3142" s="145"/>
      <c r="FV3142" s="145"/>
      <c r="FW3142" s="145"/>
      <c r="FX3142" s="145"/>
      <c r="FY3142" s="145"/>
      <c r="FZ3142" s="145"/>
      <c r="GA3142" s="145"/>
      <c r="GB3142" s="145"/>
      <c r="GC3142" s="145"/>
      <c r="GD3142" s="145"/>
      <c r="GE3142" s="145"/>
      <c r="GF3142" s="145"/>
      <c r="GG3142" s="145"/>
      <c r="GH3142" s="145"/>
      <c r="GI3142" s="145"/>
      <c r="GJ3142" s="145"/>
      <c r="GK3142" s="145"/>
      <c r="GL3142" s="145"/>
      <c r="GM3142" s="145"/>
      <c r="GN3142" s="145"/>
      <c r="GO3142" s="145"/>
      <c r="GP3142" s="145"/>
      <c r="GQ3142" s="145"/>
      <c r="GR3142" s="145"/>
      <c r="GS3142" s="145"/>
      <c r="GT3142" s="145"/>
      <c r="GU3142" s="145"/>
      <c r="GV3142" s="145"/>
      <c r="GW3142" s="145"/>
      <c r="GX3142" s="145"/>
      <c r="GY3142" s="145"/>
      <c r="GZ3142" s="145"/>
      <c r="HA3142" s="145"/>
      <c r="HB3142" s="145"/>
      <c r="HC3142" s="145"/>
      <c r="HD3142" s="145"/>
      <c r="HE3142" s="145"/>
      <c r="HF3142" s="145"/>
    </row>
    <row r="3143" spans="1:214" x14ac:dyDescent="0.35">
      <c r="A3143" s="277">
        <f>A3140+1</f>
        <v>70</v>
      </c>
      <c r="B3143" s="277">
        <v>2911</v>
      </c>
      <c r="C3143" s="286" t="s">
        <v>426</v>
      </c>
      <c r="D3143" s="287">
        <v>170.5</v>
      </c>
      <c r="E3143" s="276" t="s">
        <v>79</v>
      </c>
      <c r="F3143" s="276">
        <v>2</v>
      </c>
      <c r="G3143" s="277" t="s">
        <v>71</v>
      </c>
      <c r="H3143" s="136" t="s">
        <v>72</v>
      </c>
      <c r="I3143" s="181">
        <f>I3144+I3145</f>
        <v>1255529.47</v>
      </c>
      <c r="J3143" s="181">
        <f>J3144+J3145</f>
        <v>7363.81</v>
      </c>
      <c r="K3143" s="181">
        <f>K3144+K3145</f>
        <v>12142</v>
      </c>
      <c r="L3143" s="145"/>
      <c r="M3143" s="145"/>
      <c r="N3143" s="145"/>
      <c r="O3143" s="145"/>
      <c r="P3143" s="145"/>
      <c r="Q3143" s="145"/>
      <c r="R3143" s="145"/>
      <c r="S3143" s="145"/>
      <c r="T3143" s="145"/>
      <c r="U3143" s="145"/>
      <c r="V3143" s="145"/>
      <c r="W3143" s="145"/>
      <c r="X3143" s="145"/>
      <c r="Y3143" s="145"/>
      <c r="Z3143" s="145"/>
      <c r="AA3143" s="145"/>
      <c r="AB3143" s="145"/>
      <c r="AC3143" s="145"/>
      <c r="AD3143" s="145"/>
      <c r="AE3143" s="145"/>
      <c r="AF3143" s="145"/>
      <c r="AG3143" s="145"/>
      <c r="AH3143" s="145"/>
      <c r="AI3143" s="145"/>
      <c r="AJ3143" s="145"/>
      <c r="AK3143" s="145"/>
      <c r="AL3143" s="145"/>
      <c r="AM3143" s="145"/>
      <c r="AN3143" s="145"/>
      <c r="AO3143" s="145"/>
      <c r="AP3143" s="145"/>
      <c r="AQ3143" s="145"/>
      <c r="AR3143" s="145"/>
      <c r="AS3143" s="145"/>
      <c r="AT3143" s="145"/>
      <c r="AU3143" s="145"/>
      <c r="AV3143" s="145"/>
      <c r="AW3143" s="145"/>
      <c r="AX3143" s="145"/>
      <c r="AY3143" s="145"/>
      <c r="AZ3143" s="145"/>
      <c r="BA3143" s="145"/>
      <c r="BB3143" s="145"/>
      <c r="BC3143" s="145"/>
      <c r="BD3143" s="145"/>
      <c r="BE3143" s="145"/>
      <c r="BF3143" s="145"/>
      <c r="BG3143" s="145"/>
      <c r="BH3143" s="145"/>
      <c r="BI3143" s="145"/>
      <c r="BJ3143" s="145"/>
      <c r="BK3143" s="145"/>
      <c r="BL3143" s="145"/>
      <c r="BM3143" s="145"/>
      <c r="BN3143" s="145"/>
      <c r="BO3143" s="145"/>
      <c r="BP3143" s="145"/>
      <c r="BQ3143" s="145"/>
      <c r="BR3143" s="145"/>
      <c r="BS3143" s="145"/>
      <c r="BT3143" s="145"/>
      <c r="BU3143" s="145"/>
      <c r="BV3143" s="145"/>
      <c r="BW3143" s="145"/>
      <c r="BX3143" s="145"/>
      <c r="BY3143" s="145"/>
      <c r="BZ3143" s="145"/>
      <c r="CA3143" s="145"/>
      <c r="CB3143" s="145"/>
      <c r="CC3143" s="145"/>
      <c r="CD3143" s="145"/>
      <c r="CE3143" s="145"/>
      <c r="CF3143" s="145"/>
      <c r="CG3143" s="145"/>
      <c r="CH3143" s="145"/>
      <c r="CI3143" s="145"/>
      <c r="CJ3143" s="145"/>
      <c r="CK3143" s="145"/>
      <c r="CL3143" s="145"/>
      <c r="CM3143" s="145"/>
      <c r="CN3143" s="145"/>
      <c r="CO3143" s="145"/>
      <c r="CP3143" s="145"/>
      <c r="CQ3143" s="145"/>
      <c r="CR3143" s="145"/>
      <c r="CS3143" s="145"/>
      <c r="CT3143" s="145"/>
      <c r="CU3143" s="145"/>
      <c r="CV3143" s="145"/>
      <c r="CW3143" s="145"/>
      <c r="CX3143" s="145"/>
      <c r="CY3143" s="145"/>
      <c r="CZ3143" s="145"/>
      <c r="DA3143" s="145"/>
      <c r="DB3143" s="145"/>
      <c r="DC3143" s="145"/>
      <c r="DD3143" s="145"/>
      <c r="DE3143" s="145"/>
      <c r="DF3143" s="145"/>
      <c r="DG3143" s="145"/>
      <c r="DH3143" s="145"/>
      <c r="DI3143" s="145"/>
      <c r="DJ3143" s="145"/>
      <c r="DK3143" s="145"/>
      <c r="DL3143" s="145"/>
      <c r="DM3143" s="145"/>
      <c r="DN3143" s="145"/>
      <c r="DO3143" s="145"/>
      <c r="DP3143" s="145"/>
      <c r="DQ3143" s="145"/>
      <c r="DR3143" s="145"/>
      <c r="DS3143" s="145"/>
      <c r="DT3143" s="145"/>
      <c r="DU3143" s="145"/>
      <c r="DV3143" s="145"/>
      <c r="DW3143" s="145"/>
      <c r="DX3143" s="145"/>
      <c r="DY3143" s="145"/>
      <c r="DZ3143" s="145"/>
      <c r="EA3143" s="145"/>
      <c r="EB3143" s="145"/>
      <c r="EC3143" s="145"/>
      <c r="ED3143" s="145"/>
      <c r="EE3143" s="145"/>
      <c r="EF3143" s="145"/>
      <c r="EG3143" s="145"/>
      <c r="EH3143" s="145"/>
      <c r="EI3143" s="145"/>
      <c r="EJ3143" s="145"/>
      <c r="EK3143" s="145"/>
      <c r="EL3143" s="145"/>
      <c r="EM3143" s="145"/>
      <c r="EN3143" s="145"/>
      <c r="EO3143" s="145"/>
      <c r="EP3143" s="145"/>
      <c r="EQ3143" s="145"/>
      <c r="ER3143" s="145"/>
      <c r="ES3143" s="145"/>
      <c r="ET3143" s="145"/>
      <c r="EU3143" s="145"/>
      <c r="EV3143" s="145"/>
      <c r="EW3143" s="145"/>
      <c r="EX3143" s="145"/>
      <c r="EY3143" s="145"/>
      <c r="EZ3143" s="145"/>
      <c r="FA3143" s="145"/>
      <c r="FB3143" s="145"/>
      <c r="FC3143" s="145"/>
      <c r="FD3143" s="145"/>
      <c r="FE3143" s="145"/>
      <c r="FF3143" s="145"/>
      <c r="FG3143" s="145"/>
      <c r="FH3143" s="145"/>
      <c r="FI3143" s="145"/>
      <c r="FJ3143" s="145"/>
      <c r="FK3143" s="145"/>
      <c r="FL3143" s="145"/>
      <c r="FM3143" s="145"/>
      <c r="FN3143" s="145"/>
      <c r="FO3143" s="145"/>
      <c r="FP3143" s="145"/>
      <c r="FQ3143" s="145"/>
      <c r="FR3143" s="145"/>
      <c r="FS3143" s="145"/>
      <c r="FT3143" s="145"/>
      <c r="FU3143" s="145"/>
      <c r="FV3143" s="145"/>
      <c r="FW3143" s="145"/>
      <c r="FX3143" s="145"/>
      <c r="FY3143" s="145"/>
      <c r="FZ3143" s="145"/>
      <c r="GA3143" s="145"/>
      <c r="GB3143" s="145"/>
      <c r="GC3143" s="145"/>
      <c r="GD3143" s="145"/>
      <c r="GE3143" s="145"/>
      <c r="GF3143" s="145"/>
      <c r="GG3143" s="145"/>
      <c r="GH3143" s="145"/>
      <c r="GI3143" s="145"/>
      <c r="GJ3143" s="145"/>
      <c r="GK3143" s="145"/>
      <c r="GL3143" s="145"/>
      <c r="GM3143" s="145"/>
      <c r="GN3143" s="145"/>
      <c r="GO3143" s="145"/>
      <c r="GP3143" s="145"/>
      <c r="GQ3143" s="145"/>
      <c r="GR3143" s="145"/>
      <c r="GS3143" s="145"/>
      <c r="GT3143" s="145"/>
      <c r="GU3143" s="145"/>
      <c r="GV3143" s="145"/>
      <c r="GW3143" s="145"/>
      <c r="GX3143" s="145"/>
      <c r="GY3143" s="145"/>
      <c r="GZ3143" s="145"/>
      <c r="HA3143" s="145"/>
      <c r="HB3143" s="145"/>
      <c r="HC3143" s="145"/>
      <c r="HD3143" s="145"/>
      <c r="HE3143" s="145"/>
      <c r="HF3143" s="145"/>
    </row>
    <row r="3144" spans="1:214" x14ac:dyDescent="0.35">
      <c r="A3144" s="277">
        <v>75</v>
      </c>
      <c r="B3144" s="277"/>
      <c r="C3144" s="286"/>
      <c r="D3144" s="287"/>
      <c r="E3144" s="276"/>
      <c r="F3144" s="276"/>
      <c r="G3144" s="277"/>
      <c r="H3144" s="136" t="s">
        <v>73</v>
      </c>
      <c r="I3144" s="181">
        <f>1740406.8*0.7</f>
        <v>1218284.76</v>
      </c>
      <c r="J3144" s="181">
        <f>I3144/D3143</f>
        <v>7145.37</v>
      </c>
      <c r="K3144" s="181">
        <v>11888</v>
      </c>
    </row>
    <row r="3145" spans="1:214" x14ac:dyDescent="0.35">
      <c r="A3145" s="277"/>
      <c r="B3145" s="277"/>
      <c r="C3145" s="286"/>
      <c r="D3145" s="287"/>
      <c r="E3145" s="276"/>
      <c r="F3145" s="276"/>
      <c r="G3145" s="277"/>
      <c r="H3145" s="136" t="s">
        <v>75</v>
      </c>
      <c r="I3145" s="181">
        <f>1740406.8*0.0214</f>
        <v>37244.71</v>
      </c>
      <c r="J3145" s="181">
        <f>I3145/D3143</f>
        <v>218.44</v>
      </c>
      <c r="K3145" s="181">
        <v>254</v>
      </c>
    </row>
    <row r="3146" spans="1:214" x14ac:dyDescent="0.35">
      <c r="A3146" s="277">
        <f>A3143+1</f>
        <v>71</v>
      </c>
      <c r="B3146" s="277">
        <v>2482</v>
      </c>
      <c r="C3146" s="266" t="s">
        <v>150</v>
      </c>
      <c r="D3146" s="287">
        <v>949.1</v>
      </c>
      <c r="E3146" s="276" t="s">
        <v>79</v>
      </c>
      <c r="F3146" s="276">
        <v>3</v>
      </c>
      <c r="G3146" s="277" t="s">
        <v>71</v>
      </c>
      <c r="H3146" s="136" t="s">
        <v>72</v>
      </c>
      <c r="I3146" s="181">
        <f>I3147+I3148</f>
        <v>4487344.8</v>
      </c>
      <c r="J3146" s="181">
        <f>J3147+J3148</f>
        <v>4728</v>
      </c>
      <c r="K3146" s="181">
        <f>K3147+K3148</f>
        <v>4728</v>
      </c>
    </row>
    <row r="3147" spans="1:214" x14ac:dyDescent="0.35">
      <c r="A3147" s="277">
        <v>83</v>
      </c>
      <c r="B3147" s="277"/>
      <c r="C3147" s="266"/>
      <c r="D3147" s="287"/>
      <c r="E3147" s="276"/>
      <c r="F3147" s="276"/>
      <c r="G3147" s="277"/>
      <c r="H3147" s="136" t="s">
        <v>73</v>
      </c>
      <c r="I3147" s="181">
        <f>D3146*K3147</f>
        <v>4393383.9000000004</v>
      </c>
      <c r="J3147" s="181">
        <f>I3147/D3146</f>
        <v>4629</v>
      </c>
      <c r="K3147" s="181">
        <v>4629</v>
      </c>
    </row>
    <row r="3148" spans="1:214" x14ac:dyDescent="0.35">
      <c r="A3148" s="277">
        <v>84</v>
      </c>
      <c r="B3148" s="277"/>
      <c r="C3148" s="266"/>
      <c r="D3148" s="287"/>
      <c r="E3148" s="276"/>
      <c r="F3148" s="276"/>
      <c r="G3148" s="277"/>
      <c r="H3148" s="136" t="s">
        <v>75</v>
      </c>
      <c r="I3148" s="181">
        <f>D3146*K3148</f>
        <v>93960.9</v>
      </c>
      <c r="J3148" s="181">
        <f>I3148/D3146</f>
        <v>99</v>
      </c>
      <c r="K3148" s="181">
        <v>99</v>
      </c>
    </row>
    <row r="3149" spans="1:214" x14ac:dyDescent="0.35">
      <c r="A3149" s="209" t="s">
        <v>36</v>
      </c>
      <c r="B3149" s="209"/>
      <c r="C3149" s="210"/>
      <c r="D3149" s="166">
        <f>D3150</f>
        <v>650.34</v>
      </c>
      <c r="E3149" s="181"/>
      <c r="F3149" s="181"/>
      <c r="G3149" s="181"/>
      <c r="H3149" s="137"/>
      <c r="I3149" s="181">
        <f>I3150</f>
        <v>3708774.72</v>
      </c>
      <c r="J3149" s="181"/>
      <c r="K3149" s="181"/>
    </row>
    <row r="3150" spans="1:214" x14ac:dyDescent="0.35">
      <c r="A3150" s="270">
        <v>1</v>
      </c>
      <c r="B3150" s="270">
        <v>4837</v>
      </c>
      <c r="C3150" s="278" t="s">
        <v>632</v>
      </c>
      <c r="D3150" s="273">
        <v>650.34</v>
      </c>
      <c r="E3150" s="273" t="s">
        <v>74</v>
      </c>
      <c r="F3150" s="282">
        <v>2</v>
      </c>
      <c r="G3150" s="270" t="s">
        <v>71</v>
      </c>
      <c r="H3150" s="136" t="s">
        <v>72</v>
      </c>
      <c r="I3150" s="181">
        <f>I3151+I3152</f>
        <v>3708774.72</v>
      </c>
      <c r="J3150" s="181">
        <f>J3151+J3152</f>
        <v>5702.82</v>
      </c>
      <c r="K3150" s="181">
        <f>K3151+K3152</f>
        <v>7066</v>
      </c>
    </row>
    <row r="3151" spans="1:214" x14ac:dyDescent="0.35">
      <c r="A3151" s="271">
        <v>15</v>
      </c>
      <c r="B3151" s="271"/>
      <c r="C3151" s="279"/>
      <c r="D3151" s="274"/>
      <c r="E3151" s="274"/>
      <c r="F3151" s="283"/>
      <c r="G3151" s="271"/>
      <c r="H3151" s="136" t="s">
        <v>73</v>
      </c>
      <c r="I3151" s="181">
        <f>3631069.83</f>
        <v>3631069.83</v>
      </c>
      <c r="J3151" s="181">
        <f>I3151/D3150</f>
        <v>5583.34</v>
      </c>
      <c r="K3151" s="181">
        <v>6918</v>
      </c>
    </row>
    <row r="3152" spans="1:214" x14ac:dyDescent="0.35">
      <c r="A3152" s="272">
        <v>16</v>
      </c>
      <c r="B3152" s="272"/>
      <c r="C3152" s="285"/>
      <c r="D3152" s="275"/>
      <c r="E3152" s="275"/>
      <c r="F3152" s="284"/>
      <c r="G3152" s="272"/>
      <c r="H3152" s="136" t="s">
        <v>75</v>
      </c>
      <c r="I3152" s="181">
        <f>3631069.83*0.0214</f>
        <v>77704.89</v>
      </c>
      <c r="J3152" s="181">
        <f>I3152/D3150</f>
        <v>119.48</v>
      </c>
      <c r="K3152" s="181">
        <v>148</v>
      </c>
    </row>
    <row r="3153" spans="1:11" x14ac:dyDescent="0.35">
      <c r="A3153" s="168" t="s">
        <v>37</v>
      </c>
      <c r="B3153" s="168"/>
      <c r="C3153" s="170"/>
      <c r="D3153" s="181">
        <f>D3154+D3159</f>
        <v>816.48</v>
      </c>
      <c r="E3153" s="181"/>
      <c r="F3153" s="174"/>
      <c r="G3153" s="166"/>
      <c r="H3153" s="164"/>
      <c r="I3153" s="181">
        <f>I3154+I3159</f>
        <v>7750028.1600000001</v>
      </c>
      <c r="J3153" s="181"/>
      <c r="K3153" s="181"/>
    </row>
    <row r="3154" spans="1:11" x14ac:dyDescent="0.35">
      <c r="A3154" s="305">
        <v>1</v>
      </c>
      <c r="B3154" s="305">
        <v>7309</v>
      </c>
      <c r="C3154" s="308" t="s">
        <v>693</v>
      </c>
      <c r="D3154" s="273">
        <v>527.49</v>
      </c>
      <c r="E3154" s="273" t="s">
        <v>633</v>
      </c>
      <c r="F3154" s="282">
        <v>2</v>
      </c>
      <c r="G3154" s="270" t="s">
        <v>84</v>
      </c>
      <c r="H3154" s="136" t="s">
        <v>72</v>
      </c>
      <c r="I3154" s="181">
        <f>+I3155+I3156+I3157+I3158</f>
        <v>5006935.08</v>
      </c>
      <c r="J3154" s="181">
        <f>+J3155+J3156+J3157+J3158</f>
        <v>9492</v>
      </c>
      <c r="K3154" s="181">
        <f>+K3155+K3156+K3157+K3158</f>
        <v>9492</v>
      </c>
    </row>
    <row r="3155" spans="1:11" x14ac:dyDescent="0.35">
      <c r="A3155" s="306"/>
      <c r="B3155" s="306"/>
      <c r="C3155" s="309"/>
      <c r="D3155" s="274"/>
      <c r="E3155" s="274"/>
      <c r="F3155" s="283"/>
      <c r="G3155" s="271"/>
      <c r="H3155" s="136" t="s">
        <v>73</v>
      </c>
      <c r="I3155" s="181">
        <f>K3155*D3154</f>
        <v>2768267.52</v>
      </c>
      <c r="J3155" s="181">
        <f>I3155/D3154</f>
        <v>5248</v>
      </c>
      <c r="K3155" s="181">
        <v>5248</v>
      </c>
    </row>
    <row r="3156" spans="1:11" x14ac:dyDescent="0.35">
      <c r="A3156" s="306"/>
      <c r="B3156" s="306"/>
      <c r="C3156" s="309"/>
      <c r="D3156" s="274"/>
      <c r="E3156" s="274"/>
      <c r="F3156" s="283"/>
      <c r="G3156" s="271"/>
      <c r="H3156" s="136" t="s">
        <v>75</v>
      </c>
      <c r="I3156" s="181">
        <f>K3156*D3154</f>
        <v>59078.879999999997</v>
      </c>
      <c r="J3156" s="181">
        <f>I3156/D3154</f>
        <v>112</v>
      </c>
      <c r="K3156" s="181">
        <v>112</v>
      </c>
    </row>
    <row r="3157" spans="1:11" x14ac:dyDescent="0.35">
      <c r="A3157" s="306"/>
      <c r="B3157" s="306"/>
      <c r="C3157" s="309"/>
      <c r="D3157" s="274"/>
      <c r="E3157" s="274"/>
      <c r="F3157" s="283"/>
      <c r="G3157" s="271"/>
      <c r="H3157" s="136" t="s">
        <v>676</v>
      </c>
      <c r="I3157" s="181">
        <f>K3157*D3154</f>
        <v>2133697.0499999998</v>
      </c>
      <c r="J3157" s="181">
        <f>I3157/D3154</f>
        <v>4045</v>
      </c>
      <c r="K3157" s="181">
        <v>4045</v>
      </c>
    </row>
    <row r="3158" spans="1:11" x14ac:dyDescent="0.35">
      <c r="A3158" s="307"/>
      <c r="B3158" s="307"/>
      <c r="C3158" s="310"/>
      <c r="D3158" s="275"/>
      <c r="E3158" s="275"/>
      <c r="F3158" s="284"/>
      <c r="G3158" s="272"/>
      <c r="H3158" s="136" t="s">
        <v>75</v>
      </c>
      <c r="I3158" s="181">
        <f>K3158*D3154</f>
        <v>45891.63</v>
      </c>
      <c r="J3158" s="181">
        <f>I3158/D3154</f>
        <v>87</v>
      </c>
      <c r="K3158" s="181">
        <v>87</v>
      </c>
    </row>
    <row r="3159" spans="1:11" ht="15.5" customHeight="1" x14ac:dyDescent="0.35">
      <c r="A3159" s="305">
        <v>2</v>
      </c>
      <c r="B3159" s="305">
        <v>7336</v>
      </c>
      <c r="C3159" s="308" t="s">
        <v>692</v>
      </c>
      <c r="D3159" s="273">
        <v>288.99</v>
      </c>
      <c r="E3159" s="273" t="s">
        <v>633</v>
      </c>
      <c r="F3159" s="282">
        <v>2</v>
      </c>
      <c r="G3159" s="270" t="s">
        <v>84</v>
      </c>
      <c r="H3159" s="136" t="s">
        <v>72</v>
      </c>
      <c r="I3159" s="181">
        <f>I3160+I3161+I3162+I3163</f>
        <v>2743093.08</v>
      </c>
      <c r="J3159" s="181">
        <f>J3160+J3161+J3162+J3163</f>
        <v>9492</v>
      </c>
      <c r="K3159" s="181">
        <f>K3160+K3161+K3162+K3163</f>
        <v>9492</v>
      </c>
    </row>
    <row r="3160" spans="1:11" x14ac:dyDescent="0.35">
      <c r="A3160" s="306"/>
      <c r="B3160" s="306"/>
      <c r="C3160" s="309"/>
      <c r="D3160" s="274"/>
      <c r="E3160" s="274"/>
      <c r="F3160" s="283"/>
      <c r="G3160" s="271"/>
      <c r="H3160" s="136" t="s">
        <v>73</v>
      </c>
      <c r="I3160" s="181">
        <f>K3160*D3159</f>
        <v>1516619.52</v>
      </c>
      <c r="J3160" s="181">
        <f>I3160/D3159</f>
        <v>5248</v>
      </c>
      <c r="K3160" s="181">
        <v>5248</v>
      </c>
    </row>
    <row r="3161" spans="1:11" x14ac:dyDescent="0.35">
      <c r="A3161" s="306"/>
      <c r="B3161" s="306"/>
      <c r="C3161" s="309"/>
      <c r="D3161" s="274"/>
      <c r="E3161" s="274"/>
      <c r="F3161" s="283"/>
      <c r="G3161" s="271"/>
      <c r="H3161" s="136" t="s">
        <v>75</v>
      </c>
      <c r="I3161" s="181">
        <f>K3161*D3159</f>
        <v>32366.880000000001</v>
      </c>
      <c r="J3161" s="181">
        <f>I3161/D3159</f>
        <v>112</v>
      </c>
      <c r="K3161" s="181">
        <v>112</v>
      </c>
    </row>
    <row r="3162" spans="1:11" x14ac:dyDescent="0.35">
      <c r="A3162" s="306"/>
      <c r="B3162" s="306"/>
      <c r="C3162" s="309"/>
      <c r="D3162" s="274"/>
      <c r="E3162" s="274"/>
      <c r="F3162" s="283"/>
      <c r="G3162" s="271"/>
      <c r="H3162" s="136" t="s">
        <v>676</v>
      </c>
      <c r="I3162" s="181">
        <f>K3162*D3159</f>
        <v>1168964.55</v>
      </c>
      <c r="J3162" s="181">
        <f>I3162/D3159</f>
        <v>4045</v>
      </c>
      <c r="K3162" s="181">
        <v>4045</v>
      </c>
    </row>
    <row r="3163" spans="1:11" x14ac:dyDescent="0.35">
      <c r="A3163" s="307"/>
      <c r="B3163" s="307"/>
      <c r="C3163" s="310"/>
      <c r="D3163" s="275"/>
      <c r="E3163" s="275"/>
      <c r="F3163" s="284"/>
      <c r="G3163" s="272"/>
      <c r="H3163" s="136" t="s">
        <v>75</v>
      </c>
      <c r="I3163" s="181">
        <f>K3163*D3159</f>
        <v>25142.13</v>
      </c>
      <c r="J3163" s="181">
        <f>I3163/D3159</f>
        <v>87</v>
      </c>
      <c r="K3163" s="181">
        <v>87</v>
      </c>
    </row>
    <row r="3164" spans="1:11" x14ac:dyDescent="0.35">
      <c r="A3164" s="168" t="s">
        <v>39</v>
      </c>
      <c r="B3164" s="211"/>
      <c r="C3164" s="212"/>
      <c r="D3164" s="166">
        <f>D3165</f>
        <v>401.2</v>
      </c>
      <c r="E3164" s="166"/>
      <c r="F3164" s="166"/>
      <c r="G3164" s="166"/>
      <c r="H3164" s="164"/>
      <c r="I3164" s="166">
        <f>I3165</f>
        <v>2834879.2</v>
      </c>
      <c r="J3164" s="181"/>
      <c r="K3164" s="181"/>
    </row>
    <row r="3165" spans="1:11" x14ac:dyDescent="0.35">
      <c r="A3165" s="270">
        <v>1</v>
      </c>
      <c r="B3165" s="270">
        <v>6736</v>
      </c>
      <c r="C3165" s="278" t="s">
        <v>595</v>
      </c>
      <c r="D3165" s="273">
        <v>401.2</v>
      </c>
      <c r="E3165" s="273" t="s">
        <v>633</v>
      </c>
      <c r="F3165" s="282">
        <v>2</v>
      </c>
      <c r="G3165" s="270" t="s">
        <v>71</v>
      </c>
      <c r="H3165" s="136" t="s">
        <v>72</v>
      </c>
      <c r="I3165" s="181">
        <f>I3166+I3167</f>
        <v>2834879.2</v>
      </c>
      <c r="J3165" s="181">
        <f>J3166+J3167</f>
        <v>7066</v>
      </c>
      <c r="K3165" s="181">
        <f>K3166+K3167</f>
        <v>7066</v>
      </c>
    </row>
    <row r="3166" spans="1:11" x14ac:dyDescent="0.35">
      <c r="A3166" s="271">
        <v>1036</v>
      </c>
      <c r="B3166" s="271"/>
      <c r="C3166" s="279"/>
      <c r="D3166" s="274"/>
      <c r="E3166" s="274"/>
      <c r="F3166" s="283"/>
      <c r="G3166" s="271"/>
      <c r="H3166" s="136" t="s">
        <v>73</v>
      </c>
      <c r="I3166" s="181">
        <f>K3166*D3165</f>
        <v>2775501.6</v>
      </c>
      <c r="J3166" s="181">
        <f>I3166/D3165</f>
        <v>6918</v>
      </c>
      <c r="K3166" s="181">
        <v>6918</v>
      </c>
    </row>
    <row r="3167" spans="1:11" x14ac:dyDescent="0.35">
      <c r="A3167" s="272">
        <v>1037</v>
      </c>
      <c r="B3167" s="272"/>
      <c r="C3167" s="285"/>
      <c r="D3167" s="275"/>
      <c r="E3167" s="275"/>
      <c r="F3167" s="284"/>
      <c r="G3167" s="272"/>
      <c r="H3167" s="136" t="s">
        <v>75</v>
      </c>
      <c r="I3167" s="181">
        <f>K3167*D3165</f>
        <v>59377.599999999999</v>
      </c>
      <c r="J3167" s="181">
        <f>I3167/D3165</f>
        <v>148</v>
      </c>
      <c r="K3167" s="181">
        <v>148</v>
      </c>
    </row>
    <row r="3168" spans="1:11" x14ac:dyDescent="0.35">
      <c r="A3168" s="168" t="s">
        <v>40</v>
      </c>
      <c r="B3168" s="168"/>
      <c r="C3168" s="170"/>
      <c r="D3168" s="181">
        <f>D3169+D3172+D3175+D3178+D3181+D3184+D3187</f>
        <v>7755.4</v>
      </c>
      <c r="E3168" s="181"/>
      <c r="F3168" s="181"/>
      <c r="G3168" s="166"/>
      <c r="H3168" s="164"/>
      <c r="I3168" s="181">
        <f>I3169+I3172+I3175+I3178+I3181+I3184+I3187</f>
        <v>28228556.039999999</v>
      </c>
      <c r="J3168" s="181"/>
      <c r="K3168" s="181"/>
    </row>
    <row r="3169" spans="1:11" x14ac:dyDescent="0.35">
      <c r="A3169" s="270">
        <v>1</v>
      </c>
      <c r="B3169" s="277">
        <v>5598</v>
      </c>
      <c r="C3169" s="278" t="s">
        <v>597</v>
      </c>
      <c r="D3169" s="273">
        <v>430.4</v>
      </c>
      <c r="E3169" s="273" t="s">
        <v>633</v>
      </c>
      <c r="F3169" s="282">
        <v>2</v>
      </c>
      <c r="G3169" s="270" t="s">
        <v>71</v>
      </c>
      <c r="H3169" s="136" t="s">
        <v>72</v>
      </c>
      <c r="I3169" s="181">
        <f>I3170+I3171</f>
        <v>1880538.37</v>
      </c>
      <c r="J3169" s="181">
        <f>J3170+J3171</f>
        <v>4369.28</v>
      </c>
      <c r="K3169" s="181">
        <f>K3170+K3171</f>
        <v>7539</v>
      </c>
    </row>
    <row r="3170" spans="1:11" x14ac:dyDescent="0.35">
      <c r="A3170" s="271"/>
      <c r="B3170" s="277"/>
      <c r="C3170" s="279"/>
      <c r="D3170" s="274"/>
      <c r="E3170" s="274"/>
      <c r="F3170" s="283"/>
      <c r="G3170" s="271"/>
      <c r="H3170" s="136" t="s">
        <v>73</v>
      </c>
      <c r="I3170" s="181">
        <f>2606790.08*0.7</f>
        <v>1824753.06</v>
      </c>
      <c r="J3170" s="181">
        <f>I3170/D3169</f>
        <v>4239.67</v>
      </c>
      <c r="K3170" s="181">
        <v>7381</v>
      </c>
    </row>
    <row r="3171" spans="1:11" x14ac:dyDescent="0.35">
      <c r="A3171" s="272"/>
      <c r="B3171" s="277"/>
      <c r="C3171" s="285"/>
      <c r="D3171" s="275"/>
      <c r="E3171" s="275"/>
      <c r="F3171" s="284"/>
      <c r="G3171" s="272"/>
      <c r="H3171" s="136" t="s">
        <v>75</v>
      </c>
      <c r="I3171" s="181">
        <f>2606790.08*0.0214</f>
        <v>55785.31</v>
      </c>
      <c r="J3171" s="181">
        <f>I3171/D3169</f>
        <v>129.61000000000001</v>
      </c>
      <c r="K3171" s="181">
        <v>158</v>
      </c>
    </row>
    <row r="3172" spans="1:11" x14ac:dyDescent="0.35">
      <c r="A3172" s="270">
        <f>A3169+1</f>
        <v>2</v>
      </c>
      <c r="B3172" s="277">
        <v>5398</v>
      </c>
      <c r="C3172" s="278" t="s">
        <v>598</v>
      </c>
      <c r="D3172" s="273">
        <v>474.6</v>
      </c>
      <c r="E3172" s="273" t="s">
        <v>633</v>
      </c>
      <c r="F3172" s="282">
        <v>2</v>
      </c>
      <c r="G3172" s="270" t="s">
        <v>71</v>
      </c>
      <c r="H3172" s="136" t="s">
        <v>72</v>
      </c>
      <c r="I3172" s="181">
        <f>I3173+I3174</f>
        <v>2762081.8</v>
      </c>
      <c r="J3172" s="181">
        <f>J3173+J3174</f>
        <v>5819.81</v>
      </c>
      <c r="K3172" s="181">
        <f>K3173+K3174</f>
        <v>7539</v>
      </c>
    </row>
    <row r="3173" spans="1:11" x14ac:dyDescent="0.35">
      <c r="A3173" s="271"/>
      <c r="B3173" s="277"/>
      <c r="C3173" s="279"/>
      <c r="D3173" s="274"/>
      <c r="E3173" s="274"/>
      <c r="F3173" s="283"/>
      <c r="G3173" s="271"/>
      <c r="H3173" s="136" t="s">
        <v>73</v>
      </c>
      <c r="I3173" s="181">
        <f>(2238482+8287.42)*1.02*1.18</f>
        <v>2704211.67</v>
      </c>
      <c r="J3173" s="181">
        <f>I3173/D3172</f>
        <v>5697.88</v>
      </c>
      <c r="K3173" s="181">
        <v>7381</v>
      </c>
    </row>
    <row r="3174" spans="1:11" x14ac:dyDescent="0.35">
      <c r="A3174" s="272"/>
      <c r="B3174" s="277"/>
      <c r="C3174" s="285"/>
      <c r="D3174" s="275"/>
      <c r="E3174" s="275"/>
      <c r="F3174" s="284"/>
      <c r="G3174" s="272"/>
      <c r="H3174" s="136" t="s">
        <v>75</v>
      </c>
      <c r="I3174" s="181">
        <f>I3173*0.0214</f>
        <v>57870.13</v>
      </c>
      <c r="J3174" s="181">
        <f>I3174/D3172</f>
        <v>121.93</v>
      </c>
      <c r="K3174" s="181">
        <v>158</v>
      </c>
    </row>
    <row r="3175" spans="1:11" x14ac:dyDescent="0.35">
      <c r="A3175" s="270">
        <f>A3172+1</f>
        <v>3</v>
      </c>
      <c r="B3175" s="270">
        <v>5399</v>
      </c>
      <c r="C3175" s="278" t="s">
        <v>599</v>
      </c>
      <c r="D3175" s="273">
        <v>413</v>
      </c>
      <c r="E3175" s="270" t="s">
        <v>633</v>
      </c>
      <c r="F3175" s="270">
        <v>2</v>
      </c>
      <c r="G3175" s="270" t="s">
        <v>71</v>
      </c>
      <c r="H3175" s="136" t="s">
        <v>72</v>
      </c>
      <c r="I3175" s="181">
        <f>I3176+I3177</f>
        <v>1857203.67</v>
      </c>
      <c r="J3175" s="181">
        <f>J3176+J3177</f>
        <v>4496.8599999999997</v>
      </c>
      <c r="K3175" s="181">
        <f>K3176+K3177</f>
        <v>7539</v>
      </c>
    </row>
    <row r="3176" spans="1:11" x14ac:dyDescent="0.35">
      <c r="A3176" s="271"/>
      <c r="B3176" s="271"/>
      <c r="C3176" s="279"/>
      <c r="D3176" s="274"/>
      <c r="E3176" s="271"/>
      <c r="F3176" s="271"/>
      <c r="G3176" s="271"/>
      <c r="H3176" s="136" t="s">
        <v>73</v>
      </c>
      <c r="I3176" s="181">
        <f>2574443.69*0.7</f>
        <v>1802110.58</v>
      </c>
      <c r="J3176" s="181">
        <f>I3176/D3175</f>
        <v>4363.46</v>
      </c>
      <c r="K3176" s="181">
        <v>7381</v>
      </c>
    </row>
    <row r="3177" spans="1:11" x14ac:dyDescent="0.35">
      <c r="A3177" s="272"/>
      <c r="B3177" s="272"/>
      <c r="C3177" s="285"/>
      <c r="D3177" s="275"/>
      <c r="E3177" s="272"/>
      <c r="F3177" s="272"/>
      <c r="G3177" s="272"/>
      <c r="H3177" s="136" t="s">
        <v>75</v>
      </c>
      <c r="I3177" s="181">
        <f>2574443.69*2.14/100</f>
        <v>55093.09</v>
      </c>
      <c r="J3177" s="181">
        <f>I3177/D3175</f>
        <v>133.4</v>
      </c>
      <c r="K3177" s="181">
        <v>158</v>
      </c>
    </row>
    <row r="3178" spans="1:11" x14ac:dyDescent="0.35">
      <c r="A3178" s="270">
        <f>A3175+1</f>
        <v>4</v>
      </c>
      <c r="B3178" s="277">
        <v>5412</v>
      </c>
      <c r="C3178" s="278" t="s">
        <v>600</v>
      </c>
      <c r="D3178" s="273">
        <v>442</v>
      </c>
      <c r="E3178" s="273" t="s">
        <v>633</v>
      </c>
      <c r="F3178" s="282">
        <v>2</v>
      </c>
      <c r="G3178" s="270" t="s">
        <v>71</v>
      </c>
      <c r="H3178" s="136" t="s">
        <v>72</v>
      </c>
      <c r="I3178" s="181">
        <f>I3179+I3180</f>
        <v>3332238</v>
      </c>
      <c r="J3178" s="181">
        <f>J3179+J3180</f>
        <v>7539</v>
      </c>
      <c r="K3178" s="181">
        <f>K3179+K3180</f>
        <v>7539</v>
      </c>
    </row>
    <row r="3179" spans="1:11" x14ac:dyDescent="0.35">
      <c r="A3179" s="271"/>
      <c r="B3179" s="277"/>
      <c r="C3179" s="279"/>
      <c r="D3179" s="274"/>
      <c r="E3179" s="274"/>
      <c r="F3179" s="283"/>
      <c r="G3179" s="271"/>
      <c r="H3179" s="136" t="s">
        <v>73</v>
      </c>
      <c r="I3179" s="181">
        <f>K3179*D3178</f>
        <v>3262402</v>
      </c>
      <c r="J3179" s="181">
        <f>I3179/D3178</f>
        <v>7381</v>
      </c>
      <c r="K3179" s="181">
        <v>7381</v>
      </c>
    </row>
    <row r="3180" spans="1:11" x14ac:dyDescent="0.35">
      <c r="A3180" s="272"/>
      <c r="B3180" s="277"/>
      <c r="C3180" s="285"/>
      <c r="D3180" s="275"/>
      <c r="E3180" s="275"/>
      <c r="F3180" s="284"/>
      <c r="G3180" s="272"/>
      <c r="H3180" s="136" t="s">
        <v>75</v>
      </c>
      <c r="I3180" s="181">
        <f>K3180*D3178</f>
        <v>69836</v>
      </c>
      <c r="J3180" s="181">
        <f>I3180/D3178</f>
        <v>158</v>
      </c>
      <c r="K3180" s="181">
        <v>158</v>
      </c>
    </row>
    <row r="3181" spans="1:11" x14ac:dyDescent="0.35">
      <c r="A3181" s="270">
        <f>A3178+1</f>
        <v>5</v>
      </c>
      <c r="B3181" s="277">
        <v>5423</v>
      </c>
      <c r="C3181" s="278" t="s">
        <v>601</v>
      </c>
      <c r="D3181" s="273">
        <v>2954.3</v>
      </c>
      <c r="E3181" s="273" t="s">
        <v>74</v>
      </c>
      <c r="F3181" s="282">
        <v>5</v>
      </c>
      <c r="G3181" s="270" t="s">
        <v>71</v>
      </c>
      <c r="H3181" s="136" t="s">
        <v>72</v>
      </c>
      <c r="I3181" s="181">
        <f>I3182+I3183</f>
        <v>9060838.0999999996</v>
      </c>
      <c r="J3181" s="181">
        <f>J3182+J3183</f>
        <v>3067</v>
      </c>
      <c r="K3181" s="181">
        <f>K3182+K3183</f>
        <v>3067</v>
      </c>
    </row>
    <row r="3182" spans="1:11" x14ac:dyDescent="0.35">
      <c r="A3182" s="271"/>
      <c r="B3182" s="277"/>
      <c r="C3182" s="279"/>
      <c r="D3182" s="274"/>
      <c r="E3182" s="274"/>
      <c r="F3182" s="283"/>
      <c r="G3182" s="271"/>
      <c r="H3182" s="136" t="s">
        <v>73</v>
      </c>
      <c r="I3182" s="181">
        <f>K3182*D3181</f>
        <v>8871762.9000000004</v>
      </c>
      <c r="J3182" s="181">
        <f>I3182/D3181</f>
        <v>3003</v>
      </c>
      <c r="K3182" s="181">
        <v>3003</v>
      </c>
    </row>
    <row r="3183" spans="1:11" x14ac:dyDescent="0.35">
      <c r="A3183" s="272"/>
      <c r="B3183" s="277"/>
      <c r="C3183" s="285"/>
      <c r="D3183" s="275"/>
      <c r="E3183" s="275"/>
      <c r="F3183" s="284"/>
      <c r="G3183" s="272"/>
      <c r="H3183" s="136" t="s">
        <v>75</v>
      </c>
      <c r="I3183" s="181">
        <f>K3183*D3181</f>
        <v>189075.20000000001</v>
      </c>
      <c r="J3183" s="181">
        <f>I3183/D3181</f>
        <v>64</v>
      </c>
      <c r="K3183" s="181">
        <v>64</v>
      </c>
    </row>
    <row r="3184" spans="1:11" x14ac:dyDescent="0.35">
      <c r="A3184" s="270">
        <f>A3181+1</f>
        <v>6</v>
      </c>
      <c r="B3184" s="277">
        <v>5488</v>
      </c>
      <c r="C3184" s="278" t="s">
        <v>605</v>
      </c>
      <c r="D3184" s="273">
        <v>1543.3</v>
      </c>
      <c r="E3184" s="273" t="s">
        <v>74</v>
      </c>
      <c r="F3184" s="282">
        <v>3</v>
      </c>
      <c r="G3184" s="270" t="s">
        <v>81</v>
      </c>
      <c r="H3184" s="136" t="s">
        <v>72</v>
      </c>
      <c r="I3184" s="181">
        <f>I3185+I3186</f>
        <v>1316434.8999999999</v>
      </c>
      <c r="J3184" s="181">
        <f>J3185+J3186</f>
        <v>853</v>
      </c>
      <c r="K3184" s="181">
        <f>K3185+K3186</f>
        <v>853</v>
      </c>
    </row>
    <row r="3185" spans="1:11" x14ac:dyDescent="0.35">
      <c r="A3185" s="271"/>
      <c r="B3185" s="277"/>
      <c r="C3185" s="279"/>
      <c r="D3185" s="274"/>
      <c r="E3185" s="274"/>
      <c r="F3185" s="283"/>
      <c r="G3185" s="271"/>
      <c r="H3185" s="136" t="s">
        <v>73</v>
      </c>
      <c r="I3185" s="181">
        <f>K3185*D3184</f>
        <v>1288655.5</v>
      </c>
      <c r="J3185" s="181">
        <f>I3185/D3184</f>
        <v>835</v>
      </c>
      <c r="K3185" s="181">
        <v>835</v>
      </c>
    </row>
    <row r="3186" spans="1:11" x14ac:dyDescent="0.35">
      <c r="A3186" s="272"/>
      <c r="B3186" s="277"/>
      <c r="C3186" s="285"/>
      <c r="D3186" s="275"/>
      <c r="E3186" s="275"/>
      <c r="F3186" s="284"/>
      <c r="G3186" s="272"/>
      <c r="H3186" s="136" t="s">
        <v>75</v>
      </c>
      <c r="I3186" s="181">
        <f>K3186*D3184</f>
        <v>27779.4</v>
      </c>
      <c r="J3186" s="181">
        <f>I3186/D3184</f>
        <v>18</v>
      </c>
      <c r="K3186" s="181">
        <v>18</v>
      </c>
    </row>
    <row r="3187" spans="1:11" x14ac:dyDescent="0.35">
      <c r="A3187" s="270">
        <f>A3184+1</f>
        <v>7</v>
      </c>
      <c r="B3187" s="277">
        <v>5778</v>
      </c>
      <c r="C3187" s="278" t="s">
        <v>703</v>
      </c>
      <c r="D3187" s="273">
        <v>1497.8</v>
      </c>
      <c r="E3187" s="273" t="s">
        <v>74</v>
      </c>
      <c r="F3187" s="282">
        <v>3</v>
      </c>
      <c r="G3187" s="270" t="s">
        <v>71</v>
      </c>
      <c r="H3187" s="136" t="s">
        <v>72</v>
      </c>
      <c r="I3187" s="181">
        <f>I3188+I3189</f>
        <v>8019221.2000000002</v>
      </c>
      <c r="J3187" s="181">
        <f>J3188+J3189</f>
        <v>5354</v>
      </c>
      <c r="K3187" s="181">
        <f>K3188+K3189</f>
        <v>5354</v>
      </c>
    </row>
    <row r="3188" spans="1:11" x14ac:dyDescent="0.35">
      <c r="A3188" s="271"/>
      <c r="B3188" s="277"/>
      <c r="C3188" s="279"/>
      <c r="D3188" s="274"/>
      <c r="E3188" s="274"/>
      <c r="F3188" s="283"/>
      <c r="G3188" s="271"/>
      <c r="H3188" s="136" t="s">
        <v>73</v>
      </c>
      <c r="I3188" s="181">
        <f>K3188*D3187</f>
        <v>7851467.5999999996</v>
      </c>
      <c r="J3188" s="181">
        <f>I3188/D3187</f>
        <v>5242</v>
      </c>
      <c r="K3188" s="181">
        <v>5242</v>
      </c>
    </row>
    <row r="3189" spans="1:11" x14ac:dyDescent="0.35">
      <c r="A3189" s="272"/>
      <c r="B3189" s="277"/>
      <c r="C3189" s="285"/>
      <c r="D3189" s="275"/>
      <c r="E3189" s="275"/>
      <c r="F3189" s="284"/>
      <c r="G3189" s="272"/>
      <c r="H3189" s="136" t="s">
        <v>75</v>
      </c>
      <c r="I3189" s="181">
        <f>K3189*D3187</f>
        <v>167753.60000000001</v>
      </c>
      <c r="J3189" s="181">
        <f>I3189/D3187</f>
        <v>112</v>
      </c>
      <c r="K3189" s="181">
        <v>112</v>
      </c>
    </row>
    <row r="3190" spans="1:11" x14ac:dyDescent="0.35">
      <c r="A3190" s="168" t="s">
        <v>41</v>
      </c>
      <c r="B3190" s="168"/>
      <c r="C3190" s="170"/>
      <c r="D3190" s="166">
        <f>D3191+D3198</f>
        <v>996.8</v>
      </c>
      <c r="E3190" s="172"/>
      <c r="F3190" s="172"/>
      <c r="G3190" s="146"/>
      <c r="H3190" s="182"/>
      <c r="I3190" s="181">
        <f>I3191+I3198</f>
        <v>2549643.2999999998</v>
      </c>
      <c r="J3190" s="181"/>
      <c r="K3190" s="181"/>
    </row>
    <row r="3191" spans="1:11" ht="15.5" customHeight="1" x14ac:dyDescent="0.35">
      <c r="A3191" s="303">
        <v>1</v>
      </c>
      <c r="B3191" s="277">
        <v>4924</v>
      </c>
      <c r="C3191" s="286" t="s">
        <v>776</v>
      </c>
      <c r="D3191" s="287">
        <v>697.3</v>
      </c>
      <c r="E3191" s="304" t="s">
        <v>74</v>
      </c>
      <c r="F3191" s="304">
        <v>2</v>
      </c>
      <c r="G3191" s="270" t="s">
        <v>76</v>
      </c>
      <c r="H3191" s="182" t="s">
        <v>72</v>
      </c>
      <c r="I3191" s="181">
        <f>I3192+I3193+I3194+I3195+I3196+I3197</f>
        <v>2451706.7999999998</v>
      </c>
      <c r="J3191" s="181">
        <f>J3192+J3193+J3194+J3195+J3196+J3197</f>
        <v>3516</v>
      </c>
      <c r="K3191" s="181">
        <f>K3192+K3193+K3194+K3195+K3196+K3197</f>
        <v>3516</v>
      </c>
    </row>
    <row r="3192" spans="1:11" ht="58.5" customHeight="1" x14ac:dyDescent="0.35">
      <c r="A3192" s="303"/>
      <c r="B3192" s="277"/>
      <c r="C3192" s="286"/>
      <c r="D3192" s="287"/>
      <c r="E3192" s="304"/>
      <c r="F3192" s="304"/>
      <c r="G3192" s="271"/>
      <c r="H3192" s="182" t="s">
        <v>779</v>
      </c>
      <c r="I3192" s="181">
        <f>D3191*K3192</f>
        <v>91346.3</v>
      </c>
      <c r="J3192" s="181">
        <f>I3192/D3191</f>
        <v>131</v>
      </c>
      <c r="K3192" s="181">
        <f>110+21</f>
        <v>131</v>
      </c>
    </row>
    <row r="3193" spans="1:11" x14ac:dyDescent="0.35">
      <c r="A3193" s="303"/>
      <c r="B3193" s="277"/>
      <c r="C3193" s="286"/>
      <c r="D3193" s="287"/>
      <c r="E3193" s="304"/>
      <c r="F3193" s="304"/>
      <c r="G3193" s="271"/>
      <c r="H3193" s="182" t="s">
        <v>73</v>
      </c>
      <c r="I3193" s="181">
        <f>D3191*K3193</f>
        <v>1912693.9</v>
      </c>
      <c r="J3193" s="181">
        <f>I3193/D3191</f>
        <v>2743</v>
      </c>
      <c r="K3193" s="181">
        <v>2743</v>
      </c>
    </row>
    <row r="3194" spans="1:11" x14ac:dyDescent="0.35">
      <c r="A3194" s="303"/>
      <c r="B3194" s="277"/>
      <c r="C3194" s="286"/>
      <c r="D3194" s="287"/>
      <c r="E3194" s="304"/>
      <c r="F3194" s="304"/>
      <c r="G3194" s="272"/>
      <c r="H3194" s="182" t="s">
        <v>75</v>
      </c>
      <c r="I3194" s="181">
        <f>D3191*K3194</f>
        <v>41140.699999999997</v>
      </c>
      <c r="J3194" s="181">
        <f>I3194/D3191</f>
        <v>59</v>
      </c>
      <c r="K3194" s="181">
        <v>59</v>
      </c>
    </row>
    <row r="3195" spans="1:11" ht="46.5" x14ac:dyDescent="0.35">
      <c r="A3195" s="303"/>
      <c r="B3195" s="277"/>
      <c r="C3195" s="286"/>
      <c r="D3195" s="287"/>
      <c r="E3195" s="304"/>
      <c r="F3195" s="304"/>
      <c r="G3195" s="270" t="s">
        <v>77</v>
      </c>
      <c r="H3195" s="182" t="s">
        <v>779</v>
      </c>
      <c r="I3195" s="181">
        <f>D3191*K3195</f>
        <v>29286.6</v>
      </c>
      <c r="J3195" s="181">
        <f>I3195/D3191</f>
        <v>42</v>
      </c>
      <c r="K3195" s="181">
        <v>42</v>
      </c>
    </row>
    <row r="3196" spans="1:11" x14ac:dyDescent="0.35">
      <c r="A3196" s="303"/>
      <c r="B3196" s="277"/>
      <c r="C3196" s="286"/>
      <c r="D3196" s="287"/>
      <c r="E3196" s="304"/>
      <c r="F3196" s="304"/>
      <c r="G3196" s="271"/>
      <c r="H3196" s="182" t="s">
        <v>73</v>
      </c>
      <c r="I3196" s="181">
        <f>D3191*K3196</f>
        <v>369569</v>
      </c>
      <c r="J3196" s="181">
        <f>I3196/D3191</f>
        <v>530</v>
      </c>
      <c r="K3196" s="181">
        <v>530</v>
      </c>
    </row>
    <row r="3197" spans="1:11" x14ac:dyDescent="0.35">
      <c r="A3197" s="303"/>
      <c r="B3197" s="277"/>
      <c r="C3197" s="286"/>
      <c r="D3197" s="287"/>
      <c r="E3197" s="304"/>
      <c r="F3197" s="304"/>
      <c r="G3197" s="272"/>
      <c r="H3197" s="182" t="s">
        <v>75</v>
      </c>
      <c r="I3197" s="181">
        <f>D3191*K3197</f>
        <v>7670.3</v>
      </c>
      <c r="J3197" s="181">
        <f>I3197/D3191</f>
        <v>11</v>
      </c>
      <c r="K3197" s="181">
        <v>11</v>
      </c>
    </row>
    <row r="3198" spans="1:11" ht="15.5" customHeight="1" x14ac:dyDescent="0.35">
      <c r="A3198" s="303">
        <v>2</v>
      </c>
      <c r="B3198" s="277">
        <v>4929</v>
      </c>
      <c r="C3198" s="286" t="s">
        <v>778</v>
      </c>
      <c r="D3198" s="287">
        <v>299.5</v>
      </c>
      <c r="E3198" s="304" t="s">
        <v>74</v>
      </c>
      <c r="F3198" s="304">
        <v>2</v>
      </c>
      <c r="G3198" s="277" t="s">
        <v>76</v>
      </c>
      <c r="H3198" s="182" t="s">
        <v>72</v>
      </c>
      <c r="I3198" s="181">
        <f>I3199+I3200</f>
        <v>97936.5</v>
      </c>
      <c r="J3198" s="181">
        <f>J3199+J3200</f>
        <v>327</v>
      </c>
      <c r="K3198" s="181">
        <f>K3199+K3200</f>
        <v>327</v>
      </c>
    </row>
    <row r="3199" spans="1:11" ht="46.5" x14ac:dyDescent="0.35">
      <c r="A3199" s="303"/>
      <c r="B3199" s="277"/>
      <c r="C3199" s="286"/>
      <c r="D3199" s="287"/>
      <c r="E3199" s="304"/>
      <c r="F3199" s="304"/>
      <c r="G3199" s="277"/>
      <c r="H3199" s="182" t="s">
        <v>779</v>
      </c>
      <c r="I3199" s="181">
        <f>D3198*K3199</f>
        <v>62296</v>
      </c>
      <c r="J3199" s="181">
        <f>I3199/D3198</f>
        <v>208</v>
      </c>
      <c r="K3199" s="181">
        <f>110+98</f>
        <v>208</v>
      </c>
    </row>
    <row r="3200" spans="1:11" ht="46.5" x14ac:dyDescent="0.35">
      <c r="A3200" s="303"/>
      <c r="B3200" s="277"/>
      <c r="C3200" s="286"/>
      <c r="D3200" s="287"/>
      <c r="E3200" s="304"/>
      <c r="F3200" s="304"/>
      <c r="G3200" s="146" t="s">
        <v>77</v>
      </c>
      <c r="H3200" s="182" t="s">
        <v>779</v>
      </c>
      <c r="I3200" s="181">
        <f>D3198*K3200</f>
        <v>35640.5</v>
      </c>
      <c r="J3200" s="181">
        <f>I3200/D3198</f>
        <v>119</v>
      </c>
      <c r="K3200" s="181">
        <f>21+98</f>
        <v>119</v>
      </c>
    </row>
    <row r="3201" spans="1:11" x14ac:dyDescent="0.35">
      <c r="A3201" s="168" t="s">
        <v>42</v>
      </c>
      <c r="B3201" s="168"/>
      <c r="C3201" s="170"/>
      <c r="D3201" s="181">
        <f>D3202</f>
        <v>411.9</v>
      </c>
      <c r="E3201" s="174"/>
      <c r="F3201" s="174"/>
      <c r="G3201" s="198"/>
      <c r="H3201" s="198"/>
      <c r="I3201" s="181">
        <f>I3202</f>
        <v>3105314.1</v>
      </c>
      <c r="J3201" s="181"/>
      <c r="K3201" s="181"/>
    </row>
    <row r="3202" spans="1:11" x14ac:dyDescent="0.35">
      <c r="A3202" s="270">
        <v>1</v>
      </c>
      <c r="B3202" s="278">
        <v>6812</v>
      </c>
      <c r="C3202" s="278" t="s">
        <v>609</v>
      </c>
      <c r="D3202" s="273">
        <v>411.9</v>
      </c>
      <c r="E3202" s="282" t="s">
        <v>633</v>
      </c>
      <c r="F3202" s="282">
        <v>2</v>
      </c>
      <c r="G3202" s="270" t="s">
        <v>71</v>
      </c>
      <c r="H3202" s="136" t="s">
        <v>72</v>
      </c>
      <c r="I3202" s="181">
        <f>I3203+I3204</f>
        <v>3105314.1</v>
      </c>
      <c r="J3202" s="181">
        <f>J3203+J3204</f>
        <v>7539</v>
      </c>
      <c r="K3202" s="181">
        <f>K3203+K3204</f>
        <v>7539</v>
      </c>
    </row>
    <row r="3203" spans="1:11" x14ac:dyDescent="0.35">
      <c r="A3203" s="271">
        <v>1134</v>
      </c>
      <c r="B3203" s="279"/>
      <c r="C3203" s="279"/>
      <c r="D3203" s="274"/>
      <c r="E3203" s="283"/>
      <c r="F3203" s="283"/>
      <c r="G3203" s="271"/>
      <c r="H3203" s="136" t="s">
        <v>73</v>
      </c>
      <c r="I3203" s="181">
        <f>D3202*K3203</f>
        <v>3040233.9</v>
      </c>
      <c r="J3203" s="181">
        <f>I3203/D3202</f>
        <v>7381</v>
      </c>
      <c r="K3203" s="181">
        <v>7381</v>
      </c>
    </row>
    <row r="3204" spans="1:11" x14ac:dyDescent="0.35">
      <c r="A3204" s="272">
        <v>1135</v>
      </c>
      <c r="B3204" s="285"/>
      <c r="C3204" s="285"/>
      <c r="D3204" s="275"/>
      <c r="E3204" s="284"/>
      <c r="F3204" s="284"/>
      <c r="G3204" s="272"/>
      <c r="H3204" s="136" t="s">
        <v>75</v>
      </c>
      <c r="I3204" s="181">
        <f>D3202*K3204</f>
        <v>65080.2</v>
      </c>
      <c r="J3204" s="181">
        <f>I3204/D3202</f>
        <v>158</v>
      </c>
      <c r="K3204" s="181">
        <v>158</v>
      </c>
    </row>
    <row r="3205" spans="1:11" x14ac:dyDescent="0.35">
      <c r="A3205" s="213" t="s">
        <v>43</v>
      </c>
      <c r="B3205" s="214"/>
      <c r="C3205" s="215"/>
      <c r="D3205" s="181">
        <f>D3217+D3213+D3206</f>
        <v>1191</v>
      </c>
      <c r="E3205" s="174"/>
      <c r="F3205" s="174"/>
      <c r="G3205" s="166"/>
      <c r="H3205" s="164"/>
      <c r="I3205" s="181">
        <f>I3217+I3213+I3206</f>
        <v>4526974.4000000004</v>
      </c>
      <c r="J3205" s="181"/>
      <c r="K3205" s="181"/>
    </row>
    <row r="3206" spans="1:11" ht="15.5" customHeight="1" x14ac:dyDescent="0.35">
      <c r="A3206" s="270">
        <v>1</v>
      </c>
      <c r="B3206" s="270">
        <v>4934</v>
      </c>
      <c r="C3206" s="278" t="s">
        <v>780</v>
      </c>
      <c r="D3206" s="273">
        <v>378</v>
      </c>
      <c r="E3206" s="282" t="s">
        <v>74</v>
      </c>
      <c r="F3206" s="282">
        <v>2</v>
      </c>
      <c r="G3206" s="216"/>
      <c r="H3206" s="182" t="s">
        <v>72</v>
      </c>
      <c r="I3206" s="181">
        <f>I3207+I3208+I3209+I3210+I3211+I3212</f>
        <v>1329048</v>
      </c>
      <c r="J3206" s="181">
        <f>J3207+J3208+J3209+J3210+J3211+J3212</f>
        <v>3516</v>
      </c>
      <c r="K3206" s="181">
        <f>K3207+K3208+K3209+K3210+K3211+K3212</f>
        <v>3516</v>
      </c>
    </row>
    <row r="3207" spans="1:11" ht="46.5" x14ac:dyDescent="0.35">
      <c r="A3207" s="271"/>
      <c r="B3207" s="271"/>
      <c r="C3207" s="279"/>
      <c r="D3207" s="274"/>
      <c r="E3207" s="283"/>
      <c r="F3207" s="283"/>
      <c r="G3207" s="270" t="s">
        <v>76</v>
      </c>
      <c r="H3207" s="182" t="s">
        <v>634</v>
      </c>
      <c r="I3207" s="181">
        <f>D3206*K3207</f>
        <v>49518</v>
      </c>
      <c r="J3207" s="181">
        <f>I3207/D3206</f>
        <v>131</v>
      </c>
      <c r="K3207" s="181">
        <f>110+21</f>
        <v>131</v>
      </c>
    </row>
    <row r="3208" spans="1:11" x14ac:dyDescent="0.35">
      <c r="A3208" s="271"/>
      <c r="B3208" s="271"/>
      <c r="C3208" s="279"/>
      <c r="D3208" s="274"/>
      <c r="E3208" s="283"/>
      <c r="F3208" s="283"/>
      <c r="G3208" s="271"/>
      <c r="H3208" s="182" t="s">
        <v>73</v>
      </c>
      <c r="I3208" s="181">
        <f>D3206*K3208</f>
        <v>1036854</v>
      </c>
      <c r="J3208" s="181">
        <f>I3208/D3206</f>
        <v>2743</v>
      </c>
      <c r="K3208" s="181">
        <v>2743</v>
      </c>
    </row>
    <row r="3209" spans="1:11" x14ac:dyDescent="0.35">
      <c r="A3209" s="271"/>
      <c r="B3209" s="271"/>
      <c r="C3209" s="279"/>
      <c r="D3209" s="274"/>
      <c r="E3209" s="283"/>
      <c r="F3209" s="283"/>
      <c r="G3209" s="272"/>
      <c r="H3209" s="182" t="s">
        <v>75</v>
      </c>
      <c r="I3209" s="181">
        <f>D3206*K3209</f>
        <v>22302</v>
      </c>
      <c r="J3209" s="181">
        <f>I3209/D3206</f>
        <v>59</v>
      </c>
      <c r="K3209" s="181">
        <v>59</v>
      </c>
    </row>
    <row r="3210" spans="1:11" ht="57" customHeight="1" x14ac:dyDescent="0.35">
      <c r="A3210" s="271"/>
      <c r="B3210" s="271"/>
      <c r="C3210" s="279"/>
      <c r="D3210" s="274"/>
      <c r="E3210" s="283"/>
      <c r="F3210" s="283"/>
      <c r="G3210" s="270" t="s">
        <v>77</v>
      </c>
      <c r="H3210" s="182" t="s">
        <v>634</v>
      </c>
      <c r="I3210" s="181">
        <f>D3206*K3210</f>
        <v>15876</v>
      </c>
      <c r="J3210" s="181">
        <f>I3210/D3206</f>
        <v>42</v>
      </c>
      <c r="K3210" s="181">
        <f>21+21</f>
        <v>42</v>
      </c>
    </row>
    <row r="3211" spans="1:11" x14ac:dyDescent="0.35">
      <c r="A3211" s="271"/>
      <c r="B3211" s="271"/>
      <c r="C3211" s="279"/>
      <c r="D3211" s="274"/>
      <c r="E3211" s="283"/>
      <c r="F3211" s="283"/>
      <c r="G3211" s="271"/>
      <c r="H3211" s="182" t="s">
        <v>73</v>
      </c>
      <c r="I3211" s="181">
        <f>D3206*K3211</f>
        <v>200340</v>
      </c>
      <c r="J3211" s="181">
        <f>I3211/D3206</f>
        <v>530</v>
      </c>
      <c r="K3211" s="181">
        <v>530</v>
      </c>
    </row>
    <row r="3212" spans="1:11" x14ac:dyDescent="0.35">
      <c r="A3212" s="272"/>
      <c r="B3212" s="272"/>
      <c r="C3212" s="285"/>
      <c r="D3212" s="275"/>
      <c r="E3212" s="284"/>
      <c r="F3212" s="284"/>
      <c r="G3212" s="272"/>
      <c r="H3212" s="182" t="s">
        <v>75</v>
      </c>
      <c r="I3212" s="181">
        <f>D3206*K3212</f>
        <v>4158</v>
      </c>
      <c r="J3212" s="181">
        <f>I3212/D3206</f>
        <v>11</v>
      </c>
      <c r="K3212" s="181">
        <v>11</v>
      </c>
    </row>
    <row r="3213" spans="1:11" ht="15.5" customHeight="1" x14ac:dyDescent="0.35">
      <c r="A3213" s="270">
        <v>2</v>
      </c>
      <c r="B3213" s="270">
        <v>4966</v>
      </c>
      <c r="C3213" s="278" t="s">
        <v>781</v>
      </c>
      <c r="D3213" s="273">
        <v>376.4</v>
      </c>
      <c r="E3213" s="282" t="s">
        <v>74</v>
      </c>
      <c r="F3213" s="282">
        <v>2</v>
      </c>
      <c r="G3213" s="270" t="s">
        <v>77</v>
      </c>
      <c r="H3213" s="182" t="s">
        <v>72</v>
      </c>
      <c r="I3213" s="181">
        <f>I3214+I3215+I3216</f>
        <v>219441.2</v>
      </c>
      <c r="J3213" s="181">
        <f>J3214+J3215+J3216</f>
        <v>583</v>
      </c>
      <c r="K3213" s="181">
        <f>K3214+K3215+K3216</f>
        <v>583</v>
      </c>
    </row>
    <row r="3214" spans="1:11" ht="60.5" customHeight="1" x14ac:dyDescent="0.35">
      <c r="A3214" s="271"/>
      <c r="B3214" s="271"/>
      <c r="C3214" s="279"/>
      <c r="D3214" s="274"/>
      <c r="E3214" s="283"/>
      <c r="F3214" s="283"/>
      <c r="G3214" s="271"/>
      <c r="H3214" s="182" t="s">
        <v>634</v>
      </c>
      <c r="I3214" s="181">
        <f>D3213*K3214</f>
        <v>15808.8</v>
      </c>
      <c r="J3214" s="181">
        <f>I3214/D3213</f>
        <v>42</v>
      </c>
      <c r="K3214" s="181">
        <f>21+21</f>
        <v>42</v>
      </c>
    </row>
    <row r="3215" spans="1:11" x14ac:dyDescent="0.35">
      <c r="A3215" s="271"/>
      <c r="B3215" s="271"/>
      <c r="C3215" s="279"/>
      <c r="D3215" s="274"/>
      <c r="E3215" s="283"/>
      <c r="F3215" s="283"/>
      <c r="G3215" s="271"/>
      <c r="H3215" s="182" t="s">
        <v>73</v>
      </c>
      <c r="I3215" s="181">
        <f>D3213*K3215</f>
        <v>199492</v>
      </c>
      <c r="J3215" s="181">
        <f>I3215/D3213</f>
        <v>530</v>
      </c>
      <c r="K3215" s="181">
        <v>530</v>
      </c>
    </row>
    <row r="3216" spans="1:11" x14ac:dyDescent="0.35">
      <c r="A3216" s="272"/>
      <c r="B3216" s="272"/>
      <c r="C3216" s="285"/>
      <c r="D3216" s="275"/>
      <c r="E3216" s="284"/>
      <c r="F3216" s="284"/>
      <c r="G3216" s="272"/>
      <c r="H3216" s="182" t="s">
        <v>75</v>
      </c>
      <c r="I3216" s="181">
        <f>D3213*K3216</f>
        <v>4140.3999999999996</v>
      </c>
      <c r="J3216" s="181">
        <f>I3216/D3213</f>
        <v>11</v>
      </c>
      <c r="K3216" s="181">
        <v>11</v>
      </c>
    </row>
    <row r="3217" spans="1:11" x14ac:dyDescent="0.35">
      <c r="A3217" s="270">
        <f>A3213+1</f>
        <v>3</v>
      </c>
      <c r="B3217" s="270">
        <v>4971</v>
      </c>
      <c r="C3217" s="278" t="s">
        <v>611</v>
      </c>
      <c r="D3217" s="273">
        <v>436.6</v>
      </c>
      <c r="E3217" s="282" t="s">
        <v>74</v>
      </c>
      <c r="F3217" s="282">
        <v>2</v>
      </c>
      <c r="G3217" s="270" t="s">
        <v>84</v>
      </c>
      <c r="H3217" s="136" t="s">
        <v>72</v>
      </c>
      <c r="I3217" s="181">
        <f>I3218+I3219+I3220+I3221</f>
        <v>2978485.2</v>
      </c>
      <c r="J3217" s="181">
        <f>J3218+J3219+J3220+J3221</f>
        <v>6822</v>
      </c>
      <c r="K3217" s="181">
        <f>K3218+K3219+K3220+K3221</f>
        <v>6822</v>
      </c>
    </row>
    <row r="3218" spans="1:11" x14ac:dyDescent="0.35">
      <c r="A3218" s="271"/>
      <c r="B3218" s="271"/>
      <c r="C3218" s="279"/>
      <c r="D3218" s="274"/>
      <c r="E3218" s="283"/>
      <c r="F3218" s="283"/>
      <c r="G3218" s="271"/>
      <c r="H3218" s="136" t="s">
        <v>73</v>
      </c>
      <c r="I3218" s="181">
        <f>D3217*K3218</f>
        <v>1150004.3999999999</v>
      </c>
      <c r="J3218" s="181">
        <f>I3218/D3217</f>
        <v>2634</v>
      </c>
      <c r="K3218" s="181">
        <v>2634</v>
      </c>
    </row>
    <row r="3219" spans="1:11" x14ac:dyDescent="0.35">
      <c r="A3219" s="271"/>
      <c r="B3219" s="271"/>
      <c r="C3219" s="279"/>
      <c r="D3219" s="274"/>
      <c r="E3219" s="283"/>
      <c r="F3219" s="283"/>
      <c r="G3219" s="271"/>
      <c r="H3219" s="136" t="s">
        <v>75</v>
      </c>
      <c r="I3219" s="181">
        <f>D3217*K3219</f>
        <v>24449.599999999999</v>
      </c>
      <c r="J3219" s="181">
        <f>I3219/D3217</f>
        <v>56</v>
      </c>
      <c r="K3219" s="181">
        <v>56</v>
      </c>
    </row>
    <row r="3220" spans="1:11" x14ac:dyDescent="0.35">
      <c r="A3220" s="271">
        <v>1142</v>
      </c>
      <c r="B3220" s="271"/>
      <c r="C3220" s="279"/>
      <c r="D3220" s="274"/>
      <c r="E3220" s="283"/>
      <c r="F3220" s="283"/>
      <c r="G3220" s="271"/>
      <c r="H3220" s="136" t="s">
        <v>73</v>
      </c>
      <c r="I3220" s="181">
        <f>K3220*D3217</f>
        <v>1766047</v>
      </c>
      <c r="J3220" s="181">
        <f>I3220/D3217</f>
        <v>4045</v>
      </c>
      <c r="K3220" s="181">
        <v>4045</v>
      </c>
    </row>
    <row r="3221" spans="1:11" x14ac:dyDescent="0.35">
      <c r="A3221" s="272">
        <v>1143</v>
      </c>
      <c r="B3221" s="272"/>
      <c r="C3221" s="285"/>
      <c r="D3221" s="275"/>
      <c r="E3221" s="284"/>
      <c r="F3221" s="284"/>
      <c r="G3221" s="272"/>
      <c r="H3221" s="136" t="s">
        <v>75</v>
      </c>
      <c r="I3221" s="181">
        <f>K3221*D3217</f>
        <v>37984.199999999997</v>
      </c>
      <c r="J3221" s="181">
        <f>I3221/D3217</f>
        <v>87</v>
      </c>
      <c r="K3221" s="181">
        <v>87</v>
      </c>
    </row>
    <row r="3222" spans="1:11" x14ac:dyDescent="0.35">
      <c r="A3222" s="213" t="s">
        <v>44</v>
      </c>
      <c r="B3222" s="162"/>
      <c r="C3222" s="163"/>
      <c r="D3222" s="166">
        <f>D3223</f>
        <v>1541.55</v>
      </c>
      <c r="E3222" s="172"/>
      <c r="F3222" s="172"/>
      <c r="G3222" s="166"/>
      <c r="H3222" s="164"/>
      <c r="I3222" s="181">
        <f>I3223</f>
        <v>5749632.2400000002</v>
      </c>
      <c r="J3222" s="181"/>
      <c r="K3222" s="181"/>
    </row>
    <row r="3223" spans="1:11" x14ac:dyDescent="0.35">
      <c r="A3223" s="270">
        <v>1</v>
      </c>
      <c r="B3223" s="270">
        <v>7383</v>
      </c>
      <c r="C3223" s="278" t="s">
        <v>463</v>
      </c>
      <c r="D3223" s="273">
        <v>1541.55</v>
      </c>
      <c r="E3223" s="282" t="s">
        <v>74</v>
      </c>
      <c r="F3223" s="282">
        <v>3</v>
      </c>
      <c r="G3223" s="270" t="s">
        <v>71</v>
      </c>
      <c r="H3223" s="136" t="s">
        <v>72</v>
      </c>
      <c r="I3223" s="181">
        <f>I3224+I3225</f>
        <v>5749632.2400000002</v>
      </c>
      <c r="J3223" s="181">
        <f>J3224+J3225</f>
        <v>3729.77</v>
      </c>
      <c r="K3223" s="181">
        <f>K3224+K3225</f>
        <v>4728</v>
      </c>
    </row>
    <row r="3224" spans="1:11" x14ac:dyDescent="0.35">
      <c r="A3224" s="271"/>
      <c r="B3224" s="271"/>
      <c r="C3224" s="279"/>
      <c r="D3224" s="274"/>
      <c r="E3224" s="283"/>
      <c r="F3224" s="283"/>
      <c r="G3224" s="271"/>
      <c r="H3224" s="136" t="s">
        <v>73</v>
      </c>
      <c r="I3224" s="181">
        <f>5629168.04</f>
        <v>5629168.04</v>
      </c>
      <c r="J3224" s="181">
        <f>I3224/D3223</f>
        <v>3651.63</v>
      </c>
      <c r="K3224" s="181">
        <v>4629</v>
      </c>
    </row>
    <row r="3225" spans="1:11" x14ac:dyDescent="0.35">
      <c r="A3225" s="272"/>
      <c r="B3225" s="272"/>
      <c r="C3225" s="285"/>
      <c r="D3225" s="275"/>
      <c r="E3225" s="284"/>
      <c r="F3225" s="284"/>
      <c r="G3225" s="272"/>
      <c r="H3225" s="136" t="s">
        <v>75</v>
      </c>
      <c r="I3225" s="181">
        <f>I3224*0.0214</f>
        <v>120464.2</v>
      </c>
      <c r="J3225" s="181">
        <f>I3225/D3223</f>
        <v>78.14</v>
      </c>
      <c r="K3225" s="181">
        <v>99</v>
      </c>
    </row>
    <row r="3226" spans="1:11" x14ac:dyDescent="0.35">
      <c r="A3226" s="168" t="s">
        <v>48</v>
      </c>
      <c r="B3226" s="168"/>
      <c r="C3226" s="170"/>
      <c r="D3226" s="181">
        <f>D3227+D3230+D3235+D3238+D3241</f>
        <v>7027.88</v>
      </c>
      <c r="E3226" s="181"/>
      <c r="F3226" s="174"/>
      <c r="G3226" s="166"/>
      <c r="H3226" s="164"/>
      <c r="I3226" s="181">
        <f>I3227+I3241+I3238+I3235+I3230</f>
        <v>31563143.960000001</v>
      </c>
      <c r="J3226" s="181"/>
      <c r="K3226" s="181"/>
    </row>
    <row r="3227" spans="1:11" x14ac:dyDescent="0.35">
      <c r="A3227" s="314">
        <v>1</v>
      </c>
      <c r="B3227" s="314">
        <v>6870</v>
      </c>
      <c r="C3227" s="286" t="s">
        <v>612</v>
      </c>
      <c r="D3227" s="273">
        <v>2436</v>
      </c>
      <c r="E3227" s="273" t="s">
        <v>70</v>
      </c>
      <c r="F3227" s="282">
        <v>5</v>
      </c>
      <c r="G3227" s="270" t="s">
        <v>71</v>
      </c>
      <c r="H3227" s="175" t="s">
        <v>72</v>
      </c>
      <c r="I3227" s="199">
        <f>I3228+I3229</f>
        <v>7897512</v>
      </c>
      <c r="J3227" s="199">
        <f>J3228+J3229</f>
        <v>3242</v>
      </c>
      <c r="K3227" s="199">
        <f>K3228+K3229</f>
        <v>3242</v>
      </c>
    </row>
    <row r="3228" spans="1:11" x14ac:dyDescent="0.35">
      <c r="A3228" s="313"/>
      <c r="B3228" s="313"/>
      <c r="C3228" s="286"/>
      <c r="D3228" s="274"/>
      <c r="E3228" s="274"/>
      <c r="F3228" s="283"/>
      <c r="G3228" s="271"/>
      <c r="H3228" s="175" t="s">
        <v>73</v>
      </c>
      <c r="I3228" s="199">
        <f>D3227*K3228</f>
        <v>7731864</v>
      </c>
      <c r="J3228" s="199">
        <f>I3228/D3227</f>
        <v>3174</v>
      </c>
      <c r="K3228" s="199">
        <v>3174</v>
      </c>
    </row>
    <row r="3229" spans="1:11" x14ac:dyDescent="0.35">
      <c r="A3229" s="324"/>
      <c r="B3229" s="324"/>
      <c r="C3229" s="286"/>
      <c r="D3229" s="275"/>
      <c r="E3229" s="275"/>
      <c r="F3229" s="284"/>
      <c r="G3229" s="272"/>
      <c r="H3229" s="175" t="s">
        <v>75</v>
      </c>
      <c r="I3229" s="199">
        <f>D3227*K3229</f>
        <v>165648</v>
      </c>
      <c r="J3229" s="199">
        <f>I3229/D3227</f>
        <v>68</v>
      </c>
      <c r="K3229" s="199">
        <v>68</v>
      </c>
    </row>
    <row r="3230" spans="1:11" x14ac:dyDescent="0.35">
      <c r="A3230" s="314">
        <f>A3227+1</f>
        <v>2</v>
      </c>
      <c r="B3230" s="314">
        <v>6890</v>
      </c>
      <c r="C3230" s="278" t="s">
        <v>762</v>
      </c>
      <c r="D3230" s="273">
        <v>2688.38</v>
      </c>
      <c r="E3230" s="273" t="s">
        <v>74</v>
      </c>
      <c r="F3230" s="282">
        <v>5</v>
      </c>
      <c r="G3230" s="270" t="s">
        <v>84</v>
      </c>
      <c r="H3230" s="136" t="s">
        <v>72</v>
      </c>
      <c r="I3230" s="181">
        <f>SUM(I3231:I3234)</f>
        <v>14823420.960000001</v>
      </c>
      <c r="J3230" s="181">
        <f>SUM(J3231:J3234)</f>
        <v>5513.89</v>
      </c>
      <c r="K3230" s="181">
        <f>SUM(K3231:K3234)</f>
        <v>5592</v>
      </c>
    </row>
    <row r="3231" spans="1:11" x14ac:dyDescent="0.35">
      <c r="A3231" s="313"/>
      <c r="B3231" s="313"/>
      <c r="C3231" s="279"/>
      <c r="D3231" s="274"/>
      <c r="E3231" s="274"/>
      <c r="F3231" s="283"/>
      <c r="G3231" s="271"/>
      <c r="H3231" s="136" t="s">
        <v>73</v>
      </c>
      <c r="I3231" s="181">
        <f>D3230*K3231</f>
        <v>4210003.08</v>
      </c>
      <c r="J3231" s="181">
        <f>I3231/D3230</f>
        <v>1566</v>
      </c>
      <c r="K3231" s="181">
        <v>1566</v>
      </c>
    </row>
    <row r="3232" spans="1:11" x14ac:dyDescent="0.35">
      <c r="A3232" s="313"/>
      <c r="B3232" s="313"/>
      <c r="C3232" s="279"/>
      <c r="D3232" s="274"/>
      <c r="E3232" s="274"/>
      <c r="F3232" s="283"/>
      <c r="G3232" s="271"/>
      <c r="H3232" s="136" t="s">
        <v>75</v>
      </c>
      <c r="I3232" s="181">
        <f>D3230*K3232</f>
        <v>91404.92</v>
      </c>
      <c r="J3232" s="181">
        <f>I3232/D3230</f>
        <v>34</v>
      </c>
      <c r="K3232" s="181">
        <v>34</v>
      </c>
    </row>
    <row r="3233" spans="1:11" x14ac:dyDescent="0.35">
      <c r="A3233" s="313"/>
      <c r="B3233" s="313"/>
      <c r="C3233" s="279"/>
      <c r="D3233" s="274"/>
      <c r="E3233" s="274"/>
      <c r="F3233" s="283"/>
      <c r="G3233" s="271"/>
      <c r="H3233" s="136" t="s">
        <v>676</v>
      </c>
      <c r="I3233" s="181">
        <v>10296189.039999999</v>
      </c>
      <c r="J3233" s="181">
        <f>I3233/D3230</f>
        <v>3829.89</v>
      </c>
      <c r="K3233" s="181">
        <v>3908</v>
      </c>
    </row>
    <row r="3234" spans="1:11" x14ac:dyDescent="0.35">
      <c r="A3234" s="324"/>
      <c r="B3234" s="324"/>
      <c r="C3234" s="285"/>
      <c r="D3234" s="275"/>
      <c r="E3234" s="275"/>
      <c r="F3234" s="284"/>
      <c r="G3234" s="272"/>
      <c r="H3234" s="136" t="s">
        <v>75</v>
      </c>
      <c r="I3234" s="181">
        <f>D3230*K3234</f>
        <v>225823.92</v>
      </c>
      <c r="J3234" s="181">
        <f>I3234/D3230</f>
        <v>84</v>
      </c>
      <c r="K3234" s="181">
        <v>84</v>
      </c>
    </row>
    <row r="3235" spans="1:11" x14ac:dyDescent="0.35">
      <c r="A3235" s="288">
        <f>A3230+1</f>
        <v>3</v>
      </c>
      <c r="B3235" s="288">
        <v>6834</v>
      </c>
      <c r="C3235" s="286" t="s">
        <v>616</v>
      </c>
      <c r="D3235" s="273">
        <v>341.7</v>
      </c>
      <c r="E3235" s="273" t="s">
        <v>74</v>
      </c>
      <c r="F3235" s="282">
        <v>2</v>
      </c>
      <c r="G3235" s="270" t="s">
        <v>71</v>
      </c>
      <c r="H3235" s="175" t="s">
        <v>72</v>
      </c>
      <c r="I3235" s="199">
        <f>I3236+I3237</f>
        <v>2414452.2000000002</v>
      </c>
      <c r="J3235" s="199">
        <f>J3236+J3237</f>
        <v>7066</v>
      </c>
      <c r="K3235" s="199">
        <f>K3236+K3237</f>
        <v>7066</v>
      </c>
    </row>
    <row r="3236" spans="1:11" x14ac:dyDescent="0.35">
      <c r="A3236" s="289"/>
      <c r="B3236" s="289"/>
      <c r="C3236" s="286"/>
      <c r="D3236" s="274"/>
      <c r="E3236" s="274"/>
      <c r="F3236" s="283"/>
      <c r="G3236" s="271"/>
      <c r="H3236" s="175" t="s">
        <v>73</v>
      </c>
      <c r="I3236" s="199">
        <f>D3235*K3236</f>
        <v>2363880.6</v>
      </c>
      <c r="J3236" s="199">
        <f>I3236/D3235</f>
        <v>6918</v>
      </c>
      <c r="K3236" s="199">
        <v>6918</v>
      </c>
    </row>
    <row r="3237" spans="1:11" x14ac:dyDescent="0.35">
      <c r="A3237" s="290"/>
      <c r="B3237" s="290"/>
      <c r="C3237" s="286"/>
      <c r="D3237" s="275"/>
      <c r="E3237" s="275"/>
      <c r="F3237" s="284"/>
      <c r="G3237" s="272"/>
      <c r="H3237" s="175" t="s">
        <v>75</v>
      </c>
      <c r="I3237" s="199">
        <f>D3235*K3237</f>
        <v>50571.6</v>
      </c>
      <c r="J3237" s="199">
        <f>I3237/D3235</f>
        <v>148</v>
      </c>
      <c r="K3237" s="199">
        <v>148</v>
      </c>
    </row>
    <row r="3238" spans="1:11" x14ac:dyDescent="0.35">
      <c r="A3238" s="288">
        <f>A3235+1</f>
        <v>4</v>
      </c>
      <c r="B3238" s="288">
        <v>6835</v>
      </c>
      <c r="C3238" s="286" t="s">
        <v>617</v>
      </c>
      <c r="D3238" s="273">
        <v>356.8</v>
      </c>
      <c r="E3238" s="273" t="s">
        <v>74</v>
      </c>
      <c r="F3238" s="282">
        <v>2</v>
      </c>
      <c r="G3238" s="270" t="s">
        <v>71</v>
      </c>
      <c r="H3238" s="175" t="s">
        <v>72</v>
      </c>
      <c r="I3238" s="199">
        <f>I3239+I3240</f>
        <v>2521148.7999999998</v>
      </c>
      <c r="J3238" s="199">
        <f>J3239+J3240</f>
        <v>7066</v>
      </c>
      <c r="K3238" s="199">
        <f>K3239+K3240</f>
        <v>7066</v>
      </c>
    </row>
    <row r="3239" spans="1:11" x14ac:dyDescent="0.35">
      <c r="A3239" s="289"/>
      <c r="B3239" s="289"/>
      <c r="C3239" s="286"/>
      <c r="D3239" s="274"/>
      <c r="E3239" s="274"/>
      <c r="F3239" s="283"/>
      <c r="G3239" s="271"/>
      <c r="H3239" s="175" t="s">
        <v>73</v>
      </c>
      <c r="I3239" s="199">
        <f>D3238*K3239</f>
        <v>2468342.4</v>
      </c>
      <c r="J3239" s="199">
        <f>I3239/D3238</f>
        <v>6918</v>
      </c>
      <c r="K3239" s="199">
        <v>6918</v>
      </c>
    </row>
    <row r="3240" spans="1:11" x14ac:dyDescent="0.35">
      <c r="A3240" s="290"/>
      <c r="B3240" s="290"/>
      <c r="C3240" s="286"/>
      <c r="D3240" s="275"/>
      <c r="E3240" s="275"/>
      <c r="F3240" s="284"/>
      <c r="G3240" s="272"/>
      <c r="H3240" s="175" t="s">
        <v>75</v>
      </c>
      <c r="I3240" s="199">
        <f>D3238*K3240</f>
        <v>52806.400000000001</v>
      </c>
      <c r="J3240" s="199">
        <f>I3240/D3238</f>
        <v>148</v>
      </c>
      <c r="K3240" s="199">
        <v>148</v>
      </c>
    </row>
    <row r="3241" spans="1:11" x14ac:dyDescent="0.35">
      <c r="A3241" s="288">
        <f>A3238+1</f>
        <v>5</v>
      </c>
      <c r="B3241" s="288">
        <v>7095</v>
      </c>
      <c r="C3241" s="286" t="s">
        <v>618</v>
      </c>
      <c r="D3241" s="273">
        <v>1205</v>
      </c>
      <c r="E3241" s="273" t="s">
        <v>74</v>
      </c>
      <c r="F3241" s="282">
        <v>6</v>
      </c>
      <c r="G3241" s="270" t="s">
        <v>71</v>
      </c>
      <c r="H3241" s="175" t="s">
        <v>72</v>
      </c>
      <c r="I3241" s="199">
        <f>I3242+I3243</f>
        <v>3906610</v>
      </c>
      <c r="J3241" s="199">
        <f>J3242+J3243</f>
        <v>3242</v>
      </c>
      <c r="K3241" s="199">
        <f>K3242+K3243</f>
        <v>3242</v>
      </c>
    </row>
    <row r="3242" spans="1:11" x14ac:dyDescent="0.35">
      <c r="A3242" s="289"/>
      <c r="B3242" s="289"/>
      <c r="C3242" s="286"/>
      <c r="D3242" s="274"/>
      <c r="E3242" s="274"/>
      <c r="F3242" s="283"/>
      <c r="G3242" s="271"/>
      <c r="H3242" s="175" t="s">
        <v>73</v>
      </c>
      <c r="I3242" s="199">
        <f>D3241*K3242</f>
        <v>3824670</v>
      </c>
      <c r="J3242" s="199">
        <f>I3242/D3241</f>
        <v>3174</v>
      </c>
      <c r="K3242" s="199">
        <v>3174</v>
      </c>
    </row>
    <row r="3243" spans="1:11" x14ac:dyDescent="0.35">
      <c r="A3243" s="290"/>
      <c r="B3243" s="290"/>
      <c r="C3243" s="286"/>
      <c r="D3243" s="275"/>
      <c r="E3243" s="275"/>
      <c r="F3243" s="284"/>
      <c r="G3243" s="272"/>
      <c r="H3243" s="175" t="s">
        <v>75</v>
      </c>
      <c r="I3243" s="199">
        <f>D3241*K3243</f>
        <v>81940</v>
      </c>
      <c r="J3243" s="199">
        <f>I3243/D3241</f>
        <v>68</v>
      </c>
      <c r="K3243" s="199">
        <v>68</v>
      </c>
    </row>
    <row r="3244" spans="1:11" x14ac:dyDescent="0.35">
      <c r="A3244" s="213" t="s">
        <v>50</v>
      </c>
      <c r="B3244" s="162"/>
      <c r="C3244" s="163"/>
      <c r="D3244" s="166">
        <f>D3248+D3245</f>
        <v>794</v>
      </c>
      <c r="E3244" s="172"/>
      <c r="F3244" s="172"/>
      <c r="G3244" s="166"/>
      <c r="H3244" s="164"/>
      <c r="I3244" s="181">
        <f>I3248+I3245</f>
        <v>6180041.0999999996</v>
      </c>
      <c r="J3244" s="181"/>
      <c r="K3244" s="181"/>
    </row>
    <row r="3245" spans="1:11" ht="15.5" customHeight="1" x14ac:dyDescent="0.35">
      <c r="A3245" s="314">
        <v>1</v>
      </c>
      <c r="B3245" s="314">
        <v>7161</v>
      </c>
      <c r="C3245" s="278" t="s">
        <v>620</v>
      </c>
      <c r="D3245" s="273">
        <v>173.3</v>
      </c>
      <c r="E3245" s="282" t="s">
        <v>633</v>
      </c>
      <c r="F3245" s="282">
        <v>1</v>
      </c>
      <c r="G3245" s="270" t="s">
        <v>71</v>
      </c>
      <c r="H3245" s="136" t="s">
        <v>72</v>
      </c>
      <c r="I3245" s="181">
        <f>I3246+I3247</f>
        <v>1794174.9</v>
      </c>
      <c r="J3245" s="181">
        <f>J3246+J3247</f>
        <v>10353</v>
      </c>
      <c r="K3245" s="181">
        <f>K3246+K3247</f>
        <v>10353</v>
      </c>
    </row>
    <row r="3246" spans="1:11" x14ac:dyDescent="0.35">
      <c r="A3246" s="313"/>
      <c r="B3246" s="313"/>
      <c r="C3246" s="279"/>
      <c r="D3246" s="274"/>
      <c r="E3246" s="283"/>
      <c r="F3246" s="283"/>
      <c r="G3246" s="271"/>
      <c r="H3246" s="136" t="s">
        <v>73</v>
      </c>
      <c r="I3246" s="181">
        <f>D3245*K3246</f>
        <v>1756568.8</v>
      </c>
      <c r="J3246" s="181">
        <f>I3246/D3245</f>
        <v>10136</v>
      </c>
      <c r="K3246" s="181">
        <v>10136</v>
      </c>
    </row>
    <row r="3247" spans="1:11" x14ac:dyDescent="0.35">
      <c r="A3247" s="324"/>
      <c r="B3247" s="324"/>
      <c r="C3247" s="285"/>
      <c r="D3247" s="275"/>
      <c r="E3247" s="284"/>
      <c r="F3247" s="284"/>
      <c r="G3247" s="272"/>
      <c r="H3247" s="136" t="s">
        <v>75</v>
      </c>
      <c r="I3247" s="181">
        <f>D3245*K3247</f>
        <v>37606.1</v>
      </c>
      <c r="J3247" s="181">
        <f>I3247/D3245</f>
        <v>217</v>
      </c>
      <c r="K3247" s="181">
        <v>217</v>
      </c>
    </row>
    <row r="3248" spans="1:11" x14ac:dyDescent="0.35">
      <c r="A3248" s="270">
        <f>A3245+1</f>
        <v>2</v>
      </c>
      <c r="B3248" s="270">
        <v>7203</v>
      </c>
      <c r="C3248" s="286" t="s">
        <v>622</v>
      </c>
      <c r="D3248" s="273">
        <v>620.70000000000005</v>
      </c>
      <c r="E3248" s="282" t="s">
        <v>74</v>
      </c>
      <c r="F3248" s="282">
        <v>2</v>
      </c>
      <c r="G3248" s="270" t="s">
        <v>71</v>
      </c>
      <c r="H3248" s="136" t="s">
        <v>72</v>
      </c>
      <c r="I3248" s="181">
        <f>I3250+I3249</f>
        <v>4385866.2</v>
      </c>
      <c r="J3248" s="181">
        <f>J3250+J3249</f>
        <v>7066</v>
      </c>
      <c r="K3248" s="181">
        <f>K3250+K3249</f>
        <v>7066</v>
      </c>
    </row>
    <row r="3249" spans="1:11" x14ac:dyDescent="0.35">
      <c r="A3249" s="271"/>
      <c r="B3249" s="271"/>
      <c r="C3249" s="286"/>
      <c r="D3249" s="274"/>
      <c r="E3249" s="283"/>
      <c r="F3249" s="283"/>
      <c r="G3249" s="271"/>
      <c r="H3249" s="136" t="s">
        <v>73</v>
      </c>
      <c r="I3249" s="181">
        <f>K3249*D3248</f>
        <v>4294002.5999999996</v>
      </c>
      <c r="J3249" s="181">
        <f>I3249/D3248</f>
        <v>6918</v>
      </c>
      <c r="K3249" s="181">
        <v>6918</v>
      </c>
    </row>
    <row r="3250" spans="1:11" x14ac:dyDescent="0.35">
      <c r="A3250" s="272"/>
      <c r="B3250" s="272"/>
      <c r="C3250" s="286"/>
      <c r="D3250" s="275"/>
      <c r="E3250" s="284"/>
      <c r="F3250" s="284"/>
      <c r="G3250" s="272"/>
      <c r="H3250" s="136" t="s">
        <v>75</v>
      </c>
      <c r="I3250" s="181">
        <f>K3250*D3248</f>
        <v>91863.6</v>
      </c>
      <c r="J3250" s="181">
        <f>I3250/D3248</f>
        <v>148</v>
      </c>
      <c r="K3250" s="181">
        <v>148</v>
      </c>
    </row>
    <row r="3251" spans="1:11" x14ac:dyDescent="0.35">
      <c r="A3251" s="217"/>
      <c r="B3251" s="218"/>
      <c r="C3251" s="219"/>
      <c r="D3251" s="218"/>
      <c r="E3251" s="220"/>
      <c r="F3251" s="220"/>
      <c r="G3251" s="218"/>
      <c r="H3251" s="221"/>
      <c r="I3251" s="218"/>
      <c r="J3251" s="218"/>
      <c r="K3251" s="218"/>
    </row>
    <row r="3252" spans="1:11" ht="125" customHeight="1" x14ac:dyDescent="0.35">
      <c r="A3252" s="222" t="s">
        <v>63</v>
      </c>
      <c r="B3252" s="255" t="s">
        <v>759</v>
      </c>
      <c r="C3252" s="255"/>
      <c r="D3252" s="255"/>
      <c r="E3252" s="255"/>
      <c r="F3252" s="255"/>
      <c r="G3252" s="255"/>
      <c r="H3252" s="255"/>
      <c r="I3252" s="255"/>
      <c r="J3252" s="255"/>
      <c r="K3252" s="255"/>
    </row>
    <row r="3253" spans="1:11" ht="63.5" customHeight="1" x14ac:dyDescent="0.35">
      <c r="A3253" s="222" t="s">
        <v>64</v>
      </c>
      <c r="B3253" s="255" t="s">
        <v>65</v>
      </c>
      <c r="C3253" s="255"/>
      <c r="D3253" s="255"/>
      <c r="E3253" s="255"/>
      <c r="F3253" s="255"/>
      <c r="G3253" s="255"/>
      <c r="H3253" s="255"/>
      <c r="I3253" s="255"/>
      <c r="J3253" s="255"/>
      <c r="K3253" s="255"/>
    </row>
    <row r="3254" spans="1:11" ht="35" customHeight="1" x14ac:dyDescent="0.35">
      <c r="A3254" s="222" t="s">
        <v>66</v>
      </c>
      <c r="B3254" s="255" t="s">
        <v>69</v>
      </c>
      <c r="C3254" s="255"/>
      <c r="D3254" s="255"/>
      <c r="E3254" s="255"/>
      <c r="F3254" s="255"/>
      <c r="G3254" s="255"/>
      <c r="H3254" s="255"/>
      <c r="I3254" s="255"/>
      <c r="J3254" s="255"/>
      <c r="K3254" s="255"/>
    </row>
    <row r="3255" spans="1:11" ht="21" customHeight="1" x14ac:dyDescent="0.35">
      <c r="A3255" s="223" t="s">
        <v>67</v>
      </c>
      <c r="B3255" s="255" t="s">
        <v>68</v>
      </c>
      <c r="C3255" s="255"/>
      <c r="D3255" s="255"/>
      <c r="E3255" s="255"/>
      <c r="F3255" s="255"/>
      <c r="G3255" s="255"/>
      <c r="H3255" s="255"/>
      <c r="I3255" s="255"/>
      <c r="J3255" s="255"/>
      <c r="K3255" s="255"/>
    </row>
    <row r="3256" spans="1:11" x14ac:dyDescent="0.35">
      <c r="B3256" s="129"/>
      <c r="D3256" s="129"/>
      <c r="E3256" s="129"/>
      <c r="F3256" s="129"/>
      <c r="K3256" s="224"/>
    </row>
    <row r="3257" spans="1:11" x14ac:dyDescent="0.35">
      <c r="A3257" s="225" t="s">
        <v>17</v>
      </c>
      <c r="B3257" s="225"/>
      <c r="D3257" s="129"/>
      <c r="E3257" s="129"/>
      <c r="F3257" s="129"/>
      <c r="K3257" s="224"/>
    </row>
    <row r="3258" spans="1:11" x14ac:dyDescent="0.35">
      <c r="A3258" s="225" t="s">
        <v>774</v>
      </c>
      <c r="B3258" s="225"/>
      <c r="D3258" s="129"/>
      <c r="E3258" s="129"/>
      <c r="F3258" s="129"/>
      <c r="K3258" s="224"/>
    </row>
    <row r="3259" spans="1:11" x14ac:dyDescent="0.35">
      <c r="A3259" s="225" t="s">
        <v>834</v>
      </c>
      <c r="B3259" s="225"/>
      <c r="D3259" s="129"/>
      <c r="E3259" s="129"/>
      <c r="F3259" s="129"/>
      <c r="K3259" s="224"/>
    </row>
    <row r="3271" spans="5:6" x14ac:dyDescent="0.35">
      <c r="E3271" s="123"/>
      <c r="F3271" s="123"/>
    </row>
    <row r="3272" spans="5:6" x14ac:dyDescent="0.35">
      <c r="E3272" s="123"/>
      <c r="F3272" s="123"/>
    </row>
    <row r="3273" spans="5:6" x14ac:dyDescent="0.35">
      <c r="E3273" s="123"/>
      <c r="F3273" s="123"/>
    </row>
    <row r="3274" spans="5:6" x14ac:dyDescent="0.35">
      <c r="E3274" s="123"/>
      <c r="F3274" s="123"/>
    </row>
    <row r="3275" spans="5:6" x14ac:dyDescent="0.35">
      <c r="E3275" s="123"/>
      <c r="F3275" s="123"/>
    </row>
    <row r="3276" spans="5:6" x14ac:dyDescent="0.35">
      <c r="E3276" s="123"/>
      <c r="F3276" s="123"/>
    </row>
    <row r="3277" spans="5:6" x14ac:dyDescent="0.35">
      <c r="E3277" s="123"/>
      <c r="F3277" s="123"/>
    </row>
    <row r="3278" spans="5:6" x14ac:dyDescent="0.35">
      <c r="E3278" s="123"/>
      <c r="F3278" s="123"/>
    </row>
    <row r="3279" spans="5:6" x14ac:dyDescent="0.35">
      <c r="E3279" s="123"/>
      <c r="F3279" s="123"/>
    </row>
    <row r="3280" spans="5:6" x14ac:dyDescent="0.35">
      <c r="E3280" s="123"/>
      <c r="F3280" s="123"/>
    </row>
    <row r="3281" spans="5:6" x14ac:dyDescent="0.35">
      <c r="E3281" s="123"/>
      <c r="F3281" s="123"/>
    </row>
    <row r="3282" spans="5:6" x14ac:dyDescent="0.35">
      <c r="E3282" s="123"/>
      <c r="F3282" s="123"/>
    </row>
    <row r="3283" spans="5:6" x14ac:dyDescent="0.35">
      <c r="E3283" s="123"/>
      <c r="F3283" s="123"/>
    </row>
    <row r="3284" spans="5:6" x14ac:dyDescent="0.35">
      <c r="E3284" s="123"/>
      <c r="F3284" s="123"/>
    </row>
    <row r="3285" spans="5:6" x14ac:dyDescent="0.35">
      <c r="E3285" s="123"/>
      <c r="F3285" s="123"/>
    </row>
    <row r="3286" spans="5:6" x14ac:dyDescent="0.35">
      <c r="E3286" s="123"/>
      <c r="F3286" s="123"/>
    </row>
    <row r="3287" spans="5:6" x14ac:dyDescent="0.35">
      <c r="E3287" s="123"/>
      <c r="F3287" s="123"/>
    </row>
    <row r="3299" spans="5:6" x14ac:dyDescent="0.35">
      <c r="E3299" s="123"/>
      <c r="F3299" s="123"/>
    </row>
    <row r="3300" spans="5:6" x14ac:dyDescent="0.35">
      <c r="E3300" s="123"/>
      <c r="F3300" s="123"/>
    </row>
    <row r="3301" spans="5:6" x14ac:dyDescent="0.35">
      <c r="E3301" s="123"/>
      <c r="F3301" s="123"/>
    </row>
    <row r="3302" spans="5:6" x14ac:dyDescent="0.35">
      <c r="E3302" s="123"/>
      <c r="F3302" s="123"/>
    </row>
    <row r="3303" spans="5:6" x14ac:dyDescent="0.35">
      <c r="E3303" s="123"/>
      <c r="F3303" s="123"/>
    </row>
    <row r="3304" spans="5:6" x14ac:dyDescent="0.35">
      <c r="E3304" s="123"/>
      <c r="F3304" s="123"/>
    </row>
    <row r="3305" spans="5:6" x14ac:dyDescent="0.35">
      <c r="E3305" s="123"/>
      <c r="F3305" s="123"/>
    </row>
    <row r="3306" spans="5:6" x14ac:dyDescent="0.35">
      <c r="E3306" s="123"/>
      <c r="F3306" s="123"/>
    </row>
    <row r="3307" spans="5:6" x14ac:dyDescent="0.35">
      <c r="E3307" s="123"/>
      <c r="F3307" s="123"/>
    </row>
    <row r="3308" spans="5:6" x14ac:dyDescent="0.35">
      <c r="E3308" s="123"/>
      <c r="F3308" s="123"/>
    </row>
    <row r="3309" spans="5:6" x14ac:dyDescent="0.35">
      <c r="E3309" s="123"/>
      <c r="F3309" s="123"/>
    </row>
    <row r="3310" spans="5:6" x14ac:dyDescent="0.35">
      <c r="E3310" s="123"/>
      <c r="F3310" s="123"/>
    </row>
    <row r="3311" spans="5:6" x14ac:dyDescent="0.35">
      <c r="E3311" s="123"/>
      <c r="F3311" s="123"/>
    </row>
    <row r="3312" spans="5:6" x14ac:dyDescent="0.35">
      <c r="E3312" s="123"/>
      <c r="F3312" s="123"/>
    </row>
    <row r="3313" spans="5:6" x14ac:dyDescent="0.35">
      <c r="E3313" s="123"/>
      <c r="F3313" s="123"/>
    </row>
    <row r="3314" spans="5:6" x14ac:dyDescent="0.35">
      <c r="E3314" s="123"/>
      <c r="F3314" s="123"/>
    </row>
    <row r="3315" spans="5:6" x14ac:dyDescent="0.35">
      <c r="E3315" s="123"/>
      <c r="F3315" s="123"/>
    </row>
    <row r="3316" spans="5:6" x14ac:dyDescent="0.35">
      <c r="E3316" s="123"/>
      <c r="F3316" s="123"/>
    </row>
    <row r="3317" spans="5:6" x14ac:dyDescent="0.35">
      <c r="E3317" s="123"/>
      <c r="F3317" s="123"/>
    </row>
    <row r="3318" spans="5:6" x14ac:dyDescent="0.35">
      <c r="E3318" s="123"/>
      <c r="F3318" s="123"/>
    </row>
    <row r="3328" spans="5:6" x14ac:dyDescent="0.35">
      <c r="E3328" s="123"/>
      <c r="F3328" s="123"/>
    </row>
    <row r="3329" spans="5:6" x14ac:dyDescent="0.35">
      <c r="E3329" s="123"/>
      <c r="F3329" s="123"/>
    </row>
    <row r="3330" spans="5:6" x14ac:dyDescent="0.35">
      <c r="E3330" s="123"/>
      <c r="F3330" s="123"/>
    </row>
    <row r="3331" spans="5:6" x14ac:dyDescent="0.35">
      <c r="E3331" s="123"/>
      <c r="F3331" s="123"/>
    </row>
    <row r="3332" spans="5:6" x14ac:dyDescent="0.35">
      <c r="E3332" s="123"/>
      <c r="F3332" s="123"/>
    </row>
    <row r="3333" spans="5:6" x14ac:dyDescent="0.35">
      <c r="E3333" s="123"/>
      <c r="F3333" s="123"/>
    </row>
    <row r="3334" spans="5:6" x14ac:dyDescent="0.35">
      <c r="E3334" s="123"/>
      <c r="F3334" s="123"/>
    </row>
    <row r="3335" spans="5:6" x14ac:dyDescent="0.35">
      <c r="E3335" s="123"/>
      <c r="F3335" s="123"/>
    </row>
    <row r="3336" spans="5:6" x14ac:dyDescent="0.35">
      <c r="E3336" s="123"/>
      <c r="F3336" s="123"/>
    </row>
    <row r="3337" spans="5:6" x14ac:dyDescent="0.35">
      <c r="E3337" s="123"/>
      <c r="F3337" s="123"/>
    </row>
    <row r="3338" spans="5:6" x14ac:dyDescent="0.35">
      <c r="E3338" s="123"/>
      <c r="F3338" s="123"/>
    </row>
    <row r="3339" spans="5:6" x14ac:dyDescent="0.35">
      <c r="E3339" s="123"/>
      <c r="F3339" s="123"/>
    </row>
    <row r="3340" spans="5:6" x14ac:dyDescent="0.35">
      <c r="E3340" s="123"/>
      <c r="F3340" s="123"/>
    </row>
    <row r="3341" spans="5:6" x14ac:dyDescent="0.35">
      <c r="E3341" s="123"/>
      <c r="F3341" s="123"/>
    </row>
    <row r="3342" spans="5:6" x14ac:dyDescent="0.35">
      <c r="E3342" s="123"/>
      <c r="F3342" s="123"/>
    </row>
    <row r="3343" spans="5:6" x14ac:dyDescent="0.35">
      <c r="E3343" s="123"/>
      <c r="F3343" s="123"/>
    </row>
    <row r="3344" spans="5:6" x14ac:dyDescent="0.35">
      <c r="E3344" s="123"/>
      <c r="F3344" s="123"/>
    </row>
    <row r="3345" spans="5:6" x14ac:dyDescent="0.35">
      <c r="E3345" s="123"/>
      <c r="F3345" s="123"/>
    </row>
    <row r="3346" spans="5:6" x14ac:dyDescent="0.35">
      <c r="E3346" s="123"/>
      <c r="F3346" s="123"/>
    </row>
    <row r="3347" spans="5:6" x14ac:dyDescent="0.35">
      <c r="E3347" s="123"/>
      <c r="F3347" s="123"/>
    </row>
    <row r="3348" spans="5:6" x14ac:dyDescent="0.35">
      <c r="E3348" s="123"/>
      <c r="F3348" s="123"/>
    </row>
    <row r="3349" spans="5:6" x14ac:dyDescent="0.35">
      <c r="E3349" s="123"/>
      <c r="F3349" s="123"/>
    </row>
    <row r="3350" spans="5:6" x14ac:dyDescent="0.35">
      <c r="E3350" s="123"/>
      <c r="F3350" s="123"/>
    </row>
    <row r="3355" spans="5:6" x14ac:dyDescent="0.35">
      <c r="E3355" s="123"/>
      <c r="F3355" s="123"/>
    </row>
    <row r="3356" spans="5:6" x14ac:dyDescent="0.35">
      <c r="E3356" s="123"/>
      <c r="F3356" s="123"/>
    </row>
    <row r="3357" spans="5:6" x14ac:dyDescent="0.35">
      <c r="E3357" s="123"/>
      <c r="F3357" s="123"/>
    </row>
    <row r="3358" spans="5:6" x14ac:dyDescent="0.35">
      <c r="E3358" s="123"/>
      <c r="F3358" s="123"/>
    </row>
    <row r="3359" spans="5:6" x14ac:dyDescent="0.35">
      <c r="E3359" s="123"/>
      <c r="F3359" s="123"/>
    </row>
    <row r="3360" spans="5:6" x14ac:dyDescent="0.35">
      <c r="E3360" s="123"/>
      <c r="F3360" s="123"/>
    </row>
    <row r="3361" spans="5:6" x14ac:dyDescent="0.35">
      <c r="E3361" s="123"/>
      <c r="F3361" s="123"/>
    </row>
    <row r="3362" spans="5:6" x14ac:dyDescent="0.35">
      <c r="E3362" s="123"/>
      <c r="F3362" s="123"/>
    </row>
    <row r="3363" spans="5:6" x14ac:dyDescent="0.35">
      <c r="E3363" s="123"/>
      <c r="F3363" s="123"/>
    </row>
  </sheetData>
  <autoFilter ref="A4:K3250"/>
  <customSheetViews>
    <customSheetView guid="{114D0552-1D3C-4C9A-AF28-55BD1176DD7C}" showPageBreaks="1" fitToPage="1" printArea="1" showAutoFilter="1">
      <pane xSplit="3" ySplit="5" topLeftCell="D133" activePane="bottomRight" state="frozen"/>
      <selection pane="bottomRight" activeCell="F82" sqref="F82"/>
      <rowBreaks count="12" manualBreakCount="12">
        <brk id="64" max="7" man="1"/>
        <brk id="110" max="7" man="1"/>
        <brk id="139" max="7" man="1"/>
        <brk id="150" max="7" man="1"/>
        <brk id="181" max="7" man="1"/>
        <brk id="312" max="7" man="1"/>
        <brk id="365" max="7" man="1"/>
        <brk id="433" max="7" man="1"/>
        <brk id="499" max="7" man="1"/>
        <brk id="569" max="7" man="1"/>
        <brk id="637" max="7" man="1"/>
        <brk id="847" max="7" man="1"/>
      </rowBreaks>
      <pageMargins left="0.31496062992125984" right="0.31496062992125984" top="0.35433070866141736" bottom="0.35433070866141736" header="0.31496062992125984" footer="0.31496062992125984"/>
      <printOptions horizontalCentered="1"/>
      <pageSetup paperSize="9" scale="10" orientation="portrait" r:id="rId1"/>
      <autoFilter ref="B1:I1"/>
    </customSheetView>
    <customSheetView guid="{CC3EEC02-30D2-4905-AE21-71EA71520321}" scale="80" showPageBreaks="1" printArea="1" showAutoFilter="1" topLeftCell="A380">
      <selection activeCell="F648" sqref="F648:H650"/>
      <rowBreaks count="7" manualBreakCount="7">
        <brk id="87" max="7" man="1"/>
        <brk id="166" max="7" man="1"/>
        <brk id="257" max="7" man="1"/>
        <brk id="348" max="7" man="1"/>
        <brk id="447" max="7" man="1"/>
        <brk id="547" max="7" man="1"/>
        <brk id="650" max="7" man="1"/>
      </rowBreaks>
      <pageMargins left="0.31496062992125984" right="0.31496062992125984" top="0.35433070866141736" bottom="0.35433070866141736" header="0.31496062992125984" footer="0.31496062992125984"/>
      <printOptions horizontalCentered="1"/>
      <pageSetup paperSize="9" scale="49" fitToHeight="10" orientation="portrait" r:id="rId2"/>
      <autoFilter ref="B1:I1"/>
    </customSheetView>
    <customSheetView guid="{3511D8A4-2A8D-4563-8DF1-C381EEDBF68F}" scale="90" showPageBreaks="1" printArea="1" showAutoFilter="1" topLeftCell="A172">
      <selection activeCell="I185" sqref="I185"/>
      <rowBreaks count="7" manualBreakCount="7">
        <brk id="87" max="7" man="1"/>
        <brk id="166" max="7" man="1"/>
        <brk id="257" max="7" man="1"/>
        <brk id="348" max="7" man="1"/>
        <brk id="447" max="7" man="1"/>
        <brk id="547" max="7" man="1"/>
        <brk id="650" max="7" man="1"/>
      </rowBreaks>
      <pageMargins left="0.31496062992125984" right="0.31496062992125984" top="0.35433070866141736" bottom="0.35433070866141736" header="0.31496062992125984" footer="0.31496062992125984"/>
      <printOptions horizontalCentered="1"/>
      <pageSetup paperSize="9" scale="49" fitToHeight="10" orientation="portrait" r:id="rId3"/>
      <autoFilter ref="B1:I1"/>
    </customSheetView>
  </customSheetViews>
  <mergeCells count="6182">
    <mergeCell ref="A1:K1"/>
    <mergeCell ref="G2469:G2471"/>
    <mergeCell ref="G2869:G2871"/>
    <mergeCell ref="G2667:G2669"/>
    <mergeCell ref="G2651:G2652"/>
    <mergeCell ref="G2424:G2425"/>
    <mergeCell ref="G2464:G2465"/>
    <mergeCell ref="G2441:G2442"/>
    <mergeCell ref="G1886:G1887"/>
    <mergeCell ref="G1910:G1911"/>
    <mergeCell ref="G1916:G1918"/>
    <mergeCell ref="G1919:G1921"/>
    <mergeCell ref="G1922:G1924"/>
    <mergeCell ref="G1930:G1931"/>
    <mergeCell ref="G1878:G1880"/>
    <mergeCell ref="G1870:G1872"/>
    <mergeCell ref="G1956:G1958"/>
    <mergeCell ref="G1939:G1941"/>
    <mergeCell ref="G1976:G1978"/>
    <mergeCell ref="G1979:G1981"/>
    <mergeCell ref="C1844:C1845"/>
    <mergeCell ref="D1844:D1845"/>
    <mergeCell ref="E1844:E1845"/>
    <mergeCell ref="F1844:F1845"/>
    <mergeCell ref="C1851:C1853"/>
    <mergeCell ref="D1851:D1853"/>
    <mergeCell ref="E1851:E1853"/>
    <mergeCell ref="G1844:G1845"/>
    <mergeCell ref="G1818:G1819"/>
    <mergeCell ref="E1806:E1812"/>
    <mergeCell ref="F1806:F1812"/>
    <mergeCell ref="C1854:C1855"/>
    <mergeCell ref="G1861:G1862"/>
    <mergeCell ref="G1851:G1853"/>
    <mergeCell ref="C1842:C1843"/>
    <mergeCell ref="D1842:D1843"/>
    <mergeCell ref="E1842:E1843"/>
    <mergeCell ref="F1842:F1843"/>
    <mergeCell ref="G1846:G1847"/>
    <mergeCell ref="G1848:G1850"/>
    <mergeCell ref="G1854:G1855"/>
    <mergeCell ref="G1856:G1858"/>
    <mergeCell ref="G1859:G1860"/>
    <mergeCell ref="G1807:G1809"/>
    <mergeCell ref="G1810:G1812"/>
    <mergeCell ref="G1820:G1822"/>
    <mergeCell ref="E1818:E1819"/>
    <mergeCell ref="F1818:F1819"/>
    <mergeCell ref="G1813:G1814"/>
    <mergeCell ref="G1836:G1837"/>
    <mergeCell ref="G1838:G1839"/>
    <mergeCell ref="G1840:G1841"/>
    <mergeCell ref="F1823:F1832"/>
    <mergeCell ref="A1677:A1679"/>
    <mergeCell ref="B1677:B1679"/>
    <mergeCell ref="C1677:C1679"/>
    <mergeCell ref="D1677:D1679"/>
    <mergeCell ref="E1677:E1679"/>
    <mergeCell ref="F1677:F1679"/>
    <mergeCell ref="G1677:G1679"/>
    <mergeCell ref="D1820:D1822"/>
    <mergeCell ref="E1820:E1822"/>
    <mergeCell ref="F1820:F1822"/>
    <mergeCell ref="A1813:A1814"/>
    <mergeCell ref="A1727:A1729"/>
    <mergeCell ref="B1727:B1729"/>
    <mergeCell ref="C1727:C1729"/>
    <mergeCell ref="D1727:D1729"/>
    <mergeCell ref="E1727:E1729"/>
    <mergeCell ref="F1727:F1729"/>
    <mergeCell ref="G1727:G1729"/>
    <mergeCell ref="E1786:E1788"/>
    <mergeCell ref="F1786:F1788"/>
    <mergeCell ref="A1789:A1790"/>
    <mergeCell ref="B1789:B1790"/>
    <mergeCell ref="C1789:C1790"/>
    <mergeCell ref="D1789:D1790"/>
    <mergeCell ref="E1789:E1790"/>
    <mergeCell ref="F1789:F1790"/>
    <mergeCell ref="G1789:G1790"/>
    <mergeCell ref="A1730:A1731"/>
    <mergeCell ref="B1730:B1731"/>
    <mergeCell ref="C1730:C1731"/>
    <mergeCell ref="D1730:D1731"/>
    <mergeCell ref="E1730:E1731"/>
    <mergeCell ref="A1842:A1843"/>
    <mergeCell ref="B1842:B1843"/>
    <mergeCell ref="B1820:B1822"/>
    <mergeCell ref="C1820:C1822"/>
    <mergeCell ref="A3206:A3212"/>
    <mergeCell ref="B3206:B3212"/>
    <mergeCell ref="C3206:C3212"/>
    <mergeCell ref="D3206:D3212"/>
    <mergeCell ref="E3206:E3212"/>
    <mergeCell ref="F3206:F3212"/>
    <mergeCell ref="G3207:G3209"/>
    <mergeCell ref="G3210:G3212"/>
    <mergeCell ref="G1713:G1714"/>
    <mergeCell ref="A2499:A2500"/>
    <mergeCell ref="B2499:B2500"/>
    <mergeCell ref="C2499:C2500"/>
    <mergeCell ref="D2499:D2500"/>
    <mergeCell ref="E2499:E2500"/>
    <mergeCell ref="E1772:E1774"/>
    <mergeCell ref="F2499:F2500"/>
    <mergeCell ref="G2499:G2500"/>
    <mergeCell ref="A2501:A2502"/>
    <mergeCell ref="B2501:B2502"/>
    <mergeCell ref="C2501:C2502"/>
    <mergeCell ref="D2501:D2502"/>
    <mergeCell ref="E2501:E2502"/>
    <mergeCell ref="F2501:F2502"/>
    <mergeCell ref="G2501:G2502"/>
    <mergeCell ref="A2491:A2493"/>
    <mergeCell ref="B2491:B2493"/>
    <mergeCell ref="C2491:C2493"/>
    <mergeCell ref="D2491:D2493"/>
    <mergeCell ref="A3213:A3216"/>
    <mergeCell ref="B3213:B3216"/>
    <mergeCell ref="C3213:C3216"/>
    <mergeCell ref="D3213:D3216"/>
    <mergeCell ref="E3213:E3216"/>
    <mergeCell ref="F3213:F3216"/>
    <mergeCell ref="G3213:G3216"/>
    <mergeCell ref="G3033:G3035"/>
    <mergeCell ref="G3036:G3038"/>
    <mergeCell ref="G3039:G3041"/>
    <mergeCell ref="A3051:A3053"/>
    <mergeCell ref="E3125:E3127"/>
    <mergeCell ref="F3125:F3127"/>
    <mergeCell ref="G3125:G3127"/>
    <mergeCell ref="A3111:A3113"/>
    <mergeCell ref="D3082:D3084"/>
    <mergeCell ref="E3082:E3084"/>
    <mergeCell ref="F3082:F3084"/>
    <mergeCell ref="G3082:G3084"/>
    <mergeCell ref="B3075:B3081"/>
    <mergeCell ref="A3088:A3092"/>
    <mergeCell ref="B3088:B3092"/>
    <mergeCell ref="A3120:A3124"/>
    <mergeCell ref="B3120:B3124"/>
    <mergeCell ref="C3120:C3124"/>
    <mergeCell ref="D3120:D3124"/>
    <mergeCell ref="E3120:E3124"/>
    <mergeCell ref="F3120:F3124"/>
    <mergeCell ref="G3120:G3124"/>
    <mergeCell ref="A3117:A3119"/>
    <mergeCell ref="B3117:B3119"/>
    <mergeCell ref="C3117:C3119"/>
    <mergeCell ref="C2611:C2613"/>
    <mergeCell ref="A2607:A2609"/>
    <mergeCell ref="D2519:D2520"/>
    <mergeCell ref="E2519:E2520"/>
    <mergeCell ref="F2519:F2520"/>
    <mergeCell ref="A2513:A2517"/>
    <mergeCell ref="A2504:A2505"/>
    <mergeCell ref="A2677:A2679"/>
    <mergeCell ref="A2670:A2672"/>
    <mergeCell ref="E2491:E2493"/>
    <mergeCell ref="F2491:F2493"/>
    <mergeCell ref="G2491:G2493"/>
    <mergeCell ref="A2494:A2495"/>
    <mergeCell ref="B2494:B2495"/>
    <mergeCell ref="C2494:C2495"/>
    <mergeCell ref="D2494:D2495"/>
    <mergeCell ref="E2494:E2495"/>
    <mergeCell ref="F2494:F2495"/>
    <mergeCell ref="G2494:G2495"/>
    <mergeCell ref="A2496:A2498"/>
    <mergeCell ref="B2496:B2498"/>
    <mergeCell ref="C2496:C2498"/>
    <mergeCell ref="D2496:D2498"/>
    <mergeCell ref="E2496:E2498"/>
    <mergeCell ref="F2496:F2498"/>
    <mergeCell ref="G2496:G2498"/>
    <mergeCell ref="A2485:A2486"/>
    <mergeCell ref="B2485:B2486"/>
    <mergeCell ref="C2485:C2486"/>
    <mergeCell ref="D2485:D2486"/>
    <mergeCell ref="E2485:E2486"/>
    <mergeCell ref="F2485:F2486"/>
    <mergeCell ref="G2485:G2486"/>
    <mergeCell ref="A2487:A2488"/>
    <mergeCell ref="B2487:B2488"/>
    <mergeCell ref="C2487:C2488"/>
    <mergeCell ref="D2487:D2488"/>
    <mergeCell ref="E2487:E2488"/>
    <mergeCell ref="F2487:F2488"/>
    <mergeCell ref="G2487:G2488"/>
    <mergeCell ref="A2489:A2490"/>
    <mergeCell ref="B2489:B2490"/>
    <mergeCell ref="C2489:C2490"/>
    <mergeCell ref="D2489:D2490"/>
    <mergeCell ref="E2489:E2490"/>
    <mergeCell ref="F2489:F2490"/>
    <mergeCell ref="G2489:G2490"/>
    <mergeCell ref="A2479:A2480"/>
    <mergeCell ref="B2479:B2480"/>
    <mergeCell ref="C2479:C2480"/>
    <mergeCell ref="D2479:D2480"/>
    <mergeCell ref="E2479:E2480"/>
    <mergeCell ref="F2479:F2480"/>
    <mergeCell ref="G2479:G2480"/>
    <mergeCell ref="A2481:A2482"/>
    <mergeCell ref="B2481:B2482"/>
    <mergeCell ref="C2481:C2482"/>
    <mergeCell ref="D2481:D2482"/>
    <mergeCell ref="E2481:E2482"/>
    <mergeCell ref="F2481:F2482"/>
    <mergeCell ref="G2481:G2482"/>
    <mergeCell ref="A2483:A2484"/>
    <mergeCell ref="B2483:B2484"/>
    <mergeCell ref="C2483:C2484"/>
    <mergeCell ref="D2483:D2484"/>
    <mergeCell ref="E2483:E2484"/>
    <mergeCell ref="F2483:F2484"/>
    <mergeCell ref="G2483:G2484"/>
    <mergeCell ref="A2472:A2473"/>
    <mergeCell ref="B2472:B2473"/>
    <mergeCell ref="C2472:C2473"/>
    <mergeCell ref="D2472:D2473"/>
    <mergeCell ref="E2472:E2473"/>
    <mergeCell ref="F2472:F2473"/>
    <mergeCell ref="G2472:G2473"/>
    <mergeCell ref="A2474:A2475"/>
    <mergeCell ref="B2474:B2475"/>
    <mergeCell ref="C2474:C2475"/>
    <mergeCell ref="D2474:D2475"/>
    <mergeCell ref="E2474:E2475"/>
    <mergeCell ref="F2474:F2475"/>
    <mergeCell ref="G2474:G2475"/>
    <mergeCell ref="A2476:A2478"/>
    <mergeCell ref="B2476:B2478"/>
    <mergeCell ref="C2476:C2478"/>
    <mergeCell ref="D2476:D2478"/>
    <mergeCell ref="E2476:E2478"/>
    <mergeCell ref="F2476:F2478"/>
    <mergeCell ref="G2476:G2478"/>
    <mergeCell ref="A2457:A2458"/>
    <mergeCell ref="B2457:B2458"/>
    <mergeCell ref="C2457:C2458"/>
    <mergeCell ref="D2457:D2458"/>
    <mergeCell ref="E2457:E2458"/>
    <mergeCell ref="F2457:F2458"/>
    <mergeCell ref="G2457:G2458"/>
    <mergeCell ref="A2459:A2461"/>
    <mergeCell ref="B2459:B2461"/>
    <mergeCell ref="C2459:C2461"/>
    <mergeCell ref="D2459:D2461"/>
    <mergeCell ref="E2459:E2461"/>
    <mergeCell ref="F2459:F2461"/>
    <mergeCell ref="G2460:G2461"/>
    <mergeCell ref="A2462:A2463"/>
    <mergeCell ref="B2462:B2463"/>
    <mergeCell ref="C2462:C2463"/>
    <mergeCell ref="D2462:D2463"/>
    <mergeCell ref="E2462:E2463"/>
    <mergeCell ref="F2462:F2463"/>
    <mergeCell ref="G2462:G2463"/>
    <mergeCell ref="A2448:A2450"/>
    <mergeCell ref="B2448:B2450"/>
    <mergeCell ref="C2448:C2450"/>
    <mergeCell ref="D2448:D2450"/>
    <mergeCell ref="E2448:E2450"/>
    <mergeCell ref="F2448:F2450"/>
    <mergeCell ref="G2448:G2450"/>
    <mergeCell ref="A2451:A2453"/>
    <mergeCell ref="B2451:B2453"/>
    <mergeCell ref="C2451:C2453"/>
    <mergeCell ref="D2451:D2453"/>
    <mergeCell ref="E2451:E2453"/>
    <mergeCell ref="F2451:F2453"/>
    <mergeCell ref="G2451:G2453"/>
    <mergeCell ref="A2454:A2456"/>
    <mergeCell ref="B2454:B2456"/>
    <mergeCell ref="C2454:C2456"/>
    <mergeCell ref="D2454:D2456"/>
    <mergeCell ref="E2454:E2456"/>
    <mergeCell ref="F2454:F2456"/>
    <mergeCell ref="G2454:G2456"/>
    <mergeCell ref="A2439:A2442"/>
    <mergeCell ref="B2439:B2442"/>
    <mergeCell ref="C2439:C2442"/>
    <mergeCell ref="D2439:D2442"/>
    <mergeCell ref="E2439:E2442"/>
    <mergeCell ref="F2439:F2442"/>
    <mergeCell ref="A2443:A2444"/>
    <mergeCell ref="B2443:B2444"/>
    <mergeCell ref="C2443:C2444"/>
    <mergeCell ref="D2443:D2444"/>
    <mergeCell ref="E2443:E2444"/>
    <mergeCell ref="F2443:F2444"/>
    <mergeCell ref="G2443:G2444"/>
    <mergeCell ref="A2445:A2447"/>
    <mergeCell ref="B2445:B2447"/>
    <mergeCell ref="C2445:C2447"/>
    <mergeCell ref="D2445:D2447"/>
    <mergeCell ref="E2445:E2447"/>
    <mergeCell ref="F2445:F2447"/>
    <mergeCell ref="G2445:G2447"/>
    <mergeCell ref="A2433:A2434"/>
    <mergeCell ref="B2433:B2434"/>
    <mergeCell ref="C2433:C2434"/>
    <mergeCell ref="D2433:D2434"/>
    <mergeCell ref="E2433:E2434"/>
    <mergeCell ref="F2433:F2434"/>
    <mergeCell ref="G2433:G2434"/>
    <mergeCell ref="A2435:A2436"/>
    <mergeCell ref="B2435:B2436"/>
    <mergeCell ref="C2435:C2436"/>
    <mergeCell ref="D2435:D2436"/>
    <mergeCell ref="E2435:E2436"/>
    <mergeCell ref="F2435:F2436"/>
    <mergeCell ref="G2435:G2436"/>
    <mergeCell ref="A2437:A2438"/>
    <mergeCell ref="B2437:B2438"/>
    <mergeCell ref="C2437:C2438"/>
    <mergeCell ref="D2437:D2438"/>
    <mergeCell ref="E2437:E2438"/>
    <mergeCell ref="F2437:F2438"/>
    <mergeCell ref="G2437:G2438"/>
    <mergeCell ref="A2426:A2427"/>
    <mergeCell ref="B2426:B2427"/>
    <mergeCell ref="C2426:C2427"/>
    <mergeCell ref="D2426:D2427"/>
    <mergeCell ref="E2426:E2427"/>
    <mergeCell ref="F2426:F2427"/>
    <mergeCell ref="G2426:G2427"/>
    <mergeCell ref="A2428:A2429"/>
    <mergeCell ref="B2428:B2429"/>
    <mergeCell ref="C2428:C2429"/>
    <mergeCell ref="D2428:D2429"/>
    <mergeCell ref="E2428:E2429"/>
    <mergeCell ref="F2428:F2429"/>
    <mergeCell ref="G2428:G2429"/>
    <mergeCell ref="A2430:A2432"/>
    <mergeCell ref="B2430:B2432"/>
    <mergeCell ref="C2430:C2432"/>
    <mergeCell ref="D2430:D2432"/>
    <mergeCell ref="E2430:E2432"/>
    <mergeCell ref="F2430:F2432"/>
    <mergeCell ref="G2430:G2432"/>
    <mergeCell ref="A2415:A2418"/>
    <mergeCell ref="B2415:B2418"/>
    <mergeCell ref="C2415:C2418"/>
    <mergeCell ref="D2415:D2418"/>
    <mergeCell ref="E2415:E2418"/>
    <mergeCell ref="F2415:F2418"/>
    <mergeCell ref="G2415:G2418"/>
    <mergeCell ref="A2419:A2421"/>
    <mergeCell ref="B2419:B2421"/>
    <mergeCell ref="C2419:C2421"/>
    <mergeCell ref="D2419:D2421"/>
    <mergeCell ref="E2419:E2421"/>
    <mergeCell ref="F2419:F2421"/>
    <mergeCell ref="G2419:G2421"/>
    <mergeCell ref="A2422:A2425"/>
    <mergeCell ref="B2422:B2425"/>
    <mergeCell ref="C2422:C2425"/>
    <mergeCell ref="D2422:D2425"/>
    <mergeCell ref="E2422:E2425"/>
    <mergeCell ref="F2422:F2425"/>
    <mergeCell ref="A2406:A2408"/>
    <mergeCell ref="B2406:B2408"/>
    <mergeCell ref="C2406:C2408"/>
    <mergeCell ref="D2406:D2408"/>
    <mergeCell ref="E2406:E2408"/>
    <mergeCell ref="F2406:F2408"/>
    <mergeCell ref="G2406:G2408"/>
    <mergeCell ref="A2409:A2411"/>
    <mergeCell ref="B2409:B2411"/>
    <mergeCell ref="C2409:C2411"/>
    <mergeCell ref="D2409:D2411"/>
    <mergeCell ref="E2409:E2411"/>
    <mergeCell ref="F2409:F2411"/>
    <mergeCell ref="G2409:G2411"/>
    <mergeCell ref="A2412:A2414"/>
    <mergeCell ref="B2412:B2414"/>
    <mergeCell ref="C2412:C2414"/>
    <mergeCell ref="D2412:D2414"/>
    <mergeCell ref="E2412:E2414"/>
    <mergeCell ref="F2412:F2414"/>
    <mergeCell ref="G2412:G2414"/>
    <mergeCell ref="A2399:A2401"/>
    <mergeCell ref="B2399:B2401"/>
    <mergeCell ref="C2399:C2401"/>
    <mergeCell ref="D2399:D2401"/>
    <mergeCell ref="E2399:E2401"/>
    <mergeCell ref="F2399:F2401"/>
    <mergeCell ref="G2399:G2401"/>
    <mergeCell ref="A2402:A2403"/>
    <mergeCell ref="B2402:B2403"/>
    <mergeCell ref="C2402:C2403"/>
    <mergeCell ref="D2402:D2403"/>
    <mergeCell ref="E2402:E2403"/>
    <mergeCell ref="F2402:F2403"/>
    <mergeCell ref="G2402:G2403"/>
    <mergeCell ref="A2404:A2405"/>
    <mergeCell ref="B2404:B2405"/>
    <mergeCell ref="C2404:C2405"/>
    <mergeCell ref="D2404:D2405"/>
    <mergeCell ref="E2404:E2405"/>
    <mergeCell ref="F2404:F2405"/>
    <mergeCell ref="G2404:G2405"/>
    <mergeCell ref="A2386:A2388"/>
    <mergeCell ref="B2386:B2388"/>
    <mergeCell ref="C2386:C2388"/>
    <mergeCell ref="D2386:D2388"/>
    <mergeCell ref="E2386:E2388"/>
    <mergeCell ref="F2386:F2388"/>
    <mergeCell ref="G2386:G2388"/>
    <mergeCell ref="A2389:A2391"/>
    <mergeCell ref="B2389:B2391"/>
    <mergeCell ref="C2389:C2391"/>
    <mergeCell ref="D2389:D2391"/>
    <mergeCell ref="E2389:E2391"/>
    <mergeCell ref="F2389:F2391"/>
    <mergeCell ref="G2389:G2391"/>
    <mergeCell ref="A2392:A2398"/>
    <mergeCell ref="B2392:B2398"/>
    <mergeCell ref="C2392:C2398"/>
    <mergeCell ref="D2392:D2398"/>
    <mergeCell ref="E2392:E2398"/>
    <mergeCell ref="F2392:F2398"/>
    <mergeCell ref="G2393:G2395"/>
    <mergeCell ref="G2396:G2398"/>
    <mergeCell ref="A2378:A2380"/>
    <mergeCell ref="B2378:B2380"/>
    <mergeCell ref="C2378:C2380"/>
    <mergeCell ref="D2378:D2380"/>
    <mergeCell ref="E2378:E2380"/>
    <mergeCell ref="F2378:F2380"/>
    <mergeCell ref="G2378:G2380"/>
    <mergeCell ref="A2381:A2382"/>
    <mergeCell ref="B2381:B2382"/>
    <mergeCell ref="C2381:C2382"/>
    <mergeCell ref="D2381:D2382"/>
    <mergeCell ref="E2381:E2382"/>
    <mergeCell ref="F2381:F2382"/>
    <mergeCell ref="G2381:G2382"/>
    <mergeCell ref="A2383:A2385"/>
    <mergeCell ref="B2383:B2385"/>
    <mergeCell ref="C2383:C2385"/>
    <mergeCell ref="D2383:D2385"/>
    <mergeCell ref="E2383:E2385"/>
    <mergeCell ref="F2383:F2385"/>
    <mergeCell ref="G2383:G2385"/>
    <mergeCell ref="A2370:A2371"/>
    <mergeCell ref="B2370:B2371"/>
    <mergeCell ref="C2370:C2371"/>
    <mergeCell ref="D2370:D2371"/>
    <mergeCell ref="E2370:E2371"/>
    <mergeCell ref="F2370:F2371"/>
    <mergeCell ref="G2370:G2371"/>
    <mergeCell ref="A2372:A2375"/>
    <mergeCell ref="B2372:B2375"/>
    <mergeCell ref="C2372:C2375"/>
    <mergeCell ref="D2372:D2375"/>
    <mergeCell ref="E2372:E2375"/>
    <mergeCell ref="F2372:F2375"/>
    <mergeCell ref="G2373:G2375"/>
    <mergeCell ref="A2376:A2377"/>
    <mergeCell ref="B2376:B2377"/>
    <mergeCell ref="C2376:C2377"/>
    <mergeCell ref="D2376:D2377"/>
    <mergeCell ref="E2376:E2377"/>
    <mergeCell ref="F2376:F2377"/>
    <mergeCell ref="G2376:G2377"/>
    <mergeCell ref="A2363:A2364"/>
    <mergeCell ref="B2363:B2364"/>
    <mergeCell ref="C2363:C2364"/>
    <mergeCell ref="D2363:D2364"/>
    <mergeCell ref="E2363:E2364"/>
    <mergeCell ref="F2363:F2364"/>
    <mergeCell ref="G2363:G2364"/>
    <mergeCell ref="A2365:A2366"/>
    <mergeCell ref="B2365:B2366"/>
    <mergeCell ref="C2365:C2366"/>
    <mergeCell ref="D2365:D2366"/>
    <mergeCell ref="E2365:E2366"/>
    <mergeCell ref="F2365:F2366"/>
    <mergeCell ref="G2365:G2366"/>
    <mergeCell ref="A2367:A2369"/>
    <mergeCell ref="B2367:B2369"/>
    <mergeCell ref="C2367:C2369"/>
    <mergeCell ref="D2367:D2369"/>
    <mergeCell ref="E2367:E2369"/>
    <mergeCell ref="F2367:F2369"/>
    <mergeCell ref="A2350:A2354"/>
    <mergeCell ref="B2350:B2354"/>
    <mergeCell ref="C2350:C2354"/>
    <mergeCell ref="D2350:D2354"/>
    <mergeCell ref="E2350:E2354"/>
    <mergeCell ref="F2350:F2354"/>
    <mergeCell ref="G2350:G2354"/>
    <mergeCell ref="A2355:A2357"/>
    <mergeCell ref="B2355:B2357"/>
    <mergeCell ref="C2355:C2357"/>
    <mergeCell ref="D2355:D2357"/>
    <mergeCell ref="E2355:E2357"/>
    <mergeCell ref="F2355:F2357"/>
    <mergeCell ref="G2355:G2357"/>
    <mergeCell ref="A2358:A2362"/>
    <mergeCell ref="B2358:B2362"/>
    <mergeCell ref="C2358:C2362"/>
    <mergeCell ref="D2358:D2362"/>
    <mergeCell ref="E2358:E2362"/>
    <mergeCell ref="F2358:F2362"/>
    <mergeCell ref="G2359:G2360"/>
    <mergeCell ref="G2361:G2362"/>
    <mergeCell ref="A2339:A2340"/>
    <mergeCell ref="B2339:B2340"/>
    <mergeCell ref="C2339:C2340"/>
    <mergeCell ref="D2339:D2340"/>
    <mergeCell ref="E2339:E2340"/>
    <mergeCell ref="F2339:F2340"/>
    <mergeCell ref="G2339:G2340"/>
    <mergeCell ref="A2341:A2345"/>
    <mergeCell ref="B2341:B2345"/>
    <mergeCell ref="C2341:C2345"/>
    <mergeCell ref="D2341:D2345"/>
    <mergeCell ref="E2341:E2345"/>
    <mergeCell ref="F2341:F2345"/>
    <mergeCell ref="G2341:G2345"/>
    <mergeCell ref="A2346:A2349"/>
    <mergeCell ref="B2346:B2349"/>
    <mergeCell ref="C2346:C2349"/>
    <mergeCell ref="D2346:D2349"/>
    <mergeCell ref="E2346:E2349"/>
    <mergeCell ref="F2346:F2349"/>
    <mergeCell ref="G2346:G2349"/>
    <mergeCell ref="A2329:A2332"/>
    <mergeCell ref="B2329:B2332"/>
    <mergeCell ref="C2329:C2332"/>
    <mergeCell ref="D2329:D2332"/>
    <mergeCell ref="E2329:E2332"/>
    <mergeCell ref="F2329:F2332"/>
    <mergeCell ref="G2329:G2332"/>
    <mergeCell ref="A2333:A2334"/>
    <mergeCell ref="B2333:B2334"/>
    <mergeCell ref="C2333:C2334"/>
    <mergeCell ref="D2333:D2334"/>
    <mergeCell ref="E2333:E2334"/>
    <mergeCell ref="F2333:F2334"/>
    <mergeCell ref="G2333:G2334"/>
    <mergeCell ref="A2335:A2338"/>
    <mergeCell ref="B2335:B2338"/>
    <mergeCell ref="C2335:C2338"/>
    <mergeCell ref="D2335:D2338"/>
    <mergeCell ref="E2335:E2338"/>
    <mergeCell ref="F2335:F2338"/>
    <mergeCell ref="A2321:A2322"/>
    <mergeCell ref="B2321:B2322"/>
    <mergeCell ref="C2321:C2322"/>
    <mergeCell ref="D2321:D2322"/>
    <mergeCell ref="E2321:E2322"/>
    <mergeCell ref="F2321:F2322"/>
    <mergeCell ref="G2321:G2322"/>
    <mergeCell ref="A2323:A2324"/>
    <mergeCell ref="B2323:B2324"/>
    <mergeCell ref="C2323:C2324"/>
    <mergeCell ref="D2323:D2324"/>
    <mergeCell ref="E2323:E2324"/>
    <mergeCell ref="F2323:F2324"/>
    <mergeCell ref="G2323:G2324"/>
    <mergeCell ref="A2325:A2328"/>
    <mergeCell ref="B2325:B2328"/>
    <mergeCell ref="C2325:C2328"/>
    <mergeCell ref="D2325:D2328"/>
    <mergeCell ref="E2325:E2328"/>
    <mergeCell ref="F2325:F2328"/>
    <mergeCell ref="G2327:G2328"/>
    <mergeCell ref="A2315:A2316"/>
    <mergeCell ref="B2315:B2316"/>
    <mergeCell ref="C2315:C2316"/>
    <mergeCell ref="D2315:D2316"/>
    <mergeCell ref="E2315:E2316"/>
    <mergeCell ref="F2315:F2316"/>
    <mergeCell ref="G2315:G2316"/>
    <mergeCell ref="A2317:A2318"/>
    <mergeCell ref="B2317:B2318"/>
    <mergeCell ref="C2317:C2318"/>
    <mergeCell ref="D2317:D2318"/>
    <mergeCell ref="E2317:E2318"/>
    <mergeCell ref="F2317:F2318"/>
    <mergeCell ref="G2317:G2318"/>
    <mergeCell ref="A2319:A2320"/>
    <mergeCell ref="B2319:B2320"/>
    <mergeCell ref="C2319:C2320"/>
    <mergeCell ref="D2319:D2320"/>
    <mergeCell ref="E2319:E2320"/>
    <mergeCell ref="F2319:F2320"/>
    <mergeCell ref="G2319:G2320"/>
    <mergeCell ref="A2306:A2308"/>
    <mergeCell ref="B2306:B2308"/>
    <mergeCell ref="C2306:C2308"/>
    <mergeCell ref="D2306:D2308"/>
    <mergeCell ref="E2306:E2308"/>
    <mergeCell ref="F2306:F2308"/>
    <mergeCell ref="G2306:G2308"/>
    <mergeCell ref="A2309:A2311"/>
    <mergeCell ref="B2309:B2311"/>
    <mergeCell ref="C2309:C2311"/>
    <mergeCell ref="D2309:D2311"/>
    <mergeCell ref="E2309:E2311"/>
    <mergeCell ref="F2309:F2311"/>
    <mergeCell ref="G2309:G2311"/>
    <mergeCell ref="A2312:A2314"/>
    <mergeCell ref="B2312:B2314"/>
    <mergeCell ref="C2312:C2314"/>
    <mergeCell ref="D2312:D2314"/>
    <mergeCell ref="E2312:E2314"/>
    <mergeCell ref="F2312:F2314"/>
    <mergeCell ref="G2312:G2314"/>
    <mergeCell ref="A2299:A2300"/>
    <mergeCell ref="B2299:B2300"/>
    <mergeCell ref="C2299:C2300"/>
    <mergeCell ref="D2299:D2300"/>
    <mergeCell ref="E2299:E2300"/>
    <mergeCell ref="F2299:F2300"/>
    <mergeCell ref="G2299:G2300"/>
    <mergeCell ref="A2301:A2302"/>
    <mergeCell ref="B2301:B2302"/>
    <mergeCell ref="C2301:C2302"/>
    <mergeCell ref="D2301:D2302"/>
    <mergeCell ref="E2301:E2302"/>
    <mergeCell ref="F2301:F2302"/>
    <mergeCell ref="G2301:G2302"/>
    <mergeCell ref="A2303:A2305"/>
    <mergeCell ref="B2303:B2305"/>
    <mergeCell ref="C2303:C2305"/>
    <mergeCell ref="D2303:D2305"/>
    <mergeCell ref="E2303:E2305"/>
    <mergeCell ref="F2303:F2305"/>
    <mergeCell ref="G2303:G2305"/>
    <mergeCell ref="A2293:A2294"/>
    <mergeCell ref="B2293:B2294"/>
    <mergeCell ref="C2293:C2294"/>
    <mergeCell ref="D2293:D2294"/>
    <mergeCell ref="E2293:E2294"/>
    <mergeCell ref="F2293:F2294"/>
    <mergeCell ref="G2293:G2294"/>
    <mergeCell ref="A2295:A2296"/>
    <mergeCell ref="B2295:B2296"/>
    <mergeCell ref="C2295:C2296"/>
    <mergeCell ref="D2295:D2296"/>
    <mergeCell ref="E2295:E2296"/>
    <mergeCell ref="F2295:F2296"/>
    <mergeCell ref="G2295:G2296"/>
    <mergeCell ref="A2297:A2298"/>
    <mergeCell ref="B2297:B2298"/>
    <mergeCell ref="C2297:C2298"/>
    <mergeCell ref="D2297:D2298"/>
    <mergeCell ref="E2297:E2298"/>
    <mergeCell ref="F2297:F2298"/>
    <mergeCell ref="G2297:G2298"/>
    <mergeCell ref="A2287:A2288"/>
    <mergeCell ref="B2287:B2288"/>
    <mergeCell ref="C2287:C2288"/>
    <mergeCell ref="D2287:D2288"/>
    <mergeCell ref="E2287:E2288"/>
    <mergeCell ref="F2287:F2288"/>
    <mergeCell ref="G2287:G2288"/>
    <mergeCell ref="A2289:A2290"/>
    <mergeCell ref="B2289:B2290"/>
    <mergeCell ref="C2289:C2290"/>
    <mergeCell ref="D2289:D2290"/>
    <mergeCell ref="E2289:E2290"/>
    <mergeCell ref="F2289:F2290"/>
    <mergeCell ref="G2289:G2290"/>
    <mergeCell ref="A2291:A2292"/>
    <mergeCell ref="B2291:B2292"/>
    <mergeCell ref="C2291:C2292"/>
    <mergeCell ref="D2291:D2292"/>
    <mergeCell ref="E2291:E2292"/>
    <mergeCell ref="F2291:F2292"/>
    <mergeCell ref="G2291:G2292"/>
    <mergeCell ref="A2281:A2282"/>
    <mergeCell ref="B2281:B2282"/>
    <mergeCell ref="C2281:C2282"/>
    <mergeCell ref="D2281:D2282"/>
    <mergeCell ref="E2281:E2282"/>
    <mergeCell ref="F2281:F2282"/>
    <mergeCell ref="G2281:G2282"/>
    <mergeCell ref="A2283:A2284"/>
    <mergeCell ref="B2283:B2284"/>
    <mergeCell ref="C2283:C2284"/>
    <mergeCell ref="D2283:D2284"/>
    <mergeCell ref="E2283:E2284"/>
    <mergeCell ref="F2283:F2284"/>
    <mergeCell ref="G2283:G2284"/>
    <mergeCell ref="A2285:A2286"/>
    <mergeCell ref="B2285:B2286"/>
    <mergeCell ref="C2285:C2286"/>
    <mergeCell ref="D2285:D2286"/>
    <mergeCell ref="E2285:E2286"/>
    <mergeCell ref="F2285:F2286"/>
    <mergeCell ref="G2285:G2286"/>
    <mergeCell ref="A2269:A2276"/>
    <mergeCell ref="B2269:B2276"/>
    <mergeCell ref="C2269:C2276"/>
    <mergeCell ref="D2269:D2276"/>
    <mergeCell ref="E2269:E2276"/>
    <mergeCell ref="F2269:F2276"/>
    <mergeCell ref="A2277:A2278"/>
    <mergeCell ref="B2277:B2278"/>
    <mergeCell ref="C2277:C2278"/>
    <mergeCell ref="D2277:D2278"/>
    <mergeCell ref="E2277:E2278"/>
    <mergeCell ref="F2277:F2278"/>
    <mergeCell ref="G2277:G2278"/>
    <mergeCell ref="A2279:A2280"/>
    <mergeCell ref="B2279:B2280"/>
    <mergeCell ref="C2279:C2280"/>
    <mergeCell ref="D2279:D2280"/>
    <mergeCell ref="E2279:E2280"/>
    <mergeCell ref="F2279:F2280"/>
    <mergeCell ref="G2279:G2280"/>
    <mergeCell ref="A2251:A2252"/>
    <mergeCell ref="B2251:B2252"/>
    <mergeCell ref="C2251:C2252"/>
    <mergeCell ref="D2251:D2252"/>
    <mergeCell ref="E2251:E2252"/>
    <mergeCell ref="F2251:F2252"/>
    <mergeCell ref="G2251:G2252"/>
    <mergeCell ref="A2253:A2268"/>
    <mergeCell ref="B2253:B2268"/>
    <mergeCell ref="C2253:C2268"/>
    <mergeCell ref="D2253:D2268"/>
    <mergeCell ref="E2253:E2268"/>
    <mergeCell ref="F2253:F2268"/>
    <mergeCell ref="G2254:G2256"/>
    <mergeCell ref="G2257:G2259"/>
    <mergeCell ref="G2260:G2262"/>
    <mergeCell ref="G2263:G2265"/>
    <mergeCell ref="G2266:G2268"/>
    <mergeCell ref="A2234:A2235"/>
    <mergeCell ref="B2234:B2235"/>
    <mergeCell ref="C2234:C2235"/>
    <mergeCell ref="D2234:D2235"/>
    <mergeCell ref="E2234:E2235"/>
    <mergeCell ref="F2234:F2235"/>
    <mergeCell ref="G2234:G2235"/>
    <mergeCell ref="A2236:A2237"/>
    <mergeCell ref="B2236:B2237"/>
    <mergeCell ref="C2236:C2237"/>
    <mergeCell ref="D2236:D2237"/>
    <mergeCell ref="E2236:E2237"/>
    <mergeCell ref="F2236:F2237"/>
    <mergeCell ref="G2236:G2237"/>
    <mergeCell ref="A2238:A2250"/>
    <mergeCell ref="B2238:B2250"/>
    <mergeCell ref="C2238:C2250"/>
    <mergeCell ref="D2238:D2250"/>
    <mergeCell ref="E2238:E2250"/>
    <mergeCell ref="F2238:F2250"/>
    <mergeCell ref="G2239:G2241"/>
    <mergeCell ref="G2242:G2244"/>
    <mergeCell ref="G2245:G2247"/>
    <mergeCell ref="G2248:G2250"/>
    <mergeCell ref="A2228:A2229"/>
    <mergeCell ref="B2228:B2229"/>
    <mergeCell ref="C2228:C2229"/>
    <mergeCell ref="D2228:D2229"/>
    <mergeCell ref="E2228:E2229"/>
    <mergeCell ref="F2228:F2229"/>
    <mergeCell ref="G2228:G2229"/>
    <mergeCell ref="A2230:A2231"/>
    <mergeCell ref="B2230:B2231"/>
    <mergeCell ref="C2230:C2231"/>
    <mergeCell ref="D2230:D2231"/>
    <mergeCell ref="E2230:E2231"/>
    <mergeCell ref="F2230:F2231"/>
    <mergeCell ref="G2230:G2231"/>
    <mergeCell ref="A2232:A2233"/>
    <mergeCell ref="B2232:B2233"/>
    <mergeCell ref="C2232:C2233"/>
    <mergeCell ref="D2232:D2233"/>
    <mergeCell ref="E2232:E2233"/>
    <mergeCell ref="F2232:F2233"/>
    <mergeCell ref="G2232:G2233"/>
    <mergeCell ref="A2212:A2216"/>
    <mergeCell ref="B2212:B2216"/>
    <mergeCell ref="C2212:C2216"/>
    <mergeCell ref="D2212:D2216"/>
    <mergeCell ref="E2212:E2216"/>
    <mergeCell ref="F2212:F2216"/>
    <mergeCell ref="A2217:A2218"/>
    <mergeCell ref="B2217:B2218"/>
    <mergeCell ref="C2217:C2218"/>
    <mergeCell ref="D2217:D2218"/>
    <mergeCell ref="E2217:E2218"/>
    <mergeCell ref="F2217:F2218"/>
    <mergeCell ref="G2217:G2218"/>
    <mergeCell ref="A2219:A2220"/>
    <mergeCell ref="B2219:B2220"/>
    <mergeCell ref="C2219:C2220"/>
    <mergeCell ref="D2219:D2220"/>
    <mergeCell ref="E2219:E2220"/>
    <mergeCell ref="F2219:F2220"/>
    <mergeCell ref="G2219:G2220"/>
    <mergeCell ref="A2206:A2207"/>
    <mergeCell ref="B2206:B2207"/>
    <mergeCell ref="C2206:C2207"/>
    <mergeCell ref="D2206:D2207"/>
    <mergeCell ref="E2206:E2207"/>
    <mergeCell ref="F2206:F2207"/>
    <mergeCell ref="G2206:G2207"/>
    <mergeCell ref="A2208:A2209"/>
    <mergeCell ref="B2208:B2209"/>
    <mergeCell ref="C2208:C2209"/>
    <mergeCell ref="D2208:D2209"/>
    <mergeCell ref="E2208:E2209"/>
    <mergeCell ref="F2208:F2209"/>
    <mergeCell ref="G2208:G2209"/>
    <mergeCell ref="A2210:A2211"/>
    <mergeCell ref="B2210:B2211"/>
    <mergeCell ref="C2210:C2211"/>
    <mergeCell ref="D2210:D2211"/>
    <mergeCell ref="E2210:E2211"/>
    <mergeCell ref="F2210:F2211"/>
    <mergeCell ref="G2210:G2211"/>
    <mergeCell ref="A2199:A2201"/>
    <mergeCell ref="B2199:B2201"/>
    <mergeCell ref="C2199:C2201"/>
    <mergeCell ref="D2199:D2201"/>
    <mergeCell ref="E2199:E2201"/>
    <mergeCell ref="F2199:F2201"/>
    <mergeCell ref="G2199:G2201"/>
    <mergeCell ref="A2202:A2203"/>
    <mergeCell ref="B2202:B2203"/>
    <mergeCell ref="C2202:C2203"/>
    <mergeCell ref="D2202:D2203"/>
    <mergeCell ref="E2202:E2203"/>
    <mergeCell ref="F2202:F2203"/>
    <mergeCell ref="G2202:G2203"/>
    <mergeCell ref="A2204:A2205"/>
    <mergeCell ref="B2204:B2205"/>
    <mergeCell ref="C2204:C2205"/>
    <mergeCell ref="D2204:D2205"/>
    <mergeCell ref="E2204:E2205"/>
    <mergeCell ref="F2204:F2205"/>
    <mergeCell ref="G2204:G2205"/>
    <mergeCell ref="A2193:A2194"/>
    <mergeCell ref="B2193:B2194"/>
    <mergeCell ref="C2193:C2194"/>
    <mergeCell ref="D2193:D2194"/>
    <mergeCell ref="E2193:E2194"/>
    <mergeCell ref="F2193:F2194"/>
    <mergeCell ref="G2193:G2194"/>
    <mergeCell ref="A2195:A2196"/>
    <mergeCell ref="B2195:B2196"/>
    <mergeCell ref="C2195:C2196"/>
    <mergeCell ref="D2195:D2196"/>
    <mergeCell ref="E2195:E2196"/>
    <mergeCell ref="F2195:F2196"/>
    <mergeCell ref="G2195:G2196"/>
    <mergeCell ref="A2197:A2198"/>
    <mergeCell ref="B2197:B2198"/>
    <mergeCell ref="C2197:C2198"/>
    <mergeCell ref="D2197:D2198"/>
    <mergeCell ref="E2197:E2198"/>
    <mergeCell ref="F2197:F2198"/>
    <mergeCell ref="G2197:G2198"/>
    <mergeCell ref="A2174:A2183"/>
    <mergeCell ref="B2174:B2183"/>
    <mergeCell ref="C2174:C2183"/>
    <mergeCell ref="D2174:D2183"/>
    <mergeCell ref="E2174:E2183"/>
    <mergeCell ref="F2174:F2183"/>
    <mergeCell ref="G2175:G2176"/>
    <mergeCell ref="G2177:G2178"/>
    <mergeCell ref="G2179:G2180"/>
    <mergeCell ref="G2181:G2182"/>
    <mergeCell ref="A2184:A2192"/>
    <mergeCell ref="B2184:B2192"/>
    <mergeCell ref="C2184:C2192"/>
    <mergeCell ref="D2184:D2192"/>
    <mergeCell ref="E2184:E2192"/>
    <mergeCell ref="F2184:F2192"/>
    <mergeCell ref="G2185:G2186"/>
    <mergeCell ref="G2187:G2188"/>
    <mergeCell ref="G2189:G2190"/>
    <mergeCell ref="G2191:G2192"/>
    <mergeCell ref="A2162:A2163"/>
    <mergeCell ref="B2162:B2163"/>
    <mergeCell ref="C2162:C2163"/>
    <mergeCell ref="D2162:D2163"/>
    <mergeCell ref="E2162:E2163"/>
    <mergeCell ref="F2162:F2163"/>
    <mergeCell ref="G2162:G2163"/>
    <mergeCell ref="A2164:A2173"/>
    <mergeCell ref="B2164:B2173"/>
    <mergeCell ref="C2164:C2173"/>
    <mergeCell ref="D2164:D2173"/>
    <mergeCell ref="E2164:E2173"/>
    <mergeCell ref="F2164:F2173"/>
    <mergeCell ref="G2165:G2166"/>
    <mergeCell ref="G2167:G2168"/>
    <mergeCell ref="G2169:G2170"/>
    <mergeCell ref="G2171:G2172"/>
    <mergeCell ref="A2154:A2155"/>
    <mergeCell ref="B2154:B2155"/>
    <mergeCell ref="C2154:C2155"/>
    <mergeCell ref="D2154:D2155"/>
    <mergeCell ref="E2154:E2155"/>
    <mergeCell ref="F2154:F2155"/>
    <mergeCell ref="G2154:G2155"/>
    <mergeCell ref="A2156:A2159"/>
    <mergeCell ref="B2156:B2159"/>
    <mergeCell ref="C2156:C2159"/>
    <mergeCell ref="D2156:D2159"/>
    <mergeCell ref="E2156:E2159"/>
    <mergeCell ref="F2156:F2159"/>
    <mergeCell ref="A2160:A2161"/>
    <mergeCell ref="B2160:B2161"/>
    <mergeCell ref="C2160:C2161"/>
    <mergeCell ref="D2160:D2161"/>
    <mergeCell ref="E2160:E2161"/>
    <mergeCell ref="F2160:F2161"/>
    <mergeCell ref="G2160:G2161"/>
    <mergeCell ref="A2148:A2149"/>
    <mergeCell ref="B2148:B2149"/>
    <mergeCell ref="C2148:C2149"/>
    <mergeCell ref="D2148:D2149"/>
    <mergeCell ref="E2148:E2149"/>
    <mergeCell ref="F2148:F2149"/>
    <mergeCell ref="G2148:G2149"/>
    <mergeCell ref="A2150:A2151"/>
    <mergeCell ref="B2150:B2151"/>
    <mergeCell ref="C2150:C2151"/>
    <mergeCell ref="D2150:D2151"/>
    <mergeCell ref="E2150:E2151"/>
    <mergeCell ref="F2150:F2151"/>
    <mergeCell ref="G2150:G2151"/>
    <mergeCell ref="A2152:A2153"/>
    <mergeCell ref="B2152:B2153"/>
    <mergeCell ref="C2152:C2153"/>
    <mergeCell ref="D2152:D2153"/>
    <mergeCell ref="E2152:E2153"/>
    <mergeCell ref="F2152:F2153"/>
    <mergeCell ref="G2152:G2153"/>
    <mergeCell ref="A2139:A2140"/>
    <mergeCell ref="B2139:B2140"/>
    <mergeCell ref="C2139:C2140"/>
    <mergeCell ref="D2139:D2140"/>
    <mergeCell ref="E2139:E2140"/>
    <mergeCell ref="F2139:F2140"/>
    <mergeCell ref="G2139:G2140"/>
    <mergeCell ref="A2141:A2145"/>
    <mergeCell ref="B2141:B2145"/>
    <mergeCell ref="C2141:C2145"/>
    <mergeCell ref="D2141:D2145"/>
    <mergeCell ref="E2141:E2145"/>
    <mergeCell ref="F2141:F2145"/>
    <mergeCell ref="A2146:A2147"/>
    <mergeCell ref="B2146:B2147"/>
    <mergeCell ref="C2146:C2147"/>
    <mergeCell ref="D2146:D2147"/>
    <mergeCell ref="E2146:E2147"/>
    <mergeCell ref="F2146:F2147"/>
    <mergeCell ref="G2146:G2147"/>
    <mergeCell ref="A2135:A2136"/>
    <mergeCell ref="B2135:B2136"/>
    <mergeCell ref="C2135:C2136"/>
    <mergeCell ref="D2135:D2136"/>
    <mergeCell ref="E2135:E2136"/>
    <mergeCell ref="F2135:F2136"/>
    <mergeCell ref="G2135:G2136"/>
    <mergeCell ref="A2137:A2138"/>
    <mergeCell ref="B2137:B2138"/>
    <mergeCell ref="C2137:C2138"/>
    <mergeCell ref="D2137:D2138"/>
    <mergeCell ref="E2137:E2138"/>
    <mergeCell ref="F2137:F2138"/>
    <mergeCell ref="G2137:G2138"/>
    <mergeCell ref="F2131:F2132"/>
    <mergeCell ref="G2131:G2132"/>
    <mergeCell ref="D2131:D2132"/>
    <mergeCell ref="E2131:E2132"/>
    <mergeCell ref="F2114:F2123"/>
    <mergeCell ref="G2115:G2117"/>
    <mergeCell ref="G2118:G2120"/>
    <mergeCell ref="G2121:G2123"/>
    <mergeCell ref="A2124:A2125"/>
    <mergeCell ref="B2124:B2125"/>
    <mergeCell ref="C2124:C2125"/>
    <mergeCell ref="D2124:D2125"/>
    <mergeCell ref="E2124:E2125"/>
    <mergeCell ref="F2124:F2125"/>
    <mergeCell ref="G2124:G2125"/>
    <mergeCell ref="A2126:A2127"/>
    <mergeCell ref="B2126:B2127"/>
    <mergeCell ref="E2128:E2130"/>
    <mergeCell ref="A2133:A2134"/>
    <mergeCell ref="B2133:B2134"/>
    <mergeCell ref="C2133:C2134"/>
    <mergeCell ref="D2133:D2134"/>
    <mergeCell ref="E2133:E2134"/>
    <mergeCell ref="F2133:F2134"/>
    <mergeCell ref="G2133:G2134"/>
    <mergeCell ref="A2083:A2084"/>
    <mergeCell ref="B2083:B2084"/>
    <mergeCell ref="C2083:C2084"/>
    <mergeCell ref="D2083:D2084"/>
    <mergeCell ref="E2083:E2084"/>
    <mergeCell ref="F2083:F2084"/>
    <mergeCell ref="G2083:G2084"/>
    <mergeCell ref="A2085:A2091"/>
    <mergeCell ref="B2085:B2091"/>
    <mergeCell ref="C2085:C2091"/>
    <mergeCell ref="D2085:D2091"/>
    <mergeCell ref="E2085:E2091"/>
    <mergeCell ref="F2085:F2091"/>
    <mergeCell ref="G2086:G2088"/>
    <mergeCell ref="G2089:G2091"/>
    <mergeCell ref="C2126:C2127"/>
    <mergeCell ref="D2126:D2127"/>
    <mergeCell ref="E2126:E2127"/>
    <mergeCell ref="F2126:F2127"/>
    <mergeCell ref="G2126:G2127"/>
    <mergeCell ref="A2092:A2098"/>
    <mergeCell ref="B2092:B2098"/>
    <mergeCell ref="C2092:C2098"/>
    <mergeCell ref="D2092:D2098"/>
    <mergeCell ref="E2092:E2098"/>
    <mergeCell ref="F2092:F2098"/>
    <mergeCell ref="G2093:G2095"/>
    <mergeCell ref="G2096:G2098"/>
    <mergeCell ref="A2112:A2113"/>
    <mergeCell ref="B2112:B2113"/>
    <mergeCell ref="C2112:C2113"/>
    <mergeCell ref="D2112:D2113"/>
    <mergeCell ref="A2077:A2078"/>
    <mergeCell ref="B2077:B2078"/>
    <mergeCell ref="C2077:C2078"/>
    <mergeCell ref="D2077:D2078"/>
    <mergeCell ref="E2077:E2078"/>
    <mergeCell ref="F2077:F2078"/>
    <mergeCell ref="G2077:G2078"/>
    <mergeCell ref="A2079:A2080"/>
    <mergeCell ref="B2079:B2080"/>
    <mergeCell ref="C2079:C2080"/>
    <mergeCell ref="D2079:D2080"/>
    <mergeCell ref="E2079:E2080"/>
    <mergeCell ref="F2079:F2080"/>
    <mergeCell ref="G2079:G2080"/>
    <mergeCell ref="A2081:A2082"/>
    <mergeCell ref="B2081:B2082"/>
    <mergeCell ref="C2081:C2082"/>
    <mergeCell ref="D2081:D2082"/>
    <mergeCell ref="E2081:E2082"/>
    <mergeCell ref="F2081:F2082"/>
    <mergeCell ref="G2081:G2082"/>
    <mergeCell ref="A2069:A2071"/>
    <mergeCell ref="B2069:B2071"/>
    <mergeCell ref="C2069:C2071"/>
    <mergeCell ref="D2069:D2071"/>
    <mergeCell ref="E2069:E2071"/>
    <mergeCell ref="F2069:F2071"/>
    <mergeCell ref="G2069:G2071"/>
    <mergeCell ref="A2072:A2073"/>
    <mergeCell ref="B2072:B2073"/>
    <mergeCell ref="C2072:C2073"/>
    <mergeCell ref="D2072:D2073"/>
    <mergeCell ref="E2072:E2073"/>
    <mergeCell ref="F2072:F2073"/>
    <mergeCell ref="G2072:G2073"/>
    <mergeCell ref="A2074:A2076"/>
    <mergeCell ref="B2074:B2076"/>
    <mergeCell ref="C2074:C2076"/>
    <mergeCell ref="D2074:D2076"/>
    <mergeCell ref="E2074:E2076"/>
    <mergeCell ref="F2074:F2076"/>
    <mergeCell ref="A2063:A2064"/>
    <mergeCell ref="B2063:B2064"/>
    <mergeCell ref="C2063:C2064"/>
    <mergeCell ref="D2063:D2064"/>
    <mergeCell ref="E2063:E2064"/>
    <mergeCell ref="F2063:F2064"/>
    <mergeCell ref="G2063:G2064"/>
    <mergeCell ref="A2065:A2066"/>
    <mergeCell ref="B2065:B2066"/>
    <mergeCell ref="C2065:C2066"/>
    <mergeCell ref="D2065:D2066"/>
    <mergeCell ref="E2065:E2066"/>
    <mergeCell ref="F2065:F2066"/>
    <mergeCell ref="G2065:G2066"/>
    <mergeCell ref="A2067:A2068"/>
    <mergeCell ref="B2067:B2068"/>
    <mergeCell ref="C2067:C2068"/>
    <mergeCell ref="D2067:D2068"/>
    <mergeCell ref="E2067:E2068"/>
    <mergeCell ref="F2067:F2068"/>
    <mergeCell ref="G2067:G2068"/>
    <mergeCell ref="A2057:A2058"/>
    <mergeCell ref="B2057:B2058"/>
    <mergeCell ref="C2057:C2058"/>
    <mergeCell ref="D2057:D2058"/>
    <mergeCell ref="E2057:E2058"/>
    <mergeCell ref="F2057:F2058"/>
    <mergeCell ref="G2057:G2058"/>
    <mergeCell ref="A2059:A2060"/>
    <mergeCell ref="B2059:B2060"/>
    <mergeCell ref="C2059:C2060"/>
    <mergeCell ref="D2059:D2060"/>
    <mergeCell ref="E2059:E2060"/>
    <mergeCell ref="F2059:F2060"/>
    <mergeCell ref="G2059:G2060"/>
    <mergeCell ref="A2061:A2062"/>
    <mergeCell ref="B2061:B2062"/>
    <mergeCell ref="C2061:C2062"/>
    <mergeCell ref="D2061:D2062"/>
    <mergeCell ref="E2061:E2062"/>
    <mergeCell ref="F2061:F2062"/>
    <mergeCell ref="G2061:G2062"/>
    <mergeCell ref="A2048:A2050"/>
    <mergeCell ref="B2048:B2050"/>
    <mergeCell ref="C2048:C2050"/>
    <mergeCell ref="D2048:D2050"/>
    <mergeCell ref="E2048:E2050"/>
    <mergeCell ref="F2048:F2050"/>
    <mergeCell ref="G2048:G2050"/>
    <mergeCell ref="A2051:A2053"/>
    <mergeCell ref="B2051:B2053"/>
    <mergeCell ref="C2051:C2053"/>
    <mergeCell ref="D2051:D2053"/>
    <mergeCell ref="E2051:E2053"/>
    <mergeCell ref="F2051:F2053"/>
    <mergeCell ref="G2051:G2053"/>
    <mergeCell ref="A2054:A2056"/>
    <mergeCell ref="B2054:B2056"/>
    <mergeCell ref="C2054:C2056"/>
    <mergeCell ref="D2054:D2056"/>
    <mergeCell ref="E2054:E2056"/>
    <mergeCell ref="F2054:F2056"/>
    <mergeCell ref="G2054:G2056"/>
    <mergeCell ref="A2040:A2041"/>
    <mergeCell ref="B2040:B2041"/>
    <mergeCell ref="C2040:C2041"/>
    <mergeCell ref="D2040:D2041"/>
    <mergeCell ref="E2040:E2041"/>
    <mergeCell ref="F2040:F2041"/>
    <mergeCell ref="G2040:G2041"/>
    <mergeCell ref="A2042:A2044"/>
    <mergeCell ref="B2042:B2044"/>
    <mergeCell ref="C2042:C2044"/>
    <mergeCell ref="D2042:D2044"/>
    <mergeCell ref="E2042:E2044"/>
    <mergeCell ref="F2042:F2044"/>
    <mergeCell ref="G2042:G2044"/>
    <mergeCell ref="A2045:A2047"/>
    <mergeCell ref="B2045:B2047"/>
    <mergeCell ref="C2045:C2047"/>
    <mergeCell ref="D2045:D2047"/>
    <mergeCell ref="E2045:E2047"/>
    <mergeCell ref="F2045:F2047"/>
    <mergeCell ref="G2045:G2047"/>
    <mergeCell ref="A2030:A2033"/>
    <mergeCell ref="B2030:B2033"/>
    <mergeCell ref="C2030:C2033"/>
    <mergeCell ref="D2030:D2033"/>
    <mergeCell ref="E2030:E2033"/>
    <mergeCell ref="F2030:F2033"/>
    <mergeCell ref="A2034:A2036"/>
    <mergeCell ref="B2034:B2036"/>
    <mergeCell ref="C2034:C2036"/>
    <mergeCell ref="D2034:D2036"/>
    <mergeCell ref="E2034:E2036"/>
    <mergeCell ref="F2034:F2036"/>
    <mergeCell ref="G2035:G2036"/>
    <mergeCell ref="A2037:A2039"/>
    <mergeCell ref="B2037:B2039"/>
    <mergeCell ref="C2037:C2039"/>
    <mergeCell ref="D2037:D2039"/>
    <mergeCell ref="E2037:E2039"/>
    <mergeCell ref="F2037:F2039"/>
    <mergeCell ref="G2037:G2039"/>
    <mergeCell ref="A2020:A2024"/>
    <mergeCell ref="B2020:B2024"/>
    <mergeCell ref="C2020:C2024"/>
    <mergeCell ref="D2020:D2024"/>
    <mergeCell ref="E2020:E2024"/>
    <mergeCell ref="F2020:F2024"/>
    <mergeCell ref="G2020:G2021"/>
    <mergeCell ref="G2022:G2024"/>
    <mergeCell ref="A2025:A2026"/>
    <mergeCell ref="B2025:B2026"/>
    <mergeCell ref="C2025:C2026"/>
    <mergeCell ref="D2025:D2026"/>
    <mergeCell ref="E2025:E2026"/>
    <mergeCell ref="F2025:F2026"/>
    <mergeCell ref="G2025:G2026"/>
    <mergeCell ref="A2027:A2029"/>
    <mergeCell ref="B2027:B2029"/>
    <mergeCell ref="C2027:C2029"/>
    <mergeCell ref="D2027:D2029"/>
    <mergeCell ref="E2027:E2029"/>
    <mergeCell ref="F2027:F2029"/>
    <mergeCell ref="G2027:G2029"/>
    <mergeCell ref="A2011:A2014"/>
    <mergeCell ref="B2011:B2014"/>
    <mergeCell ref="C2011:C2014"/>
    <mergeCell ref="D2011:D2014"/>
    <mergeCell ref="E2011:E2014"/>
    <mergeCell ref="F2011:F2014"/>
    <mergeCell ref="A2015:A2017"/>
    <mergeCell ref="B2015:B2017"/>
    <mergeCell ref="C2015:C2017"/>
    <mergeCell ref="D2015:D2017"/>
    <mergeCell ref="E2015:E2017"/>
    <mergeCell ref="F2015:F2017"/>
    <mergeCell ref="G2015:G2017"/>
    <mergeCell ref="A2018:A2019"/>
    <mergeCell ref="B2018:B2019"/>
    <mergeCell ref="C2018:C2019"/>
    <mergeCell ref="D2018:D2019"/>
    <mergeCell ref="E2018:E2019"/>
    <mergeCell ref="F2018:F2019"/>
    <mergeCell ref="G2018:G2019"/>
    <mergeCell ref="A1998:A2004"/>
    <mergeCell ref="B1998:B2004"/>
    <mergeCell ref="C1998:C2004"/>
    <mergeCell ref="D1998:D2004"/>
    <mergeCell ref="E1998:E2004"/>
    <mergeCell ref="F1998:F2004"/>
    <mergeCell ref="G1998:G2000"/>
    <mergeCell ref="G2001:G2002"/>
    <mergeCell ref="G2003:G2004"/>
    <mergeCell ref="A2005:A2007"/>
    <mergeCell ref="B2005:B2007"/>
    <mergeCell ref="C2005:C2007"/>
    <mergeCell ref="D2005:D2007"/>
    <mergeCell ref="E2005:E2007"/>
    <mergeCell ref="F2005:F2007"/>
    <mergeCell ref="G2005:G2007"/>
    <mergeCell ref="A2008:A2010"/>
    <mergeCell ref="B2008:B2010"/>
    <mergeCell ref="C2008:C2010"/>
    <mergeCell ref="D2008:D2010"/>
    <mergeCell ref="E2008:E2010"/>
    <mergeCell ref="F2008:F2010"/>
    <mergeCell ref="G2008:G2010"/>
    <mergeCell ref="A1989:A1991"/>
    <mergeCell ref="B1989:B1991"/>
    <mergeCell ref="C1989:C1991"/>
    <mergeCell ref="D1989:D1991"/>
    <mergeCell ref="E1989:E1991"/>
    <mergeCell ref="F1989:F1991"/>
    <mergeCell ref="G1989:G1991"/>
    <mergeCell ref="A1992:A1994"/>
    <mergeCell ref="B1992:B1994"/>
    <mergeCell ref="C1992:C1994"/>
    <mergeCell ref="D1992:D1994"/>
    <mergeCell ref="E1992:E1994"/>
    <mergeCell ref="F1992:F1994"/>
    <mergeCell ref="G1992:G1994"/>
    <mergeCell ref="A1995:A1997"/>
    <mergeCell ref="B1995:B1997"/>
    <mergeCell ref="C1995:C1997"/>
    <mergeCell ref="D1995:D1997"/>
    <mergeCell ref="E1995:E1997"/>
    <mergeCell ref="F1995:F1997"/>
    <mergeCell ref="G1995:G1997"/>
    <mergeCell ref="A1982:A1983"/>
    <mergeCell ref="B1982:B1983"/>
    <mergeCell ref="C1982:C1983"/>
    <mergeCell ref="D1982:D1983"/>
    <mergeCell ref="E1982:E1983"/>
    <mergeCell ref="F1982:F1983"/>
    <mergeCell ref="G1982:G1983"/>
    <mergeCell ref="A1984:A1985"/>
    <mergeCell ref="B1984:B1985"/>
    <mergeCell ref="C1984:C1985"/>
    <mergeCell ref="D1984:D1985"/>
    <mergeCell ref="E1984:E1985"/>
    <mergeCell ref="F1984:F1985"/>
    <mergeCell ref="G1984:G1985"/>
    <mergeCell ref="A1986:A1988"/>
    <mergeCell ref="B1986:B1988"/>
    <mergeCell ref="C1986:C1988"/>
    <mergeCell ref="D1986:D1988"/>
    <mergeCell ref="E1986:E1988"/>
    <mergeCell ref="F1986:F1988"/>
    <mergeCell ref="G1986:G1988"/>
    <mergeCell ref="A1963:A1965"/>
    <mergeCell ref="B1963:B1965"/>
    <mergeCell ref="C1963:C1965"/>
    <mergeCell ref="D1963:D1965"/>
    <mergeCell ref="E1963:E1965"/>
    <mergeCell ref="F1963:F1965"/>
    <mergeCell ref="G1963:G1965"/>
    <mergeCell ref="A1966:A1967"/>
    <mergeCell ref="B1966:B1967"/>
    <mergeCell ref="C1966:C1967"/>
    <mergeCell ref="D1966:D1967"/>
    <mergeCell ref="E1966:E1967"/>
    <mergeCell ref="F1966:F1967"/>
    <mergeCell ref="G1966:G1967"/>
    <mergeCell ref="A1968:A1974"/>
    <mergeCell ref="B1968:B1974"/>
    <mergeCell ref="C1968:C1974"/>
    <mergeCell ref="D1968:D1974"/>
    <mergeCell ref="E1968:E1974"/>
    <mergeCell ref="F1968:F1974"/>
    <mergeCell ref="G1968:G1970"/>
    <mergeCell ref="G1971:G1972"/>
    <mergeCell ref="G1973:G1974"/>
    <mergeCell ref="A1944:A1946"/>
    <mergeCell ref="B1944:B1946"/>
    <mergeCell ref="C1944:C1946"/>
    <mergeCell ref="D1944:D1946"/>
    <mergeCell ref="E1944:E1946"/>
    <mergeCell ref="A1959:A1962"/>
    <mergeCell ref="B1959:B1962"/>
    <mergeCell ref="C1959:C1962"/>
    <mergeCell ref="D1959:D1962"/>
    <mergeCell ref="E1959:E1962"/>
    <mergeCell ref="F1959:F1962"/>
    <mergeCell ref="A1953:A1955"/>
    <mergeCell ref="B1953:B1955"/>
    <mergeCell ref="C1953:C1955"/>
    <mergeCell ref="D1953:D1955"/>
    <mergeCell ref="E1953:E1955"/>
    <mergeCell ref="F1953:F1955"/>
    <mergeCell ref="A1956:A1958"/>
    <mergeCell ref="B1956:B1958"/>
    <mergeCell ref="C1956:C1958"/>
    <mergeCell ref="D1956:D1958"/>
    <mergeCell ref="E1956:E1958"/>
    <mergeCell ref="F1956:F1958"/>
    <mergeCell ref="A1949:A1952"/>
    <mergeCell ref="A1934:A1935"/>
    <mergeCell ref="B1934:B1935"/>
    <mergeCell ref="C1934:C1935"/>
    <mergeCell ref="D1934:D1935"/>
    <mergeCell ref="E1934:E1935"/>
    <mergeCell ref="F1934:F1935"/>
    <mergeCell ref="G1934:G1935"/>
    <mergeCell ref="B1949:B1952"/>
    <mergeCell ref="C1949:C1952"/>
    <mergeCell ref="D1949:D1952"/>
    <mergeCell ref="E1949:E1952"/>
    <mergeCell ref="F1949:F1952"/>
    <mergeCell ref="F1944:F1946"/>
    <mergeCell ref="G1944:G1946"/>
    <mergeCell ref="A1947:A1948"/>
    <mergeCell ref="B1947:B1948"/>
    <mergeCell ref="C1947:C1948"/>
    <mergeCell ref="D1947:D1948"/>
    <mergeCell ref="E1947:E1948"/>
    <mergeCell ref="F1947:F1948"/>
    <mergeCell ref="G1947:G1948"/>
    <mergeCell ref="A1939:A1941"/>
    <mergeCell ref="B1939:B1941"/>
    <mergeCell ref="C1939:C1941"/>
    <mergeCell ref="D1939:D1941"/>
    <mergeCell ref="E1939:E1941"/>
    <mergeCell ref="F1939:F1941"/>
    <mergeCell ref="A1942:A1943"/>
    <mergeCell ref="B1942:B1943"/>
    <mergeCell ref="C1942:C1943"/>
    <mergeCell ref="D1942:D1943"/>
    <mergeCell ref="E1942:E1943"/>
    <mergeCell ref="A1936:A1938"/>
    <mergeCell ref="B1936:B1938"/>
    <mergeCell ref="C1936:C1938"/>
    <mergeCell ref="D1936:D1938"/>
    <mergeCell ref="E1936:E1938"/>
    <mergeCell ref="G1913:G1915"/>
    <mergeCell ref="A1899:A1901"/>
    <mergeCell ref="B1899:B1901"/>
    <mergeCell ref="C1899:C1901"/>
    <mergeCell ref="D1899:D1901"/>
    <mergeCell ref="E1899:E1901"/>
    <mergeCell ref="F1899:F1901"/>
    <mergeCell ref="F1902:F1904"/>
    <mergeCell ref="A1909:A1924"/>
    <mergeCell ref="B1909:B1924"/>
    <mergeCell ref="C1909:C1924"/>
    <mergeCell ref="C1905:C1908"/>
    <mergeCell ref="D1905:D1908"/>
    <mergeCell ref="E1905:E1908"/>
    <mergeCell ref="F1905:F1908"/>
    <mergeCell ref="D1909:D1924"/>
    <mergeCell ref="E1909:E1924"/>
    <mergeCell ref="F1909:F1924"/>
    <mergeCell ref="G1936:G1938"/>
    <mergeCell ref="A1925:A1929"/>
    <mergeCell ref="B1925:B1929"/>
    <mergeCell ref="C1925:C1929"/>
    <mergeCell ref="D1925:D1929"/>
    <mergeCell ref="E1925:E1929"/>
    <mergeCell ref="F1925:F1929"/>
    <mergeCell ref="A1932:A1933"/>
    <mergeCell ref="B1932:B1933"/>
    <mergeCell ref="A1890:A1892"/>
    <mergeCell ref="B1890:B1892"/>
    <mergeCell ref="C1890:C1892"/>
    <mergeCell ref="D1890:D1892"/>
    <mergeCell ref="E1890:E1892"/>
    <mergeCell ref="F1890:F1892"/>
    <mergeCell ref="G1891:G1892"/>
    <mergeCell ref="B1895:B1898"/>
    <mergeCell ref="C1895:C1898"/>
    <mergeCell ref="C1881:C1882"/>
    <mergeCell ref="D1881:D1882"/>
    <mergeCell ref="E1881:E1882"/>
    <mergeCell ref="F1881:F1882"/>
    <mergeCell ref="G1881:G1882"/>
    <mergeCell ref="A1883:A1884"/>
    <mergeCell ref="B1883:B1884"/>
    <mergeCell ref="C1883:C1884"/>
    <mergeCell ref="E1885:E1889"/>
    <mergeCell ref="F1885:F1889"/>
    <mergeCell ref="D1895:D1898"/>
    <mergeCell ref="E1895:E1898"/>
    <mergeCell ref="F1895:F1898"/>
    <mergeCell ref="D1883:D1884"/>
    <mergeCell ref="G1883:G1884"/>
    <mergeCell ref="A1893:A1894"/>
    <mergeCell ref="B1893:B1894"/>
    <mergeCell ref="C1893:C1894"/>
    <mergeCell ref="D1893:D1894"/>
    <mergeCell ref="E1893:E1894"/>
    <mergeCell ref="F1893:F1894"/>
    <mergeCell ref="A1844:A1845"/>
    <mergeCell ref="B1844:B1845"/>
    <mergeCell ref="D1870:D1872"/>
    <mergeCell ref="A1846:A1847"/>
    <mergeCell ref="B1846:B1847"/>
    <mergeCell ref="C1846:C1847"/>
    <mergeCell ref="D1846:D1847"/>
    <mergeCell ref="E1846:E1847"/>
    <mergeCell ref="F1846:F1847"/>
    <mergeCell ref="F1866:F1869"/>
    <mergeCell ref="A1870:A1872"/>
    <mergeCell ref="A1848:A1850"/>
    <mergeCell ref="B1848:B1850"/>
    <mergeCell ref="C1848:C1850"/>
    <mergeCell ref="A1863:A1865"/>
    <mergeCell ref="A1881:A1882"/>
    <mergeCell ref="B1881:B1882"/>
    <mergeCell ref="D1854:D1855"/>
    <mergeCell ref="E1854:E1855"/>
    <mergeCell ref="A1732:A1734"/>
    <mergeCell ref="B1732:B1734"/>
    <mergeCell ref="C1732:C1734"/>
    <mergeCell ref="D1732:D1734"/>
    <mergeCell ref="E1732:E1734"/>
    <mergeCell ref="F1732:F1734"/>
    <mergeCell ref="A1735:A1744"/>
    <mergeCell ref="G1739:G1741"/>
    <mergeCell ref="B1735:B1744"/>
    <mergeCell ref="C1735:C1744"/>
    <mergeCell ref="D1735:D1744"/>
    <mergeCell ref="E1735:E1744"/>
    <mergeCell ref="F1735:F1744"/>
    <mergeCell ref="G1735:G1738"/>
    <mergeCell ref="G1742:G1744"/>
    <mergeCell ref="A1878:A1880"/>
    <mergeCell ref="B1878:B1880"/>
    <mergeCell ref="C1878:C1880"/>
    <mergeCell ref="D1878:D1880"/>
    <mergeCell ref="E1878:E1880"/>
    <mergeCell ref="F1878:F1880"/>
    <mergeCell ref="B1813:B1814"/>
    <mergeCell ref="C1813:C1814"/>
    <mergeCell ref="D1813:D1814"/>
    <mergeCell ref="E1813:E1814"/>
    <mergeCell ref="F1813:F1814"/>
    <mergeCell ref="A1835:A1841"/>
    <mergeCell ref="B1835:B1841"/>
    <mergeCell ref="C1835:C1841"/>
    <mergeCell ref="D1835:D1841"/>
    <mergeCell ref="E1835:E1841"/>
    <mergeCell ref="F1835:F1841"/>
    <mergeCell ref="A1745:A1751"/>
    <mergeCell ref="B1745:B1751"/>
    <mergeCell ref="F1772:F1774"/>
    <mergeCell ref="A1719:A1721"/>
    <mergeCell ref="B1719:B1721"/>
    <mergeCell ref="C1719:C1721"/>
    <mergeCell ref="D1719:D1721"/>
    <mergeCell ref="E1719:E1721"/>
    <mergeCell ref="F1719:F1721"/>
    <mergeCell ref="G1719:G1721"/>
    <mergeCell ref="A1722:A1724"/>
    <mergeCell ref="B1722:B1724"/>
    <mergeCell ref="C1722:C1724"/>
    <mergeCell ref="D1722:D1724"/>
    <mergeCell ref="E1722:E1724"/>
    <mergeCell ref="F1722:F1724"/>
    <mergeCell ref="G1722:G1724"/>
    <mergeCell ref="A1725:A1726"/>
    <mergeCell ref="B1725:B1726"/>
    <mergeCell ref="C1725:C1726"/>
    <mergeCell ref="D1725:D1726"/>
    <mergeCell ref="E1725:E1726"/>
    <mergeCell ref="F1725:F1726"/>
    <mergeCell ref="G1725:G1726"/>
    <mergeCell ref="A1752:A1754"/>
    <mergeCell ref="B1752:B1754"/>
    <mergeCell ref="C1752:C1754"/>
    <mergeCell ref="D1752:D1754"/>
    <mergeCell ref="E1752:E1754"/>
    <mergeCell ref="F1752:F1754"/>
    <mergeCell ref="A1755:A1757"/>
    <mergeCell ref="B1755:B1757"/>
    <mergeCell ref="A1712:A1715"/>
    <mergeCell ref="B1712:B1715"/>
    <mergeCell ref="C1712:C1715"/>
    <mergeCell ref="D1712:D1715"/>
    <mergeCell ref="E1712:E1715"/>
    <mergeCell ref="F1712:F1715"/>
    <mergeCell ref="A1716:A1718"/>
    <mergeCell ref="B1716:B1718"/>
    <mergeCell ref="C1716:C1718"/>
    <mergeCell ref="D1716:D1718"/>
    <mergeCell ref="E1716:E1718"/>
    <mergeCell ref="F1716:F1718"/>
    <mergeCell ref="G1716:G1718"/>
    <mergeCell ref="A1708:A1709"/>
    <mergeCell ref="B1708:B1709"/>
    <mergeCell ref="C1708:C1709"/>
    <mergeCell ref="D1708:D1709"/>
    <mergeCell ref="E1708:E1709"/>
    <mergeCell ref="F1708:F1709"/>
    <mergeCell ref="G1708:G1709"/>
    <mergeCell ref="A1710:A1711"/>
    <mergeCell ref="B1710:B1711"/>
    <mergeCell ref="C1710:C1711"/>
    <mergeCell ref="D1710:D1711"/>
    <mergeCell ref="A1694:A1696"/>
    <mergeCell ref="B1694:B1696"/>
    <mergeCell ref="C1694:C1696"/>
    <mergeCell ref="D1694:D1696"/>
    <mergeCell ref="E1694:E1696"/>
    <mergeCell ref="F1694:F1696"/>
    <mergeCell ref="G1695:G1696"/>
    <mergeCell ref="A1697:A1700"/>
    <mergeCell ref="B1697:B1700"/>
    <mergeCell ref="C1697:C1700"/>
    <mergeCell ref="D1697:D1700"/>
    <mergeCell ref="E1697:E1700"/>
    <mergeCell ref="F1697:F1700"/>
    <mergeCell ref="G1699:G1700"/>
    <mergeCell ref="B1705:B1707"/>
    <mergeCell ref="C1705:C1707"/>
    <mergeCell ref="D1705:D1707"/>
    <mergeCell ref="E1705:E1707"/>
    <mergeCell ref="F1705:F1707"/>
    <mergeCell ref="A1701:A1704"/>
    <mergeCell ref="B1701:B1704"/>
    <mergeCell ref="C1701:C1704"/>
    <mergeCell ref="D1701:D1704"/>
    <mergeCell ref="E1701:E1704"/>
    <mergeCell ref="F1701:F1704"/>
    <mergeCell ref="G1703:G1704"/>
    <mergeCell ref="A1705:A1707"/>
    <mergeCell ref="G1705:G1707"/>
    <mergeCell ref="A1043:A1045"/>
    <mergeCell ref="B1043:B1045"/>
    <mergeCell ref="C1043:C1045"/>
    <mergeCell ref="D1043:D1045"/>
    <mergeCell ref="E1043:E1045"/>
    <mergeCell ref="F1043:F1045"/>
    <mergeCell ref="G1043:G1045"/>
    <mergeCell ref="A1046:A1049"/>
    <mergeCell ref="B1046:B1049"/>
    <mergeCell ref="C1046:C1049"/>
    <mergeCell ref="D1046:D1049"/>
    <mergeCell ref="E1046:E1049"/>
    <mergeCell ref="F1046:F1049"/>
    <mergeCell ref="E1674:E1676"/>
    <mergeCell ref="F1674:F1676"/>
    <mergeCell ref="A1680:A1683"/>
    <mergeCell ref="B1680:B1683"/>
    <mergeCell ref="C1680:C1683"/>
    <mergeCell ref="D1680:D1683"/>
    <mergeCell ref="E1680:E1683"/>
    <mergeCell ref="F1680:F1683"/>
    <mergeCell ref="G1682:G1683"/>
    <mergeCell ref="G1047:G1049"/>
    <mergeCell ref="A1497:A1499"/>
    <mergeCell ref="A1617:A1621"/>
    <mergeCell ref="B1617:B1621"/>
    <mergeCell ref="C1617:C1621"/>
    <mergeCell ref="D1617:D1621"/>
    <mergeCell ref="E1617:E1621"/>
    <mergeCell ref="F1617:F1621"/>
    <mergeCell ref="A1595:A1597"/>
    <mergeCell ref="B1595:B1597"/>
    <mergeCell ref="G764:G766"/>
    <mergeCell ref="A1027:A1029"/>
    <mergeCell ref="B1027:B1029"/>
    <mergeCell ref="C1027:C1029"/>
    <mergeCell ref="D1027:D1029"/>
    <mergeCell ref="E1027:E1029"/>
    <mergeCell ref="F1027:F1029"/>
    <mergeCell ref="G1027:G1029"/>
    <mergeCell ref="A1024:A1026"/>
    <mergeCell ref="B1024:B1026"/>
    <mergeCell ref="C1024:C1026"/>
    <mergeCell ref="D1024:D1026"/>
    <mergeCell ref="E1024:E1026"/>
    <mergeCell ref="F1024:F1026"/>
    <mergeCell ref="G1024:G1026"/>
    <mergeCell ref="A995:A1007"/>
    <mergeCell ref="B995:B1007"/>
    <mergeCell ref="C995:C1007"/>
    <mergeCell ref="D995:D1007"/>
    <mergeCell ref="E995:E1007"/>
    <mergeCell ref="F995:F1007"/>
    <mergeCell ref="G996:G998"/>
    <mergeCell ref="G999:G1001"/>
    <mergeCell ref="G1002:G1004"/>
    <mergeCell ref="G1005:G1007"/>
    <mergeCell ref="A1008:A1010"/>
    <mergeCell ref="B1008:B1010"/>
    <mergeCell ref="C1008:C1010"/>
    <mergeCell ref="D1008:D1010"/>
    <mergeCell ref="E1008:E1010"/>
    <mergeCell ref="F1008:F1010"/>
    <mergeCell ref="G1008:G1010"/>
    <mergeCell ref="A1030:A1039"/>
    <mergeCell ref="B1030:B1039"/>
    <mergeCell ref="C1030:C1039"/>
    <mergeCell ref="D1030:D1039"/>
    <mergeCell ref="E1030:E1039"/>
    <mergeCell ref="F1030:F1039"/>
    <mergeCell ref="G1031:G1033"/>
    <mergeCell ref="G1034:G1036"/>
    <mergeCell ref="G1037:G1039"/>
    <mergeCell ref="A1040:A1042"/>
    <mergeCell ref="B1040:B1042"/>
    <mergeCell ref="C1040:C1042"/>
    <mergeCell ref="D1040:D1042"/>
    <mergeCell ref="E1040:E1042"/>
    <mergeCell ref="F1040:F1042"/>
    <mergeCell ref="G1040:G1042"/>
    <mergeCell ref="A1011:A1013"/>
    <mergeCell ref="B1011:B1013"/>
    <mergeCell ref="C1011:C1013"/>
    <mergeCell ref="D1011:D1013"/>
    <mergeCell ref="E1011:E1013"/>
    <mergeCell ref="F1011:F1013"/>
    <mergeCell ref="G1011:G1013"/>
    <mergeCell ref="A1014:A1023"/>
    <mergeCell ref="B1014:B1023"/>
    <mergeCell ref="C1014:C1023"/>
    <mergeCell ref="D1014:D1023"/>
    <mergeCell ref="E1014:E1023"/>
    <mergeCell ref="F1014:F1023"/>
    <mergeCell ref="G1015:G1017"/>
    <mergeCell ref="G1018:G1020"/>
    <mergeCell ref="G1021:G1023"/>
    <mergeCell ref="A986:A988"/>
    <mergeCell ref="B986:B988"/>
    <mergeCell ref="C986:C988"/>
    <mergeCell ref="D986:D988"/>
    <mergeCell ref="E986:E988"/>
    <mergeCell ref="F986:F988"/>
    <mergeCell ref="G986:G988"/>
    <mergeCell ref="A989:A991"/>
    <mergeCell ref="B989:B991"/>
    <mergeCell ref="C989:C991"/>
    <mergeCell ref="D989:D991"/>
    <mergeCell ref="E989:E991"/>
    <mergeCell ref="F989:F991"/>
    <mergeCell ref="G989:G991"/>
    <mergeCell ref="A992:A994"/>
    <mergeCell ref="B992:B994"/>
    <mergeCell ref="C992:C994"/>
    <mergeCell ref="D992:D994"/>
    <mergeCell ref="E992:E994"/>
    <mergeCell ref="F992:F994"/>
    <mergeCell ref="G992:G994"/>
    <mergeCell ref="A970:A978"/>
    <mergeCell ref="B970:B978"/>
    <mergeCell ref="C970:C978"/>
    <mergeCell ref="D970:D978"/>
    <mergeCell ref="E970:E978"/>
    <mergeCell ref="F970:F978"/>
    <mergeCell ref="G971:G972"/>
    <mergeCell ref="G973:G974"/>
    <mergeCell ref="G975:G976"/>
    <mergeCell ref="G977:G978"/>
    <mergeCell ref="A979:A985"/>
    <mergeCell ref="B979:B985"/>
    <mergeCell ref="C979:C985"/>
    <mergeCell ref="D979:D985"/>
    <mergeCell ref="E979:E985"/>
    <mergeCell ref="F979:F985"/>
    <mergeCell ref="G980:G982"/>
    <mergeCell ref="G983:G985"/>
    <mergeCell ref="A953:A965"/>
    <mergeCell ref="B953:B965"/>
    <mergeCell ref="C953:C965"/>
    <mergeCell ref="D953:D965"/>
    <mergeCell ref="E953:E965"/>
    <mergeCell ref="F953:F965"/>
    <mergeCell ref="G954:G956"/>
    <mergeCell ref="G957:G959"/>
    <mergeCell ref="G960:G962"/>
    <mergeCell ref="G963:G965"/>
    <mergeCell ref="A966:A969"/>
    <mergeCell ref="B966:B969"/>
    <mergeCell ref="C966:C969"/>
    <mergeCell ref="D966:D969"/>
    <mergeCell ref="E966:E969"/>
    <mergeCell ref="F966:F969"/>
    <mergeCell ref="G967:G969"/>
    <mergeCell ref="A941:A943"/>
    <mergeCell ref="B941:B943"/>
    <mergeCell ref="C941:C943"/>
    <mergeCell ref="D941:D943"/>
    <mergeCell ref="E941:E943"/>
    <mergeCell ref="F941:F943"/>
    <mergeCell ref="G941:G943"/>
    <mergeCell ref="A944:A945"/>
    <mergeCell ref="B944:B945"/>
    <mergeCell ref="C944:C945"/>
    <mergeCell ref="D944:D945"/>
    <mergeCell ref="E944:E945"/>
    <mergeCell ref="F944:F945"/>
    <mergeCell ref="G944:G945"/>
    <mergeCell ref="A946:A952"/>
    <mergeCell ref="B946:B952"/>
    <mergeCell ref="C946:C952"/>
    <mergeCell ref="D946:D952"/>
    <mergeCell ref="E946:E952"/>
    <mergeCell ref="F946:F952"/>
    <mergeCell ref="G947:G949"/>
    <mergeCell ref="G950:G952"/>
    <mergeCell ref="A932:A934"/>
    <mergeCell ref="B932:B934"/>
    <mergeCell ref="C932:C934"/>
    <mergeCell ref="D932:D934"/>
    <mergeCell ref="E932:E934"/>
    <mergeCell ref="F932:F934"/>
    <mergeCell ref="G932:G934"/>
    <mergeCell ref="A935:A937"/>
    <mergeCell ref="B935:B937"/>
    <mergeCell ref="C935:C937"/>
    <mergeCell ref="D935:D937"/>
    <mergeCell ref="E935:E937"/>
    <mergeCell ref="F935:F937"/>
    <mergeCell ref="G935:G937"/>
    <mergeCell ref="A938:A940"/>
    <mergeCell ref="B938:B940"/>
    <mergeCell ref="C938:C940"/>
    <mergeCell ref="D938:D940"/>
    <mergeCell ref="E938:E940"/>
    <mergeCell ref="F938:F940"/>
    <mergeCell ref="G938:G940"/>
    <mergeCell ref="A921:A925"/>
    <mergeCell ref="B921:B925"/>
    <mergeCell ref="C921:C925"/>
    <mergeCell ref="D921:D925"/>
    <mergeCell ref="E921:E925"/>
    <mergeCell ref="F921:F925"/>
    <mergeCell ref="G922:G923"/>
    <mergeCell ref="G924:G925"/>
    <mergeCell ref="A926:A928"/>
    <mergeCell ref="B926:B928"/>
    <mergeCell ref="C926:C928"/>
    <mergeCell ref="D926:D928"/>
    <mergeCell ref="E926:E928"/>
    <mergeCell ref="F926:F928"/>
    <mergeCell ref="G926:G928"/>
    <mergeCell ref="A929:A931"/>
    <mergeCell ref="B929:B931"/>
    <mergeCell ref="C929:C931"/>
    <mergeCell ref="D929:D931"/>
    <mergeCell ref="E929:E931"/>
    <mergeCell ref="F929:F931"/>
    <mergeCell ref="G929:G931"/>
    <mergeCell ref="A912:A914"/>
    <mergeCell ref="B912:B914"/>
    <mergeCell ref="C912:C914"/>
    <mergeCell ref="D912:D914"/>
    <mergeCell ref="E912:E914"/>
    <mergeCell ref="F912:F914"/>
    <mergeCell ref="G912:G914"/>
    <mergeCell ref="A915:A917"/>
    <mergeCell ref="B915:B917"/>
    <mergeCell ref="C915:C917"/>
    <mergeCell ref="D915:D917"/>
    <mergeCell ref="E915:E917"/>
    <mergeCell ref="F915:F917"/>
    <mergeCell ref="G915:G917"/>
    <mergeCell ref="A918:A920"/>
    <mergeCell ref="B918:B920"/>
    <mergeCell ref="C918:C920"/>
    <mergeCell ref="D918:D920"/>
    <mergeCell ref="E918:E920"/>
    <mergeCell ref="F918:F920"/>
    <mergeCell ref="G918:G920"/>
    <mergeCell ref="A898:A901"/>
    <mergeCell ref="B898:B901"/>
    <mergeCell ref="C898:C901"/>
    <mergeCell ref="D898:D901"/>
    <mergeCell ref="E898:E901"/>
    <mergeCell ref="F898:F901"/>
    <mergeCell ref="G899:G901"/>
    <mergeCell ref="A902:A908"/>
    <mergeCell ref="B902:B908"/>
    <mergeCell ref="C902:C908"/>
    <mergeCell ref="D902:D908"/>
    <mergeCell ref="E902:E908"/>
    <mergeCell ref="F902:F908"/>
    <mergeCell ref="G903:G905"/>
    <mergeCell ref="G906:G908"/>
    <mergeCell ref="A909:A911"/>
    <mergeCell ref="B909:B911"/>
    <mergeCell ref="C909:C911"/>
    <mergeCell ref="D909:D911"/>
    <mergeCell ref="E909:E911"/>
    <mergeCell ref="F909:F911"/>
    <mergeCell ref="G909:G911"/>
    <mergeCell ref="A882:A894"/>
    <mergeCell ref="B882:B894"/>
    <mergeCell ref="C882:C894"/>
    <mergeCell ref="D882:D894"/>
    <mergeCell ref="E882:E894"/>
    <mergeCell ref="F882:F894"/>
    <mergeCell ref="G883:G885"/>
    <mergeCell ref="G886:G888"/>
    <mergeCell ref="G889:G891"/>
    <mergeCell ref="G892:G894"/>
    <mergeCell ref="A895:A897"/>
    <mergeCell ref="B895:B897"/>
    <mergeCell ref="C895:C897"/>
    <mergeCell ref="D895:D897"/>
    <mergeCell ref="E895:E897"/>
    <mergeCell ref="F895:F897"/>
    <mergeCell ref="G895:G897"/>
    <mergeCell ref="A873:A875"/>
    <mergeCell ref="B873:B875"/>
    <mergeCell ref="C873:C875"/>
    <mergeCell ref="D873:D875"/>
    <mergeCell ref="E873:E875"/>
    <mergeCell ref="F873:F875"/>
    <mergeCell ref="G873:G875"/>
    <mergeCell ref="A876:A878"/>
    <mergeCell ref="B876:B878"/>
    <mergeCell ref="C876:C878"/>
    <mergeCell ref="D876:D878"/>
    <mergeCell ref="E876:E878"/>
    <mergeCell ref="F876:F878"/>
    <mergeCell ref="G876:G878"/>
    <mergeCell ref="A879:A881"/>
    <mergeCell ref="B879:B881"/>
    <mergeCell ref="C879:C881"/>
    <mergeCell ref="D879:D881"/>
    <mergeCell ref="E879:E881"/>
    <mergeCell ref="F879:F881"/>
    <mergeCell ref="G879:G881"/>
    <mergeCell ref="A864:A866"/>
    <mergeCell ref="B864:B866"/>
    <mergeCell ref="C864:C866"/>
    <mergeCell ref="D864:D866"/>
    <mergeCell ref="E864:E866"/>
    <mergeCell ref="F864:F866"/>
    <mergeCell ref="G864:G866"/>
    <mergeCell ref="A867:A869"/>
    <mergeCell ref="B867:B869"/>
    <mergeCell ref="C867:C869"/>
    <mergeCell ref="D867:D869"/>
    <mergeCell ref="E867:E869"/>
    <mergeCell ref="F867:F869"/>
    <mergeCell ref="G867:G869"/>
    <mergeCell ref="A870:A872"/>
    <mergeCell ref="B870:B872"/>
    <mergeCell ref="C870:C872"/>
    <mergeCell ref="D870:D872"/>
    <mergeCell ref="E870:E872"/>
    <mergeCell ref="F870:F872"/>
    <mergeCell ref="G870:G872"/>
    <mergeCell ref="A855:A857"/>
    <mergeCell ref="B855:B857"/>
    <mergeCell ref="C855:C857"/>
    <mergeCell ref="D855:D857"/>
    <mergeCell ref="E855:E857"/>
    <mergeCell ref="F855:F857"/>
    <mergeCell ref="G855:G857"/>
    <mergeCell ref="A858:A860"/>
    <mergeCell ref="B858:B860"/>
    <mergeCell ref="C858:C860"/>
    <mergeCell ref="D858:D860"/>
    <mergeCell ref="E858:E860"/>
    <mergeCell ref="F858:F860"/>
    <mergeCell ref="G858:G860"/>
    <mergeCell ref="A861:A863"/>
    <mergeCell ref="B861:B863"/>
    <mergeCell ref="C861:C863"/>
    <mergeCell ref="D861:D863"/>
    <mergeCell ref="E861:E863"/>
    <mergeCell ref="F861:F863"/>
    <mergeCell ref="G861:G863"/>
    <mergeCell ref="A846:A848"/>
    <mergeCell ref="B846:B848"/>
    <mergeCell ref="C846:C848"/>
    <mergeCell ref="D846:D848"/>
    <mergeCell ref="E846:E848"/>
    <mergeCell ref="F846:F848"/>
    <mergeCell ref="G846:G848"/>
    <mergeCell ref="A849:A851"/>
    <mergeCell ref="B849:B851"/>
    <mergeCell ref="C849:C851"/>
    <mergeCell ref="D849:D851"/>
    <mergeCell ref="E849:E851"/>
    <mergeCell ref="F849:F851"/>
    <mergeCell ref="G849:G851"/>
    <mergeCell ref="A852:A854"/>
    <mergeCell ref="B852:B854"/>
    <mergeCell ref="C852:C854"/>
    <mergeCell ref="D852:D854"/>
    <mergeCell ref="E852:E854"/>
    <mergeCell ref="F852:F854"/>
    <mergeCell ref="G852:G854"/>
    <mergeCell ref="A837:A839"/>
    <mergeCell ref="B837:B839"/>
    <mergeCell ref="C837:C839"/>
    <mergeCell ref="D837:D839"/>
    <mergeCell ref="E837:E839"/>
    <mergeCell ref="F837:F839"/>
    <mergeCell ref="G837:G839"/>
    <mergeCell ref="A840:A842"/>
    <mergeCell ref="B840:B842"/>
    <mergeCell ref="C840:C842"/>
    <mergeCell ref="D840:D842"/>
    <mergeCell ref="E840:E842"/>
    <mergeCell ref="F840:F842"/>
    <mergeCell ref="G840:G842"/>
    <mergeCell ref="A843:A845"/>
    <mergeCell ref="B843:B845"/>
    <mergeCell ref="C843:C845"/>
    <mergeCell ref="D843:D845"/>
    <mergeCell ref="E843:E845"/>
    <mergeCell ref="F843:F845"/>
    <mergeCell ref="G843:G845"/>
    <mergeCell ref="A811:A826"/>
    <mergeCell ref="B811:B826"/>
    <mergeCell ref="C811:C826"/>
    <mergeCell ref="D811:D826"/>
    <mergeCell ref="E811:E826"/>
    <mergeCell ref="F811:F826"/>
    <mergeCell ref="G812:G814"/>
    <mergeCell ref="G815:G817"/>
    <mergeCell ref="G818:G820"/>
    <mergeCell ref="G821:G823"/>
    <mergeCell ref="G824:G826"/>
    <mergeCell ref="A827:A836"/>
    <mergeCell ref="B827:B836"/>
    <mergeCell ref="C827:C836"/>
    <mergeCell ref="D827:D836"/>
    <mergeCell ref="E827:E836"/>
    <mergeCell ref="F827:F836"/>
    <mergeCell ref="G828:G830"/>
    <mergeCell ref="G831:G833"/>
    <mergeCell ref="G834:G836"/>
    <mergeCell ref="A767:A782"/>
    <mergeCell ref="B767:B782"/>
    <mergeCell ref="C767:C782"/>
    <mergeCell ref="D767:D782"/>
    <mergeCell ref="E767:E782"/>
    <mergeCell ref="F767:F782"/>
    <mergeCell ref="G768:G770"/>
    <mergeCell ref="G771:G773"/>
    <mergeCell ref="G774:G776"/>
    <mergeCell ref="G777:G779"/>
    <mergeCell ref="G780:G782"/>
    <mergeCell ref="A783:A810"/>
    <mergeCell ref="B783:B810"/>
    <mergeCell ref="C783:C810"/>
    <mergeCell ref="D783:D810"/>
    <mergeCell ref="E783:E810"/>
    <mergeCell ref="F783:F810"/>
    <mergeCell ref="G784:G786"/>
    <mergeCell ref="G787:G789"/>
    <mergeCell ref="G790:G792"/>
    <mergeCell ref="G793:G795"/>
    <mergeCell ref="G796:G798"/>
    <mergeCell ref="G799:G801"/>
    <mergeCell ref="G802:G804"/>
    <mergeCell ref="G805:G807"/>
    <mergeCell ref="G808:G810"/>
    <mergeCell ref="A754:A758"/>
    <mergeCell ref="B754:B758"/>
    <mergeCell ref="C754:C758"/>
    <mergeCell ref="D754:D758"/>
    <mergeCell ref="E754:E758"/>
    <mergeCell ref="F754:F758"/>
    <mergeCell ref="A759:A763"/>
    <mergeCell ref="B759:B763"/>
    <mergeCell ref="C759:C763"/>
    <mergeCell ref="D759:D763"/>
    <mergeCell ref="E759:E763"/>
    <mergeCell ref="F759:F763"/>
    <mergeCell ref="A764:A766"/>
    <mergeCell ref="B764:B766"/>
    <mergeCell ref="C764:C766"/>
    <mergeCell ref="D764:D766"/>
    <mergeCell ref="E764:E766"/>
    <mergeCell ref="F764:F766"/>
    <mergeCell ref="A726:A744"/>
    <mergeCell ref="B726:B744"/>
    <mergeCell ref="C726:C744"/>
    <mergeCell ref="D726:D744"/>
    <mergeCell ref="E726:E744"/>
    <mergeCell ref="F726:F744"/>
    <mergeCell ref="G727:G729"/>
    <mergeCell ref="G730:G732"/>
    <mergeCell ref="G733:G735"/>
    <mergeCell ref="G736:G738"/>
    <mergeCell ref="G739:G741"/>
    <mergeCell ref="G742:G744"/>
    <mergeCell ref="A745:A753"/>
    <mergeCell ref="B745:B753"/>
    <mergeCell ref="C745:C753"/>
    <mergeCell ref="D745:D753"/>
    <mergeCell ref="E745:E753"/>
    <mergeCell ref="F745:F753"/>
    <mergeCell ref="G746:G747"/>
    <mergeCell ref="G748:G749"/>
    <mergeCell ref="G750:G751"/>
    <mergeCell ref="G752:G753"/>
    <mergeCell ref="A717:A719"/>
    <mergeCell ref="B717:B719"/>
    <mergeCell ref="C717:C719"/>
    <mergeCell ref="D717:D719"/>
    <mergeCell ref="E717:E719"/>
    <mergeCell ref="F717:F719"/>
    <mergeCell ref="G717:G719"/>
    <mergeCell ref="A720:A722"/>
    <mergeCell ref="B720:B722"/>
    <mergeCell ref="C720:C722"/>
    <mergeCell ref="D720:D722"/>
    <mergeCell ref="E720:E722"/>
    <mergeCell ref="F720:F722"/>
    <mergeCell ref="G720:G722"/>
    <mergeCell ref="A723:A725"/>
    <mergeCell ref="B723:B725"/>
    <mergeCell ref="C723:C725"/>
    <mergeCell ref="D723:D725"/>
    <mergeCell ref="E723:E725"/>
    <mergeCell ref="F723:F725"/>
    <mergeCell ref="G723:G725"/>
    <mergeCell ref="A700:A703"/>
    <mergeCell ref="B700:B703"/>
    <mergeCell ref="C700:C703"/>
    <mergeCell ref="D700:D703"/>
    <mergeCell ref="E700:E703"/>
    <mergeCell ref="F700:F703"/>
    <mergeCell ref="G701:G703"/>
    <mergeCell ref="A704:A716"/>
    <mergeCell ref="B704:B716"/>
    <mergeCell ref="C704:C716"/>
    <mergeCell ref="D704:D716"/>
    <mergeCell ref="E704:E716"/>
    <mergeCell ref="F704:F716"/>
    <mergeCell ref="G705:G707"/>
    <mergeCell ref="G708:G710"/>
    <mergeCell ref="G711:G713"/>
    <mergeCell ref="G714:G716"/>
    <mergeCell ref="A688:A689"/>
    <mergeCell ref="B688:B689"/>
    <mergeCell ref="C688:C689"/>
    <mergeCell ref="D688:D689"/>
    <mergeCell ref="E688:E689"/>
    <mergeCell ref="F688:F689"/>
    <mergeCell ref="G688:G689"/>
    <mergeCell ref="A690:A692"/>
    <mergeCell ref="B690:B692"/>
    <mergeCell ref="C690:C692"/>
    <mergeCell ref="D690:D692"/>
    <mergeCell ref="E690:E692"/>
    <mergeCell ref="F690:F692"/>
    <mergeCell ref="G690:G692"/>
    <mergeCell ref="A693:A699"/>
    <mergeCell ref="B693:B699"/>
    <mergeCell ref="C693:C699"/>
    <mergeCell ref="D693:D699"/>
    <mergeCell ref="E693:E699"/>
    <mergeCell ref="F693:F699"/>
    <mergeCell ref="G694:G696"/>
    <mergeCell ref="G697:G699"/>
    <mergeCell ref="A672:A684"/>
    <mergeCell ref="B672:B684"/>
    <mergeCell ref="C672:C684"/>
    <mergeCell ref="D672:D684"/>
    <mergeCell ref="E672:E684"/>
    <mergeCell ref="F672:F684"/>
    <mergeCell ref="G673:G674"/>
    <mergeCell ref="G675:G676"/>
    <mergeCell ref="G677:G678"/>
    <mergeCell ref="G679:G680"/>
    <mergeCell ref="G681:G682"/>
    <mergeCell ref="G683:G684"/>
    <mergeCell ref="A685:A687"/>
    <mergeCell ref="B685:B687"/>
    <mergeCell ref="C685:C687"/>
    <mergeCell ref="D685:D687"/>
    <mergeCell ref="E685:E687"/>
    <mergeCell ref="F685:F687"/>
    <mergeCell ref="G685:G687"/>
    <mergeCell ref="A664:A666"/>
    <mergeCell ref="B664:B666"/>
    <mergeCell ref="C664:C666"/>
    <mergeCell ref="D664:D666"/>
    <mergeCell ref="E664:E666"/>
    <mergeCell ref="F664:F666"/>
    <mergeCell ref="G664:G666"/>
    <mergeCell ref="A667:A669"/>
    <mergeCell ref="B667:B669"/>
    <mergeCell ref="C667:C669"/>
    <mergeCell ref="D667:D669"/>
    <mergeCell ref="E667:E669"/>
    <mergeCell ref="F667:F669"/>
    <mergeCell ref="G667:G669"/>
    <mergeCell ref="A670:A671"/>
    <mergeCell ref="B670:B671"/>
    <mergeCell ref="C670:C671"/>
    <mergeCell ref="D670:D671"/>
    <mergeCell ref="E670:E671"/>
    <mergeCell ref="F670:F671"/>
    <mergeCell ref="G670:G671"/>
    <mergeCell ref="A656:A658"/>
    <mergeCell ref="B656:B658"/>
    <mergeCell ref="C656:C658"/>
    <mergeCell ref="D656:D658"/>
    <mergeCell ref="E656:E658"/>
    <mergeCell ref="F656:F658"/>
    <mergeCell ref="G656:G658"/>
    <mergeCell ref="A659:A661"/>
    <mergeCell ref="B659:B661"/>
    <mergeCell ref="C659:C661"/>
    <mergeCell ref="D659:D661"/>
    <mergeCell ref="E659:E661"/>
    <mergeCell ref="F659:F661"/>
    <mergeCell ref="G659:G661"/>
    <mergeCell ref="A662:A663"/>
    <mergeCell ref="B662:B663"/>
    <mergeCell ref="C662:C663"/>
    <mergeCell ref="D662:D663"/>
    <mergeCell ref="E662:E663"/>
    <mergeCell ref="F662:F663"/>
    <mergeCell ref="G662:G663"/>
    <mergeCell ref="A649:A651"/>
    <mergeCell ref="B649:B651"/>
    <mergeCell ref="C649:C651"/>
    <mergeCell ref="D649:D651"/>
    <mergeCell ref="E649:E651"/>
    <mergeCell ref="F649:F651"/>
    <mergeCell ref="G650:G651"/>
    <mergeCell ref="A652:A653"/>
    <mergeCell ref="B652:B653"/>
    <mergeCell ref="C652:C653"/>
    <mergeCell ref="D652:D653"/>
    <mergeCell ref="E652:E653"/>
    <mergeCell ref="F652:F653"/>
    <mergeCell ref="G652:G653"/>
    <mergeCell ref="A654:A655"/>
    <mergeCell ref="B654:B655"/>
    <mergeCell ref="C654:C655"/>
    <mergeCell ref="D654:D655"/>
    <mergeCell ref="E654:E655"/>
    <mergeCell ref="F654:F655"/>
    <mergeCell ref="G654:G655"/>
    <mergeCell ref="A641:A643"/>
    <mergeCell ref="B641:B643"/>
    <mergeCell ref="C641:C643"/>
    <mergeCell ref="D641:D643"/>
    <mergeCell ref="E641:E643"/>
    <mergeCell ref="F641:F643"/>
    <mergeCell ref="G641:G643"/>
    <mergeCell ref="A644:A646"/>
    <mergeCell ref="B644:B646"/>
    <mergeCell ref="C644:C646"/>
    <mergeCell ref="D644:D646"/>
    <mergeCell ref="E644:E646"/>
    <mergeCell ref="F644:F646"/>
    <mergeCell ref="G644:G646"/>
    <mergeCell ref="A647:A648"/>
    <mergeCell ref="B647:B648"/>
    <mergeCell ref="C647:C648"/>
    <mergeCell ref="D647:D648"/>
    <mergeCell ref="E647:E648"/>
    <mergeCell ref="F647:F648"/>
    <mergeCell ref="G647:G648"/>
    <mergeCell ref="A628:A634"/>
    <mergeCell ref="B628:B634"/>
    <mergeCell ref="C628:C634"/>
    <mergeCell ref="D628:D634"/>
    <mergeCell ref="E628:E634"/>
    <mergeCell ref="F628:F634"/>
    <mergeCell ref="G628:G630"/>
    <mergeCell ref="G631:G632"/>
    <mergeCell ref="G633:G634"/>
    <mergeCell ref="A635:A637"/>
    <mergeCell ref="B635:B637"/>
    <mergeCell ref="C635:C637"/>
    <mergeCell ref="D635:D637"/>
    <mergeCell ref="E635:E637"/>
    <mergeCell ref="F635:F637"/>
    <mergeCell ref="G635:G637"/>
    <mergeCell ref="A638:A640"/>
    <mergeCell ref="B638:B640"/>
    <mergeCell ref="C638:C640"/>
    <mergeCell ref="D638:D640"/>
    <mergeCell ref="E638:E640"/>
    <mergeCell ref="F638:F640"/>
    <mergeCell ref="G638:G640"/>
    <mergeCell ref="A619:A621"/>
    <mergeCell ref="B619:B621"/>
    <mergeCell ref="C619:C621"/>
    <mergeCell ref="D619:D621"/>
    <mergeCell ref="E619:E621"/>
    <mergeCell ref="F619:F621"/>
    <mergeCell ref="G619:G621"/>
    <mergeCell ref="A622:A624"/>
    <mergeCell ref="B622:B624"/>
    <mergeCell ref="C622:C624"/>
    <mergeCell ref="D622:D624"/>
    <mergeCell ref="E622:E624"/>
    <mergeCell ref="F622:F624"/>
    <mergeCell ref="G622:G624"/>
    <mergeCell ref="A625:A627"/>
    <mergeCell ref="B625:B627"/>
    <mergeCell ref="C625:C627"/>
    <mergeCell ref="D625:D627"/>
    <mergeCell ref="E625:E627"/>
    <mergeCell ref="F625:F627"/>
    <mergeCell ref="G625:G627"/>
    <mergeCell ref="A611:A613"/>
    <mergeCell ref="B611:B613"/>
    <mergeCell ref="C611:C613"/>
    <mergeCell ref="D611:D613"/>
    <mergeCell ref="E611:E613"/>
    <mergeCell ref="F611:F613"/>
    <mergeCell ref="G611:G613"/>
    <mergeCell ref="A614:A615"/>
    <mergeCell ref="B614:B615"/>
    <mergeCell ref="C614:C615"/>
    <mergeCell ref="D614:D615"/>
    <mergeCell ref="E614:E615"/>
    <mergeCell ref="F614:F615"/>
    <mergeCell ref="G614:G615"/>
    <mergeCell ref="A616:A618"/>
    <mergeCell ref="B616:B618"/>
    <mergeCell ref="C616:C618"/>
    <mergeCell ref="D616:D618"/>
    <mergeCell ref="E616:E618"/>
    <mergeCell ref="F616:F618"/>
    <mergeCell ref="G616:G618"/>
    <mergeCell ref="A594:A596"/>
    <mergeCell ref="B594:B596"/>
    <mergeCell ref="C594:C596"/>
    <mergeCell ref="D594:D596"/>
    <mergeCell ref="E594:E596"/>
    <mergeCell ref="F594:F596"/>
    <mergeCell ref="G594:G596"/>
    <mergeCell ref="A597:A603"/>
    <mergeCell ref="B597:B603"/>
    <mergeCell ref="C597:C603"/>
    <mergeCell ref="D597:D603"/>
    <mergeCell ref="E597:E603"/>
    <mergeCell ref="F597:F603"/>
    <mergeCell ref="G597:G599"/>
    <mergeCell ref="G600:G601"/>
    <mergeCell ref="G602:G603"/>
    <mergeCell ref="A604:A610"/>
    <mergeCell ref="B604:B610"/>
    <mergeCell ref="C604:C610"/>
    <mergeCell ref="D604:D610"/>
    <mergeCell ref="E604:E610"/>
    <mergeCell ref="F604:F610"/>
    <mergeCell ref="G605:G607"/>
    <mergeCell ref="G608:G610"/>
    <mergeCell ref="A585:A587"/>
    <mergeCell ref="B585:B587"/>
    <mergeCell ref="C585:C587"/>
    <mergeCell ref="D585:D587"/>
    <mergeCell ref="E585:E587"/>
    <mergeCell ref="F585:F587"/>
    <mergeCell ref="G585:G587"/>
    <mergeCell ref="A588:A590"/>
    <mergeCell ref="B588:B590"/>
    <mergeCell ref="C588:C590"/>
    <mergeCell ref="D588:D590"/>
    <mergeCell ref="E588:E590"/>
    <mergeCell ref="F588:F590"/>
    <mergeCell ref="G588:G590"/>
    <mergeCell ref="A591:A593"/>
    <mergeCell ref="B591:B593"/>
    <mergeCell ref="C591:C593"/>
    <mergeCell ref="D591:D593"/>
    <mergeCell ref="E591:E593"/>
    <mergeCell ref="F591:F593"/>
    <mergeCell ref="G591:G593"/>
    <mergeCell ref="A576:A578"/>
    <mergeCell ref="B576:B578"/>
    <mergeCell ref="C576:C578"/>
    <mergeCell ref="D576:D578"/>
    <mergeCell ref="E576:E578"/>
    <mergeCell ref="F576:F578"/>
    <mergeCell ref="G576:G578"/>
    <mergeCell ref="A579:A581"/>
    <mergeCell ref="B579:B581"/>
    <mergeCell ref="C579:C581"/>
    <mergeCell ref="D579:D581"/>
    <mergeCell ref="E579:E581"/>
    <mergeCell ref="F579:F581"/>
    <mergeCell ref="G579:G581"/>
    <mergeCell ref="A582:A584"/>
    <mergeCell ref="B582:B584"/>
    <mergeCell ref="C582:C584"/>
    <mergeCell ref="D582:D584"/>
    <mergeCell ref="E582:E584"/>
    <mergeCell ref="F582:F584"/>
    <mergeCell ref="G582:G584"/>
    <mergeCell ref="A568:A570"/>
    <mergeCell ref="B568:B570"/>
    <mergeCell ref="C568:C570"/>
    <mergeCell ref="D568:D570"/>
    <mergeCell ref="E568:E570"/>
    <mergeCell ref="F568:F570"/>
    <mergeCell ref="G568:G570"/>
    <mergeCell ref="A571:A572"/>
    <mergeCell ref="B571:B572"/>
    <mergeCell ref="C571:C572"/>
    <mergeCell ref="D571:D572"/>
    <mergeCell ref="E571:E572"/>
    <mergeCell ref="F571:F572"/>
    <mergeCell ref="G571:G572"/>
    <mergeCell ref="A573:A575"/>
    <mergeCell ref="B573:B575"/>
    <mergeCell ref="C573:C575"/>
    <mergeCell ref="D573:D575"/>
    <mergeCell ref="E573:E575"/>
    <mergeCell ref="F573:F575"/>
    <mergeCell ref="G573:G575"/>
    <mergeCell ref="A557:A565"/>
    <mergeCell ref="B557:B565"/>
    <mergeCell ref="C557:C565"/>
    <mergeCell ref="D557:D565"/>
    <mergeCell ref="E557:E565"/>
    <mergeCell ref="F557:F565"/>
    <mergeCell ref="G558:G559"/>
    <mergeCell ref="G560:G561"/>
    <mergeCell ref="G562:G563"/>
    <mergeCell ref="G564:G565"/>
    <mergeCell ref="A566:A567"/>
    <mergeCell ref="B566:B567"/>
    <mergeCell ref="C566:C567"/>
    <mergeCell ref="D566:D567"/>
    <mergeCell ref="E566:E567"/>
    <mergeCell ref="F566:F567"/>
    <mergeCell ref="G566:G567"/>
    <mergeCell ref="A547:A548"/>
    <mergeCell ref="B547:B548"/>
    <mergeCell ref="C547:C548"/>
    <mergeCell ref="D547:D548"/>
    <mergeCell ref="E547:E548"/>
    <mergeCell ref="F547:F548"/>
    <mergeCell ref="G547:G548"/>
    <mergeCell ref="A549:A551"/>
    <mergeCell ref="B549:B551"/>
    <mergeCell ref="C549:C551"/>
    <mergeCell ref="D549:D551"/>
    <mergeCell ref="E549:E551"/>
    <mergeCell ref="F549:F551"/>
    <mergeCell ref="G549:G551"/>
    <mergeCell ref="A552:A556"/>
    <mergeCell ref="B552:B556"/>
    <mergeCell ref="C552:C556"/>
    <mergeCell ref="D552:D556"/>
    <mergeCell ref="E552:E556"/>
    <mergeCell ref="F552:F556"/>
    <mergeCell ref="A535:A539"/>
    <mergeCell ref="B535:B539"/>
    <mergeCell ref="C535:C539"/>
    <mergeCell ref="D535:D539"/>
    <mergeCell ref="E535:E539"/>
    <mergeCell ref="F535:F539"/>
    <mergeCell ref="G536:G537"/>
    <mergeCell ref="G538:G539"/>
    <mergeCell ref="A540:A542"/>
    <mergeCell ref="B540:B542"/>
    <mergeCell ref="C540:C542"/>
    <mergeCell ref="D540:D542"/>
    <mergeCell ref="E540:E542"/>
    <mergeCell ref="F540:F542"/>
    <mergeCell ref="G540:G542"/>
    <mergeCell ref="A543:A546"/>
    <mergeCell ref="B543:B546"/>
    <mergeCell ref="C543:C546"/>
    <mergeCell ref="D543:D546"/>
    <mergeCell ref="E543:E546"/>
    <mergeCell ref="F543:F546"/>
    <mergeCell ref="A527:A529"/>
    <mergeCell ref="B527:B529"/>
    <mergeCell ref="C527:C529"/>
    <mergeCell ref="D527:D529"/>
    <mergeCell ref="E527:E529"/>
    <mergeCell ref="F527:F529"/>
    <mergeCell ref="G527:G529"/>
    <mergeCell ref="A530:A532"/>
    <mergeCell ref="B530:B532"/>
    <mergeCell ref="C530:C532"/>
    <mergeCell ref="D530:D532"/>
    <mergeCell ref="E530:E532"/>
    <mergeCell ref="F530:F532"/>
    <mergeCell ref="G530:G532"/>
    <mergeCell ref="A533:A534"/>
    <mergeCell ref="B533:B534"/>
    <mergeCell ref="C533:C534"/>
    <mergeCell ref="D533:D534"/>
    <mergeCell ref="E533:E534"/>
    <mergeCell ref="F533:F534"/>
    <mergeCell ref="G533:G534"/>
    <mergeCell ref="A515:A516"/>
    <mergeCell ref="B515:B516"/>
    <mergeCell ref="C515:C516"/>
    <mergeCell ref="D515:D516"/>
    <mergeCell ref="E515:E516"/>
    <mergeCell ref="F515:F516"/>
    <mergeCell ref="G515:G516"/>
    <mergeCell ref="A517:A523"/>
    <mergeCell ref="B517:B523"/>
    <mergeCell ref="C517:C523"/>
    <mergeCell ref="D517:D523"/>
    <mergeCell ref="E517:E523"/>
    <mergeCell ref="F517:F523"/>
    <mergeCell ref="G517:G519"/>
    <mergeCell ref="G520:G521"/>
    <mergeCell ref="G522:G523"/>
    <mergeCell ref="A524:A526"/>
    <mergeCell ref="B524:B526"/>
    <mergeCell ref="C524:C526"/>
    <mergeCell ref="D524:D526"/>
    <mergeCell ref="E524:E526"/>
    <mergeCell ref="F524:F526"/>
    <mergeCell ref="G524:G526"/>
    <mergeCell ref="A506:A508"/>
    <mergeCell ref="B506:B508"/>
    <mergeCell ref="C506:C508"/>
    <mergeCell ref="D506:D508"/>
    <mergeCell ref="E506:E508"/>
    <mergeCell ref="F506:F508"/>
    <mergeCell ref="G506:G508"/>
    <mergeCell ref="A509:A511"/>
    <mergeCell ref="B509:B511"/>
    <mergeCell ref="C509:C511"/>
    <mergeCell ref="D509:D511"/>
    <mergeCell ref="E509:E511"/>
    <mergeCell ref="F509:F511"/>
    <mergeCell ref="G509:G511"/>
    <mergeCell ref="A512:A514"/>
    <mergeCell ref="B512:B514"/>
    <mergeCell ref="C512:C514"/>
    <mergeCell ref="D512:D514"/>
    <mergeCell ref="E512:E514"/>
    <mergeCell ref="F512:F514"/>
    <mergeCell ref="G512:G514"/>
    <mergeCell ref="A497:A499"/>
    <mergeCell ref="B497:B499"/>
    <mergeCell ref="C497:C499"/>
    <mergeCell ref="D497:D499"/>
    <mergeCell ref="E497:E499"/>
    <mergeCell ref="F497:F499"/>
    <mergeCell ref="G497:G499"/>
    <mergeCell ref="A500:A502"/>
    <mergeCell ref="B500:B502"/>
    <mergeCell ref="C500:C502"/>
    <mergeCell ref="D500:D502"/>
    <mergeCell ref="E500:E502"/>
    <mergeCell ref="F500:F502"/>
    <mergeCell ref="G500:G502"/>
    <mergeCell ref="A503:A505"/>
    <mergeCell ref="B503:B505"/>
    <mergeCell ref="C503:C505"/>
    <mergeCell ref="D503:D505"/>
    <mergeCell ref="E503:E505"/>
    <mergeCell ref="F503:F505"/>
    <mergeCell ref="G503:G505"/>
    <mergeCell ref="A487:A489"/>
    <mergeCell ref="B487:B489"/>
    <mergeCell ref="C487:C489"/>
    <mergeCell ref="D487:D489"/>
    <mergeCell ref="E487:E489"/>
    <mergeCell ref="F487:F489"/>
    <mergeCell ref="G487:G489"/>
    <mergeCell ref="A490:A492"/>
    <mergeCell ref="B490:B492"/>
    <mergeCell ref="C490:C492"/>
    <mergeCell ref="D490:D492"/>
    <mergeCell ref="E490:E492"/>
    <mergeCell ref="F490:F492"/>
    <mergeCell ref="G490:G492"/>
    <mergeCell ref="A493:A496"/>
    <mergeCell ref="B493:B496"/>
    <mergeCell ref="C493:C496"/>
    <mergeCell ref="D493:D496"/>
    <mergeCell ref="E493:E496"/>
    <mergeCell ref="F493:F496"/>
    <mergeCell ref="A474:A476"/>
    <mergeCell ref="B474:B476"/>
    <mergeCell ref="C474:C476"/>
    <mergeCell ref="D474:D476"/>
    <mergeCell ref="E474:E476"/>
    <mergeCell ref="F474:F476"/>
    <mergeCell ref="G474:G476"/>
    <mergeCell ref="A477:A479"/>
    <mergeCell ref="B477:B479"/>
    <mergeCell ref="C477:C479"/>
    <mergeCell ref="D477:D479"/>
    <mergeCell ref="E477:E479"/>
    <mergeCell ref="F477:F479"/>
    <mergeCell ref="G477:G479"/>
    <mergeCell ref="A480:A486"/>
    <mergeCell ref="B480:B486"/>
    <mergeCell ref="C480:C486"/>
    <mergeCell ref="D480:D486"/>
    <mergeCell ref="E480:E486"/>
    <mergeCell ref="F480:F486"/>
    <mergeCell ref="G481:G482"/>
    <mergeCell ref="G483:G484"/>
    <mergeCell ref="G485:G486"/>
    <mergeCell ref="A465:A467"/>
    <mergeCell ref="B465:B467"/>
    <mergeCell ref="C465:C467"/>
    <mergeCell ref="D465:D467"/>
    <mergeCell ref="E465:E467"/>
    <mergeCell ref="F465:F467"/>
    <mergeCell ref="G465:G467"/>
    <mergeCell ref="A468:A470"/>
    <mergeCell ref="B468:B470"/>
    <mergeCell ref="C468:C470"/>
    <mergeCell ref="D468:D470"/>
    <mergeCell ref="E468:E470"/>
    <mergeCell ref="F468:F470"/>
    <mergeCell ref="G468:G470"/>
    <mergeCell ref="A471:A473"/>
    <mergeCell ref="B471:B473"/>
    <mergeCell ref="C471:C473"/>
    <mergeCell ref="D471:D473"/>
    <mergeCell ref="E471:E473"/>
    <mergeCell ref="F471:F473"/>
    <mergeCell ref="G471:G473"/>
    <mergeCell ref="A457:A458"/>
    <mergeCell ref="B457:B458"/>
    <mergeCell ref="C457:C458"/>
    <mergeCell ref="D457:D458"/>
    <mergeCell ref="E457:E458"/>
    <mergeCell ref="F457:F458"/>
    <mergeCell ref="G457:G458"/>
    <mergeCell ref="A459:A461"/>
    <mergeCell ref="B459:B461"/>
    <mergeCell ref="C459:C461"/>
    <mergeCell ref="D459:D461"/>
    <mergeCell ref="E459:E461"/>
    <mergeCell ref="F459:F461"/>
    <mergeCell ref="G459:G461"/>
    <mergeCell ref="A462:A464"/>
    <mergeCell ref="B462:B464"/>
    <mergeCell ref="C462:C464"/>
    <mergeCell ref="D462:D464"/>
    <mergeCell ref="E462:E464"/>
    <mergeCell ref="F462:F464"/>
    <mergeCell ref="G462:G464"/>
    <mergeCell ref="A448:A450"/>
    <mergeCell ref="B448:B450"/>
    <mergeCell ref="C448:C450"/>
    <mergeCell ref="D448:D450"/>
    <mergeCell ref="E448:E450"/>
    <mergeCell ref="F448:F450"/>
    <mergeCell ref="G448:G450"/>
    <mergeCell ref="A451:A453"/>
    <mergeCell ref="B451:B453"/>
    <mergeCell ref="C451:C453"/>
    <mergeCell ref="D451:D453"/>
    <mergeCell ref="E451:E453"/>
    <mergeCell ref="F451:F453"/>
    <mergeCell ref="G451:G453"/>
    <mergeCell ref="A454:A456"/>
    <mergeCell ref="B454:B456"/>
    <mergeCell ref="C454:C456"/>
    <mergeCell ref="D454:D456"/>
    <mergeCell ref="E454:E456"/>
    <mergeCell ref="F454:F456"/>
    <mergeCell ref="G454:G456"/>
    <mergeCell ref="A436:A438"/>
    <mergeCell ref="B436:B438"/>
    <mergeCell ref="C436:C438"/>
    <mergeCell ref="D436:D438"/>
    <mergeCell ref="E436:E438"/>
    <mergeCell ref="F436:F438"/>
    <mergeCell ref="G436:G438"/>
    <mergeCell ref="A439:A440"/>
    <mergeCell ref="B439:B440"/>
    <mergeCell ref="C439:C440"/>
    <mergeCell ref="D439:D440"/>
    <mergeCell ref="E439:E440"/>
    <mergeCell ref="F439:F440"/>
    <mergeCell ref="G439:G440"/>
    <mergeCell ref="A441:A447"/>
    <mergeCell ref="B441:B447"/>
    <mergeCell ref="C441:C447"/>
    <mergeCell ref="D441:D447"/>
    <mergeCell ref="E441:E447"/>
    <mergeCell ref="F441:F447"/>
    <mergeCell ref="G442:G443"/>
    <mergeCell ref="G444:G445"/>
    <mergeCell ref="G446:G447"/>
    <mergeCell ref="A428:A430"/>
    <mergeCell ref="B428:B430"/>
    <mergeCell ref="C428:C430"/>
    <mergeCell ref="D428:D430"/>
    <mergeCell ref="E428:E430"/>
    <mergeCell ref="F428:F430"/>
    <mergeCell ref="G428:G430"/>
    <mergeCell ref="A431:A432"/>
    <mergeCell ref="B431:B432"/>
    <mergeCell ref="C431:C432"/>
    <mergeCell ref="D431:D432"/>
    <mergeCell ref="E431:E432"/>
    <mergeCell ref="F431:F432"/>
    <mergeCell ref="G431:G432"/>
    <mergeCell ref="A433:A435"/>
    <mergeCell ref="B433:B435"/>
    <mergeCell ref="C433:C435"/>
    <mergeCell ref="D433:D435"/>
    <mergeCell ref="E433:E435"/>
    <mergeCell ref="F433:F435"/>
    <mergeCell ref="G433:G435"/>
    <mergeCell ref="A421:A423"/>
    <mergeCell ref="B421:B423"/>
    <mergeCell ref="C421:C423"/>
    <mergeCell ref="D421:D423"/>
    <mergeCell ref="E421:E423"/>
    <mergeCell ref="F421:F423"/>
    <mergeCell ref="G421:G423"/>
    <mergeCell ref="A424:A425"/>
    <mergeCell ref="B424:B425"/>
    <mergeCell ref="C424:C425"/>
    <mergeCell ref="D424:D425"/>
    <mergeCell ref="E424:E425"/>
    <mergeCell ref="F424:F425"/>
    <mergeCell ref="G424:G425"/>
    <mergeCell ref="A426:A427"/>
    <mergeCell ref="B426:B427"/>
    <mergeCell ref="C426:C427"/>
    <mergeCell ref="D426:D427"/>
    <mergeCell ref="E426:E427"/>
    <mergeCell ref="F426:F427"/>
    <mergeCell ref="G426:G427"/>
    <mergeCell ref="B408:B414"/>
    <mergeCell ref="C408:C414"/>
    <mergeCell ref="D408:D414"/>
    <mergeCell ref="E408:E414"/>
    <mergeCell ref="F408:F414"/>
    <mergeCell ref="G409:G410"/>
    <mergeCell ref="G411:G412"/>
    <mergeCell ref="G413:G414"/>
    <mergeCell ref="A415:A417"/>
    <mergeCell ref="B415:B417"/>
    <mergeCell ref="C415:C417"/>
    <mergeCell ref="D415:D417"/>
    <mergeCell ref="E415:E417"/>
    <mergeCell ref="F415:F417"/>
    <mergeCell ref="G415:G417"/>
    <mergeCell ref="A418:A420"/>
    <mergeCell ref="B418:B420"/>
    <mergeCell ref="C418:C420"/>
    <mergeCell ref="D418:D420"/>
    <mergeCell ref="E418:E420"/>
    <mergeCell ref="F418:F420"/>
    <mergeCell ref="G418:G420"/>
    <mergeCell ref="F389:F390"/>
    <mergeCell ref="G389:G390"/>
    <mergeCell ref="G392:G393"/>
    <mergeCell ref="G394:G395"/>
    <mergeCell ref="G396:G397"/>
    <mergeCell ref="A398:A404"/>
    <mergeCell ref="B398:B404"/>
    <mergeCell ref="C398:C404"/>
    <mergeCell ref="D398:D404"/>
    <mergeCell ref="E398:E404"/>
    <mergeCell ref="F398:F404"/>
    <mergeCell ref="G399:G400"/>
    <mergeCell ref="G401:G402"/>
    <mergeCell ref="G403:G404"/>
    <mergeCell ref="A405:A407"/>
    <mergeCell ref="B405:B407"/>
    <mergeCell ref="C405:C407"/>
    <mergeCell ref="D405:D407"/>
    <mergeCell ref="E405:E407"/>
    <mergeCell ref="F405:F407"/>
    <mergeCell ref="G405:G407"/>
    <mergeCell ref="G1674:G1676"/>
    <mergeCell ref="A1674:A1676"/>
    <mergeCell ref="B1674:B1676"/>
    <mergeCell ref="F378:F380"/>
    <mergeCell ref="G378:G380"/>
    <mergeCell ref="A381:A382"/>
    <mergeCell ref="B381:B382"/>
    <mergeCell ref="C381:C382"/>
    <mergeCell ref="D381:D382"/>
    <mergeCell ref="E381:E382"/>
    <mergeCell ref="F381:F382"/>
    <mergeCell ref="G381:G382"/>
    <mergeCell ref="A383:A385"/>
    <mergeCell ref="B383:B385"/>
    <mergeCell ref="C383:C385"/>
    <mergeCell ref="D383:D385"/>
    <mergeCell ref="E383:E385"/>
    <mergeCell ref="F383:F385"/>
    <mergeCell ref="G383:G385"/>
    <mergeCell ref="A386:A388"/>
    <mergeCell ref="B386:B388"/>
    <mergeCell ref="C386:C388"/>
    <mergeCell ref="D386:D388"/>
    <mergeCell ref="E386:E388"/>
    <mergeCell ref="F386:F388"/>
    <mergeCell ref="G386:G388"/>
    <mergeCell ref="E378:E380"/>
    <mergeCell ref="B1646:B1656"/>
    <mergeCell ref="C1646:C1656"/>
    <mergeCell ref="D1646:D1656"/>
    <mergeCell ref="F1646:F1656"/>
    <mergeCell ref="C1674:C1676"/>
    <mergeCell ref="B3085:B3087"/>
    <mergeCell ref="C3085:C3087"/>
    <mergeCell ref="D3085:D3087"/>
    <mergeCell ref="E3085:E3087"/>
    <mergeCell ref="F3085:F3087"/>
    <mergeCell ref="G3085:G3087"/>
    <mergeCell ref="A3082:A3084"/>
    <mergeCell ref="B3082:B3084"/>
    <mergeCell ref="C3082:C3084"/>
    <mergeCell ref="A3075:A3081"/>
    <mergeCell ref="A2521:A2527"/>
    <mergeCell ref="B2521:B2527"/>
    <mergeCell ref="C2521:C2527"/>
    <mergeCell ref="D2521:D2527"/>
    <mergeCell ref="E2521:E2527"/>
    <mergeCell ref="G2854:G2855"/>
    <mergeCell ref="G2856:G2857"/>
    <mergeCell ref="F3010:F3012"/>
    <mergeCell ref="G2962:G2963"/>
    <mergeCell ref="F3036:F3038"/>
    <mergeCell ref="B2598:B2600"/>
    <mergeCell ref="C2598:C2600"/>
    <mergeCell ref="G2522:G2524"/>
    <mergeCell ref="G2525:G2527"/>
    <mergeCell ref="A2611:A2613"/>
    <mergeCell ref="F2911:F2913"/>
    <mergeCell ref="F2604:F2606"/>
    <mergeCell ref="G2604:G2606"/>
    <mergeCell ref="C2596:C2597"/>
    <mergeCell ref="B2680:B2682"/>
    <mergeCell ref="A2680:A2682"/>
    <mergeCell ref="F2869:F2871"/>
    <mergeCell ref="G2967:G2968"/>
    <mergeCell ref="B2974:B2976"/>
    <mergeCell ref="C2974:C2976"/>
    <mergeCell ref="D2974:D2976"/>
    <mergeCell ref="E2974:E2976"/>
    <mergeCell ref="F3039:F3041"/>
    <mergeCell ref="G2974:G2976"/>
    <mergeCell ref="B3010:B3012"/>
    <mergeCell ref="C3010:C3012"/>
    <mergeCell ref="E2604:E2606"/>
    <mergeCell ref="B2611:B2613"/>
    <mergeCell ref="G2598:G2600"/>
    <mergeCell ref="G2607:G2609"/>
    <mergeCell ref="B1688:B1690"/>
    <mergeCell ref="C1688:C1690"/>
    <mergeCell ref="D1688:D1690"/>
    <mergeCell ref="E1688:E1690"/>
    <mergeCell ref="F1688:F1690"/>
    <mergeCell ref="F1730:F1731"/>
    <mergeCell ref="G1730:G1731"/>
    <mergeCell ref="C1932:C1933"/>
    <mergeCell ref="D1932:D1933"/>
    <mergeCell ref="E1932:E1933"/>
    <mergeCell ref="F1932:F1933"/>
    <mergeCell ref="G1932:G1933"/>
    <mergeCell ref="F1942:F1943"/>
    <mergeCell ref="G1942:G1943"/>
    <mergeCell ref="G1951:G1952"/>
    <mergeCell ref="B2114:B2123"/>
    <mergeCell ref="C2114:C2123"/>
    <mergeCell ref="D2114:D2123"/>
    <mergeCell ref="E2114:E2123"/>
    <mergeCell ref="B2513:B2517"/>
    <mergeCell ref="F2592:F2594"/>
    <mergeCell ref="G1655:G1656"/>
    <mergeCell ref="A1657:A1663"/>
    <mergeCell ref="B1657:B1663"/>
    <mergeCell ref="A1668:A1669"/>
    <mergeCell ref="B1668:B1669"/>
    <mergeCell ref="C1668:C1669"/>
    <mergeCell ref="F1668:F1669"/>
    <mergeCell ref="G1668:G1669"/>
    <mergeCell ref="A1646:A1656"/>
    <mergeCell ref="E1668:E1669"/>
    <mergeCell ref="A1666:A1667"/>
    <mergeCell ref="B1666:B1667"/>
    <mergeCell ref="C1666:C1667"/>
    <mergeCell ref="D1666:D1667"/>
    <mergeCell ref="A1664:A1665"/>
    <mergeCell ref="B1664:B1665"/>
    <mergeCell ref="C1664:C1665"/>
    <mergeCell ref="E1657:E1663"/>
    <mergeCell ref="F1657:F1663"/>
    <mergeCell ref="C1657:C1663"/>
    <mergeCell ref="D1664:D1665"/>
    <mergeCell ref="E1664:E1665"/>
    <mergeCell ref="F1664:F1665"/>
    <mergeCell ref="G1664:G1665"/>
    <mergeCell ref="C2507:C2509"/>
    <mergeCell ref="D2507:D2509"/>
    <mergeCell ref="D2537:D2539"/>
    <mergeCell ref="E2537:E2539"/>
    <mergeCell ref="F2537:F2539"/>
    <mergeCell ref="D1674:D1676"/>
    <mergeCell ref="G1641:G1643"/>
    <mergeCell ref="A2510:A2512"/>
    <mergeCell ref="B2510:B2512"/>
    <mergeCell ref="C2510:C2512"/>
    <mergeCell ref="B1671:B1673"/>
    <mergeCell ref="C1671:C1673"/>
    <mergeCell ref="D1671:D1673"/>
    <mergeCell ref="E1671:E1673"/>
    <mergeCell ref="F1671:F1673"/>
    <mergeCell ref="G1671:G1673"/>
    <mergeCell ref="B1684:B1687"/>
    <mergeCell ref="B1638:B1640"/>
    <mergeCell ref="C1638:C1640"/>
    <mergeCell ref="G1658:G1659"/>
    <mergeCell ref="G1660:G1661"/>
    <mergeCell ref="G1662:G1663"/>
    <mergeCell ref="D1657:D1663"/>
    <mergeCell ref="D1668:D1669"/>
    <mergeCell ref="E1666:E1667"/>
    <mergeCell ref="F1666:F1667"/>
    <mergeCell ref="G1666:G1667"/>
    <mergeCell ref="G1647:G1648"/>
    <mergeCell ref="G1649:G1650"/>
    <mergeCell ref="G1651:G1652"/>
    <mergeCell ref="G1653:G1654"/>
    <mergeCell ref="G1688:G1690"/>
    <mergeCell ref="A1691:A1693"/>
    <mergeCell ref="B1691:B1693"/>
    <mergeCell ref="C1691:C1693"/>
    <mergeCell ref="D1691:D1693"/>
    <mergeCell ref="E1691:E1693"/>
    <mergeCell ref="F1691:F1693"/>
    <mergeCell ref="B1224:B1226"/>
    <mergeCell ref="C1224:C1226"/>
    <mergeCell ref="D1224:D1226"/>
    <mergeCell ref="D1234:D1242"/>
    <mergeCell ref="D1231:D1233"/>
    <mergeCell ref="C1248:C1250"/>
    <mergeCell ref="D1248:D1250"/>
    <mergeCell ref="A1244:A1246"/>
    <mergeCell ref="C1189:C1191"/>
    <mergeCell ref="D1189:D1191"/>
    <mergeCell ref="E1189:E1191"/>
    <mergeCell ref="G1209:G1210"/>
    <mergeCell ref="A371:A373"/>
    <mergeCell ref="B371:B373"/>
    <mergeCell ref="A374:A376"/>
    <mergeCell ref="C371:C373"/>
    <mergeCell ref="D371:D373"/>
    <mergeCell ref="E371:E373"/>
    <mergeCell ref="F371:F373"/>
    <mergeCell ref="G371:G373"/>
    <mergeCell ref="B1231:B1233"/>
    <mergeCell ref="A389:A390"/>
    <mergeCell ref="A391:A397"/>
    <mergeCell ref="B391:B397"/>
    <mergeCell ref="C391:C397"/>
    <mergeCell ref="D391:D397"/>
    <mergeCell ref="E391:E397"/>
    <mergeCell ref="F391:F397"/>
    <mergeCell ref="B389:B390"/>
    <mergeCell ref="C389:C390"/>
    <mergeCell ref="D389:D390"/>
    <mergeCell ref="E389:E390"/>
    <mergeCell ref="G374:G376"/>
    <mergeCell ref="A368:A370"/>
    <mergeCell ref="B368:B370"/>
    <mergeCell ref="C368:C370"/>
    <mergeCell ref="D368:D370"/>
    <mergeCell ref="E368:E370"/>
    <mergeCell ref="F368:F370"/>
    <mergeCell ref="G368:G370"/>
    <mergeCell ref="C1231:C1233"/>
    <mergeCell ref="G1134:G1136"/>
    <mergeCell ref="A1138:A1139"/>
    <mergeCell ref="B1138:B1139"/>
    <mergeCell ref="C1138:C1139"/>
    <mergeCell ref="D1138:D1139"/>
    <mergeCell ref="E1138:E1139"/>
    <mergeCell ref="A1219:A1220"/>
    <mergeCell ref="B1219:B1220"/>
    <mergeCell ref="C1219:C1220"/>
    <mergeCell ref="D1219:D1220"/>
    <mergeCell ref="E1219:E1220"/>
    <mergeCell ref="F1219:F1220"/>
    <mergeCell ref="G1219:G1220"/>
    <mergeCell ref="A378:A380"/>
    <mergeCell ref="B378:B380"/>
    <mergeCell ref="C378:C380"/>
    <mergeCell ref="D378:D380"/>
    <mergeCell ref="B1153:B1154"/>
    <mergeCell ref="C1153:C1154"/>
    <mergeCell ref="G1205:G1206"/>
    <mergeCell ref="B1069:B1071"/>
    <mergeCell ref="A1189:A1191"/>
    <mergeCell ref="B1189:B1191"/>
    <mergeCell ref="F309:F315"/>
    <mergeCell ref="G310:G312"/>
    <mergeCell ref="G313:G315"/>
    <mergeCell ref="G330:G332"/>
    <mergeCell ref="G333:G335"/>
    <mergeCell ref="G336:G338"/>
    <mergeCell ref="G339:G341"/>
    <mergeCell ref="G342:G344"/>
    <mergeCell ref="A361:A367"/>
    <mergeCell ref="F345:F360"/>
    <mergeCell ref="G346:G348"/>
    <mergeCell ref="G349:G351"/>
    <mergeCell ref="G352:G354"/>
    <mergeCell ref="G355:G357"/>
    <mergeCell ref="G358:G360"/>
    <mergeCell ref="A345:A360"/>
    <mergeCell ref="B345:B360"/>
    <mergeCell ref="C345:C360"/>
    <mergeCell ref="D345:D360"/>
    <mergeCell ref="E345:E360"/>
    <mergeCell ref="B361:B367"/>
    <mergeCell ref="C361:C367"/>
    <mergeCell ref="D361:D367"/>
    <mergeCell ref="E361:E367"/>
    <mergeCell ref="F361:F367"/>
    <mergeCell ref="G362:G363"/>
    <mergeCell ref="G364:G365"/>
    <mergeCell ref="C329:C344"/>
    <mergeCell ref="D329:D344"/>
    <mergeCell ref="E329:E344"/>
    <mergeCell ref="G366:G367"/>
    <mergeCell ref="A329:A344"/>
    <mergeCell ref="A3248:A3250"/>
    <mergeCell ref="B3248:B3250"/>
    <mergeCell ref="G3248:G3250"/>
    <mergeCell ref="C3248:C3250"/>
    <mergeCell ref="D3248:D3250"/>
    <mergeCell ref="E3248:E3250"/>
    <mergeCell ref="F3248:F3250"/>
    <mergeCell ref="F2985:F2987"/>
    <mergeCell ref="A281:A283"/>
    <mergeCell ref="B281:B283"/>
    <mergeCell ref="C281:C283"/>
    <mergeCell ref="D281:D283"/>
    <mergeCell ref="E281:E283"/>
    <mergeCell ref="F281:F283"/>
    <mergeCell ref="G281:G283"/>
    <mergeCell ref="E287:E288"/>
    <mergeCell ref="F287:F288"/>
    <mergeCell ref="G287:G288"/>
    <mergeCell ref="A289:A290"/>
    <mergeCell ref="B289:B290"/>
    <mergeCell ref="C289:C290"/>
    <mergeCell ref="D289:D290"/>
    <mergeCell ref="E289:E290"/>
    <mergeCell ref="F289:F290"/>
    <mergeCell ref="G289:G290"/>
    <mergeCell ref="A284:A286"/>
    <mergeCell ref="B284:B286"/>
    <mergeCell ref="C284:C286"/>
    <mergeCell ref="D284:D286"/>
    <mergeCell ref="E284:E286"/>
    <mergeCell ref="F284:F286"/>
    <mergeCell ref="E293:E295"/>
    <mergeCell ref="A3223:A3225"/>
    <mergeCell ref="B3223:B3225"/>
    <mergeCell ref="C3223:C3225"/>
    <mergeCell ref="D3223:D3225"/>
    <mergeCell ref="E3223:E3225"/>
    <mergeCell ref="F3223:F3225"/>
    <mergeCell ref="G3223:G3225"/>
    <mergeCell ref="D2611:D2613"/>
    <mergeCell ref="A1644:A1645"/>
    <mergeCell ref="B1644:B1645"/>
    <mergeCell ref="C1644:C1645"/>
    <mergeCell ref="D1644:D1645"/>
    <mergeCell ref="E1644:E1645"/>
    <mergeCell ref="F1644:F1645"/>
    <mergeCell ref="G1644:G1645"/>
    <mergeCell ref="A3165:A3167"/>
    <mergeCell ref="B3165:B3167"/>
    <mergeCell ref="C3165:C3167"/>
    <mergeCell ref="D3165:D3167"/>
    <mergeCell ref="E3165:E3167"/>
    <mergeCell ref="F3165:F3167"/>
    <mergeCell ref="G3165:G3167"/>
    <mergeCell ref="A2519:A2520"/>
    <mergeCell ref="B2519:B2520"/>
    <mergeCell ref="C2519:C2520"/>
    <mergeCell ref="A1671:A1673"/>
    <mergeCell ref="A1684:A1687"/>
    <mergeCell ref="E1684:E1687"/>
    <mergeCell ref="F1684:F1687"/>
    <mergeCell ref="G1686:G1687"/>
    <mergeCell ref="A1688:A1690"/>
    <mergeCell ref="A2598:A2600"/>
    <mergeCell ref="C2601:C2602"/>
    <mergeCell ref="A2596:A2597"/>
    <mergeCell ref="B2596:B2597"/>
    <mergeCell ref="A1632:A1634"/>
    <mergeCell ref="C1595:C1597"/>
    <mergeCell ref="D1595:D1597"/>
    <mergeCell ref="E1595:E1597"/>
    <mergeCell ref="F1595:F1597"/>
    <mergeCell ref="B1622:B1626"/>
    <mergeCell ref="C1622:C1626"/>
    <mergeCell ref="A3217:A3221"/>
    <mergeCell ref="B3217:B3221"/>
    <mergeCell ref="C3217:C3221"/>
    <mergeCell ref="D3217:D3221"/>
    <mergeCell ref="E3217:E3221"/>
    <mergeCell ref="F3217:F3221"/>
    <mergeCell ref="G3217:G3221"/>
    <mergeCell ref="C1627:C1631"/>
    <mergeCell ref="D1627:D1631"/>
    <mergeCell ref="A1598:A1606"/>
    <mergeCell ref="B1598:B1606"/>
    <mergeCell ref="C1598:C1606"/>
    <mergeCell ref="D1598:D1606"/>
    <mergeCell ref="E1598:E1606"/>
    <mergeCell ref="F1598:F1606"/>
    <mergeCell ref="G1599:G1600"/>
    <mergeCell ref="G1601:G1602"/>
    <mergeCell ref="G1603:G1604"/>
    <mergeCell ref="G1605:G1606"/>
    <mergeCell ref="G1632:G1634"/>
    <mergeCell ref="A1641:A1643"/>
    <mergeCell ref="B1641:B1643"/>
    <mergeCell ref="A3187:A3189"/>
    <mergeCell ref="E2611:E2613"/>
    <mergeCell ref="F2611:F2613"/>
    <mergeCell ref="A2619:A2621"/>
    <mergeCell ref="A1583:A1588"/>
    <mergeCell ref="B1583:B1588"/>
    <mergeCell ref="C1583:C1588"/>
    <mergeCell ref="C1635:C1637"/>
    <mergeCell ref="D1635:D1637"/>
    <mergeCell ref="E1635:E1637"/>
    <mergeCell ref="F1635:F1637"/>
    <mergeCell ref="A1614:A1616"/>
    <mergeCell ref="B1614:B1616"/>
    <mergeCell ref="C1614:C1616"/>
    <mergeCell ref="D1614:D1616"/>
    <mergeCell ref="E1614:E1616"/>
    <mergeCell ref="F1614:F1616"/>
    <mergeCell ref="A1607:A1608"/>
    <mergeCell ref="B1607:B1608"/>
    <mergeCell ref="C1607:C1608"/>
    <mergeCell ref="D1607:D1608"/>
    <mergeCell ref="E1607:E1608"/>
    <mergeCell ref="B1632:B1634"/>
    <mergeCell ref="C1632:C1634"/>
    <mergeCell ref="D1632:D1634"/>
    <mergeCell ref="E1632:E1634"/>
    <mergeCell ref="F1632:F1634"/>
    <mergeCell ref="A1622:A1626"/>
    <mergeCell ref="D2598:D2600"/>
    <mergeCell ref="E2598:E2600"/>
    <mergeCell ref="F2598:F2600"/>
    <mergeCell ref="F2607:F2609"/>
    <mergeCell ref="E3181:E3183"/>
    <mergeCell ref="F3181:F3183"/>
    <mergeCell ref="C1609:C1613"/>
    <mergeCell ref="D1609:D1613"/>
    <mergeCell ref="E1609:E1613"/>
    <mergeCell ref="F1609:F1613"/>
    <mergeCell ref="E1627:E1631"/>
    <mergeCell ref="E2592:E2594"/>
    <mergeCell ref="A1578:A1582"/>
    <mergeCell ref="D1583:D1588"/>
    <mergeCell ref="E1583:E1588"/>
    <mergeCell ref="F1583:F1588"/>
    <mergeCell ref="A1609:A1613"/>
    <mergeCell ref="B1609:B1613"/>
    <mergeCell ref="A1635:A1637"/>
    <mergeCell ref="B1635:B1637"/>
    <mergeCell ref="D1638:D1640"/>
    <mergeCell ref="A1589:A1594"/>
    <mergeCell ref="A2507:A2509"/>
    <mergeCell ref="B2507:B2509"/>
    <mergeCell ref="B1589:B1594"/>
    <mergeCell ref="C1589:C1594"/>
    <mergeCell ref="D1622:D1626"/>
    <mergeCell ref="E1622:E1626"/>
    <mergeCell ref="F1622:F1626"/>
    <mergeCell ref="B1627:B1631"/>
    <mergeCell ref="D2596:D2597"/>
    <mergeCell ref="E2596:E2597"/>
    <mergeCell ref="F2596:F2597"/>
    <mergeCell ref="E1646:E1656"/>
    <mergeCell ref="C1684:C1687"/>
    <mergeCell ref="D1684:D1687"/>
    <mergeCell ref="C1221:C1223"/>
    <mergeCell ref="F1251:F1252"/>
    <mergeCell ref="B1248:B1250"/>
    <mergeCell ref="C2513:C2517"/>
    <mergeCell ref="B2504:B2505"/>
    <mergeCell ref="A2592:A2594"/>
    <mergeCell ref="F1627:F1631"/>
    <mergeCell ref="B2592:B2594"/>
    <mergeCell ref="C2592:C2594"/>
    <mergeCell ref="D2592:D2594"/>
    <mergeCell ref="G1251:G1252"/>
    <mergeCell ref="E1638:E1640"/>
    <mergeCell ref="F1638:F1640"/>
    <mergeCell ref="G1638:G1640"/>
    <mergeCell ref="A1638:A1640"/>
    <mergeCell ref="B1251:B1252"/>
    <mergeCell ref="E1251:E1252"/>
    <mergeCell ref="E1227:E1228"/>
    <mergeCell ref="G2529:G2530"/>
    <mergeCell ref="A1627:A1631"/>
    <mergeCell ref="A1520:A1521"/>
    <mergeCell ref="B1520:B1521"/>
    <mergeCell ref="C1520:C1521"/>
    <mergeCell ref="D1520:D1521"/>
    <mergeCell ref="G1570:G1571"/>
    <mergeCell ref="F2521:F2527"/>
    <mergeCell ref="A1248:A1250"/>
    <mergeCell ref="A2537:A2539"/>
    <mergeCell ref="B2537:B2539"/>
    <mergeCell ref="C2537:C2539"/>
    <mergeCell ref="A1251:A1252"/>
    <mergeCell ref="G1614:G1616"/>
    <mergeCell ref="D3202:D3204"/>
    <mergeCell ref="E3202:E3204"/>
    <mergeCell ref="F3202:F3204"/>
    <mergeCell ref="G3202:G3204"/>
    <mergeCell ref="D2659:D2662"/>
    <mergeCell ref="A2674:A2676"/>
    <mergeCell ref="B2663:B2664"/>
    <mergeCell ref="C2663:C2664"/>
    <mergeCell ref="D2663:D2664"/>
    <mergeCell ref="E2663:E2664"/>
    <mergeCell ref="F2663:F2664"/>
    <mergeCell ref="G2663:G2664"/>
    <mergeCell ref="C2680:C2682"/>
    <mergeCell ref="D2680:D2682"/>
    <mergeCell ref="B2674:B2676"/>
    <mergeCell ref="C2674:C2676"/>
    <mergeCell ref="B2677:B2679"/>
    <mergeCell ref="C3187:C3189"/>
    <mergeCell ref="D3187:D3189"/>
    <mergeCell ref="E3187:E3189"/>
    <mergeCell ref="F3187:F3189"/>
    <mergeCell ref="G3187:G3189"/>
    <mergeCell ref="B3172:B3174"/>
    <mergeCell ref="D2895:D2896"/>
    <mergeCell ref="B3187:B3189"/>
    <mergeCell ref="A3178:A3180"/>
    <mergeCell ref="A3184:A3186"/>
    <mergeCell ref="B3184:B3186"/>
    <mergeCell ref="C3184:C3186"/>
    <mergeCell ref="D3184:D3186"/>
    <mergeCell ref="A3202:A3204"/>
    <mergeCell ref="B3202:B3204"/>
    <mergeCell ref="G3245:G3247"/>
    <mergeCell ref="E2607:E2609"/>
    <mergeCell ref="G2619:G2621"/>
    <mergeCell ref="F2601:F2602"/>
    <mergeCell ref="A2601:A2602"/>
    <mergeCell ref="B2601:B2602"/>
    <mergeCell ref="G2601:G2602"/>
    <mergeCell ref="D2607:D2609"/>
    <mergeCell ref="A2604:A2606"/>
    <mergeCell ref="B2604:B2606"/>
    <mergeCell ref="C2604:C2606"/>
    <mergeCell ref="D2604:D2606"/>
    <mergeCell ref="B2659:B2662"/>
    <mergeCell ref="C2659:C2662"/>
    <mergeCell ref="G2680:G2682"/>
    <mergeCell ref="E2677:E2679"/>
    <mergeCell ref="E3184:E3186"/>
    <mergeCell ref="A3181:A3183"/>
    <mergeCell ref="B3181:B3183"/>
    <mergeCell ref="C3181:C3183"/>
    <mergeCell ref="D3181:D3183"/>
    <mergeCell ref="B3178:B3180"/>
    <mergeCell ref="C3178:C3180"/>
    <mergeCell ref="D3178:D3180"/>
    <mergeCell ref="E3178:E3180"/>
    <mergeCell ref="F3178:F3180"/>
    <mergeCell ref="G3178:G3180"/>
    <mergeCell ref="C3169:C3171"/>
    <mergeCell ref="D3169:D3171"/>
    <mergeCell ref="E3169:E3171"/>
    <mergeCell ref="F3169:F3171"/>
    <mergeCell ref="C3202:C3204"/>
    <mergeCell ref="A3175:A3177"/>
    <mergeCell ref="B3175:B3177"/>
    <mergeCell ref="C3175:C3177"/>
    <mergeCell ref="D3175:D3177"/>
    <mergeCell ref="E3175:E3177"/>
    <mergeCell ref="F3175:F3177"/>
    <mergeCell ref="G3175:G3177"/>
    <mergeCell ref="G2859:G2860"/>
    <mergeCell ref="G2861:G2862"/>
    <mergeCell ref="A2895:A2896"/>
    <mergeCell ref="B2895:B2896"/>
    <mergeCell ref="B2607:B2609"/>
    <mergeCell ref="C2895:C2896"/>
    <mergeCell ref="G2895:G2896"/>
    <mergeCell ref="A2663:A2664"/>
    <mergeCell ref="F2659:F2662"/>
    <mergeCell ref="G2659:G2662"/>
    <mergeCell ref="A2884:A2886"/>
    <mergeCell ref="B2884:B2886"/>
    <mergeCell ref="F2670:F2672"/>
    <mergeCell ref="G2670:G2672"/>
    <mergeCell ref="A3169:A3171"/>
    <mergeCell ref="B3169:B3171"/>
    <mergeCell ref="C2607:C2609"/>
    <mergeCell ref="A3125:A3127"/>
    <mergeCell ref="A2656:A2657"/>
    <mergeCell ref="G2985:G2987"/>
    <mergeCell ref="F2974:F2976"/>
    <mergeCell ref="F2619:F2621"/>
    <mergeCell ref="G3048:G3050"/>
    <mergeCell ref="G2952:G2953"/>
    <mergeCell ref="B2959:B2963"/>
    <mergeCell ref="A2872:A2880"/>
    <mergeCell ref="B2872:B2880"/>
    <mergeCell ref="C2872:C2880"/>
    <mergeCell ref="D2872:D2880"/>
    <mergeCell ref="E2872:E2880"/>
    <mergeCell ref="F2872:F2880"/>
    <mergeCell ref="G2875:G2876"/>
    <mergeCell ref="G2877:G2878"/>
    <mergeCell ref="F2889:F2891"/>
    <mergeCell ref="G2889:G2891"/>
    <mergeCell ref="C2884:C2886"/>
    <mergeCell ref="G2901:G2903"/>
    <mergeCell ref="D2898:D2900"/>
    <mergeCell ref="E2898:E2900"/>
    <mergeCell ref="F2898:F2900"/>
    <mergeCell ref="B2936:B2938"/>
    <mergeCell ref="C2985:C2987"/>
    <mergeCell ref="D2884:D2886"/>
    <mergeCell ref="E2884:E2886"/>
    <mergeCell ref="A2889:A2891"/>
    <mergeCell ref="B2889:B2891"/>
    <mergeCell ref="C2889:C2891"/>
    <mergeCell ref="D2889:D2891"/>
    <mergeCell ref="A2922:A2926"/>
    <mergeCell ref="B2922:B2926"/>
    <mergeCell ref="F2936:F2938"/>
    <mergeCell ref="G2936:G2938"/>
    <mergeCell ref="A2939:A2941"/>
    <mergeCell ref="C2959:C2963"/>
    <mergeCell ref="D2959:D2963"/>
    <mergeCell ref="E2959:E2963"/>
    <mergeCell ref="F2959:F2963"/>
    <mergeCell ref="G3154:G3158"/>
    <mergeCell ref="C2837:C2841"/>
    <mergeCell ref="D2837:D2841"/>
    <mergeCell ref="D2985:D2987"/>
    <mergeCell ref="B3111:B3113"/>
    <mergeCell ref="C3111:C3113"/>
    <mergeCell ref="D3111:D3113"/>
    <mergeCell ref="E3111:E3113"/>
    <mergeCell ref="A2881:A2883"/>
    <mergeCell ref="B2869:B2871"/>
    <mergeCell ref="E2847:E2857"/>
    <mergeCell ref="B2892:B2894"/>
    <mergeCell ref="C2892:C2894"/>
    <mergeCell ref="D2892:D2894"/>
    <mergeCell ref="E2892:E2894"/>
    <mergeCell ref="D3048:D3050"/>
    <mergeCell ref="E3048:E3050"/>
    <mergeCell ref="C2936:C2938"/>
    <mergeCell ref="A2911:A2913"/>
    <mergeCell ref="B2911:B2913"/>
    <mergeCell ref="C2911:C2913"/>
    <mergeCell ref="D2911:D2913"/>
    <mergeCell ref="E2911:E2913"/>
    <mergeCell ref="A2869:A2871"/>
    <mergeCell ref="A2887:A2888"/>
    <mergeCell ref="C3088:C3092"/>
    <mergeCell ref="D3088:D3092"/>
    <mergeCell ref="E3088:E3092"/>
    <mergeCell ref="C3075:C3081"/>
    <mergeCell ref="D3075:D3081"/>
    <mergeCell ref="E3075:E3081"/>
    <mergeCell ref="G2892:G2894"/>
    <mergeCell ref="C3172:C3174"/>
    <mergeCell ref="D3172:D3174"/>
    <mergeCell ref="E3172:E3174"/>
    <mergeCell ref="F3172:F3174"/>
    <mergeCell ref="G3172:G3174"/>
    <mergeCell ref="D2674:D2676"/>
    <mergeCell ref="E2674:E2676"/>
    <mergeCell ref="F2674:F2676"/>
    <mergeCell ref="G2674:G2676"/>
    <mergeCell ref="A3154:A3158"/>
    <mergeCell ref="A2892:A2894"/>
    <mergeCell ref="F2892:F2894"/>
    <mergeCell ref="A3150:A3152"/>
    <mergeCell ref="B3150:B3152"/>
    <mergeCell ref="C3150:C3152"/>
    <mergeCell ref="D3150:D3152"/>
    <mergeCell ref="A2659:A2662"/>
    <mergeCell ref="B3154:B3158"/>
    <mergeCell ref="C3154:C3158"/>
    <mergeCell ref="G2884:G2886"/>
    <mergeCell ref="A2858:A2868"/>
    <mergeCell ref="D3154:D3158"/>
    <mergeCell ref="E3154:E3158"/>
    <mergeCell ref="F3154:F3158"/>
    <mergeCell ref="E2889:E2891"/>
    <mergeCell ref="B2881:B2883"/>
    <mergeCell ref="D2936:D2938"/>
    <mergeCell ref="E2936:E2938"/>
    <mergeCell ref="B3125:B3127"/>
    <mergeCell ref="C3125:C3127"/>
    <mergeCell ref="D3125:D3127"/>
    <mergeCell ref="G2848:G2849"/>
    <mergeCell ref="B3245:B3247"/>
    <mergeCell ref="C3245:C3247"/>
    <mergeCell ref="E1244:E1246"/>
    <mergeCell ref="F1244:F1246"/>
    <mergeCell ref="D3245:D3247"/>
    <mergeCell ref="G1222:G1223"/>
    <mergeCell ref="D1221:D1223"/>
    <mergeCell ref="D1589:D1594"/>
    <mergeCell ref="E1589:E1594"/>
    <mergeCell ref="D2858:D2868"/>
    <mergeCell ref="E2869:E2871"/>
    <mergeCell ref="G1248:G1250"/>
    <mergeCell ref="B1216:B1218"/>
    <mergeCell ref="F1607:F1608"/>
    <mergeCell ref="G1607:G1608"/>
    <mergeCell ref="G1635:G1637"/>
    <mergeCell ref="G1595:G1597"/>
    <mergeCell ref="G1500:G1502"/>
    <mergeCell ref="F1520:F1521"/>
    <mergeCell ref="G1520:G1521"/>
    <mergeCell ref="G1551:G1552"/>
    <mergeCell ref="D1244:D1246"/>
    <mergeCell ref="G3051:G3053"/>
    <mergeCell ref="F3048:F3050"/>
    <mergeCell ref="G2867:G2868"/>
    <mergeCell ref="G2592:G2594"/>
    <mergeCell ref="B1229:B1230"/>
    <mergeCell ref="C1229:C1230"/>
    <mergeCell ref="E1248:E1250"/>
    <mergeCell ref="F1248:F1250"/>
    <mergeCell ref="B1244:B1246"/>
    <mergeCell ref="F1221:F1223"/>
    <mergeCell ref="G3169:G3171"/>
    <mergeCell ref="A3172:A3174"/>
    <mergeCell ref="D2513:D2517"/>
    <mergeCell ref="E2670:E2672"/>
    <mergeCell ref="E3150:E3152"/>
    <mergeCell ref="C2677:C2679"/>
    <mergeCell ref="D2677:D2679"/>
    <mergeCell ref="A2667:A2669"/>
    <mergeCell ref="G1240:G1242"/>
    <mergeCell ref="B1214:B1215"/>
    <mergeCell ref="G2881:G2883"/>
    <mergeCell ref="D2510:D2512"/>
    <mergeCell ref="D2504:D2505"/>
    <mergeCell ref="E2667:E2669"/>
    <mergeCell ref="F2667:F2669"/>
    <mergeCell ref="A1229:A1230"/>
    <mergeCell ref="E1234:E1242"/>
    <mergeCell ref="F1234:F1242"/>
    <mergeCell ref="D1229:D1230"/>
    <mergeCell ref="A1234:A1242"/>
    <mergeCell ref="B1234:B1242"/>
    <mergeCell ref="C1234:C1242"/>
    <mergeCell ref="D1214:D1215"/>
    <mergeCell ref="A1224:A1226"/>
    <mergeCell ref="G1229:G1230"/>
    <mergeCell ref="G1214:G1215"/>
    <mergeCell ref="G3150:G3152"/>
    <mergeCell ref="A2959:A2963"/>
    <mergeCell ref="A2837:A2841"/>
    <mergeCell ref="B2837:B2841"/>
    <mergeCell ref="C1216:C1218"/>
    <mergeCell ref="A1231:A1233"/>
    <mergeCell ref="D1205:D1206"/>
    <mergeCell ref="C1132:C1133"/>
    <mergeCell ref="E2513:E2517"/>
    <mergeCell ref="F2513:F2517"/>
    <mergeCell ref="G2513:G2517"/>
    <mergeCell ref="E2691:E2693"/>
    <mergeCell ref="A2691:A2693"/>
    <mergeCell ref="B2691:B2693"/>
    <mergeCell ref="C2691:C2693"/>
    <mergeCell ref="F2687:F2689"/>
    <mergeCell ref="F2683:F2685"/>
    <mergeCell ref="G2683:G2685"/>
    <mergeCell ref="A2683:A2685"/>
    <mergeCell ref="B2683:B2685"/>
    <mergeCell ref="C2683:C2685"/>
    <mergeCell ref="G1153:G1154"/>
    <mergeCell ref="A1209:A1210"/>
    <mergeCell ref="G1189:G1191"/>
    <mergeCell ref="A1198:A1199"/>
    <mergeCell ref="A1156:A1158"/>
    <mergeCell ref="B1156:B1158"/>
    <mergeCell ref="C1156:C1158"/>
    <mergeCell ref="D1156:D1158"/>
    <mergeCell ref="A1159:A1161"/>
    <mergeCell ref="B1159:B1161"/>
    <mergeCell ref="C1159:C1161"/>
    <mergeCell ref="D1159:D1161"/>
    <mergeCell ref="A1205:A1206"/>
    <mergeCell ref="E1198:E1199"/>
    <mergeCell ref="F1198:F1199"/>
    <mergeCell ref="A1221:A1223"/>
    <mergeCell ref="B1221:B1223"/>
    <mergeCell ref="G7:G8"/>
    <mergeCell ref="G9:G11"/>
    <mergeCell ref="E26:E27"/>
    <mergeCell ref="F26:F27"/>
    <mergeCell ref="F21:F23"/>
    <mergeCell ref="G15:G17"/>
    <mergeCell ref="G24:G25"/>
    <mergeCell ref="G21:G23"/>
    <mergeCell ref="G1055:G1057"/>
    <mergeCell ref="F1200:F1201"/>
    <mergeCell ref="E1205:E1206"/>
    <mergeCell ref="A1067:A1068"/>
    <mergeCell ref="B1067:B1068"/>
    <mergeCell ref="C1067:C1068"/>
    <mergeCell ref="D1067:D1068"/>
    <mergeCell ref="E1067:E1068"/>
    <mergeCell ref="A1069:A1071"/>
    <mergeCell ref="B1132:B1133"/>
    <mergeCell ref="B13:B14"/>
    <mergeCell ref="C13:C14"/>
    <mergeCell ref="D13:D14"/>
    <mergeCell ref="E13:E14"/>
    <mergeCell ref="F13:F14"/>
    <mergeCell ref="G13:G14"/>
    <mergeCell ref="A26:A27"/>
    <mergeCell ref="B26:B27"/>
    <mergeCell ref="C26:C27"/>
    <mergeCell ref="D26:D27"/>
    <mergeCell ref="B21:B23"/>
    <mergeCell ref="A53:A55"/>
    <mergeCell ref="B53:B55"/>
    <mergeCell ref="E1200:E1201"/>
    <mergeCell ref="C21:C23"/>
    <mergeCell ref="D21:D23"/>
    <mergeCell ref="E21:E23"/>
    <mergeCell ref="B45:B47"/>
    <mergeCell ref="D45:D47"/>
    <mergeCell ref="E45:E47"/>
    <mergeCell ref="E34:E36"/>
    <mergeCell ref="F34:F36"/>
    <mergeCell ref="A9:A11"/>
    <mergeCell ref="C7:C8"/>
    <mergeCell ref="C9:C11"/>
    <mergeCell ref="D7:D8"/>
    <mergeCell ref="D9:D11"/>
    <mergeCell ref="A7:A8"/>
    <mergeCell ref="B7:B8"/>
    <mergeCell ref="B9:B11"/>
    <mergeCell ref="F7:F8"/>
    <mergeCell ref="E7:E8"/>
    <mergeCell ref="E9:E11"/>
    <mergeCell ref="F18:F20"/>
    <mergeCell ref="G26:G27"/>
    <mergeCell ref="A37:A38"/>
    <mergeCell ref="B37:B38"/>
    <mergeCell ref="C37:C38"/>
    <mergeCell ref="D37:D38"/>
    <mergeCell ref="C49:C50"/>
    <mergeCell ref="D49:D50"/>
    <mergeCell ref="G49:G50"/>
    <mergeCell ref="A28:A30"/>
    <mergeCell ref="B28:B30"/>
    <mergeCell ref="C28:C30"/>
    <mergeCell ref="E42:E44"/>
    <mergeCell ref="F42:F44"/>
    <mergeCell ref="G42:G44"/>
    <mergeCell ref="A42:A44"/>
    <mergeCell ref="A34:A36"/>
    <mergeCell ref="B42:B44"/>
    <mergeCell ref="C42:C44"/>
    <mergeCell ref="D42:D44"/>
    <mergeCell ref="G28:G30"/>
    <mergeCell ref="G32:G33"/>
    <mergeCell ref="A39:A41"/>
    <mergeCell ref="B39:B41"/>
    <mergeCell ref="C39:C41"/>
    <mergeCell ref="D39:D41"/>
    <mergeCell ref="G45:G47"/>
    <mergeCell ref="G39:G41"/>
    <mergeCell ref="C1055:C1057"/>
    <mergeCell ref="D1055:D1057"/>
    <mergeCell ref="E1055:E1057"/>
    <mergeCell ref="A1055:A1057"/>
    <mergeCell ref="B1055:B1057"/>
    <mergeCell ref="A1144:A1145"/>
    <mergeCell ref="B1144:B1145"/>
    <mergeCell ref="C1144:C1145"/>
    <mergeCell ref="B1051:B1053"/>
    <mergeCell ref="A51:A52"/>
    <mergeCell ref="C34:C36"/>
    <mergeCell ref="C53:C55"/>
    <mergeCell ref="D57:D59"/>
    <mergeCell ref="C60:C62"/>
    <mergeCell ref="C1094:C1098"/>
    <mergeCell ref="D1094:D1098"/>
    <mergeCell ref="B1085:B1087"/>
    <mergeCell ref="C1085:C1087"/>
    <mergeCell ref="D1085:D1087"/>
    <mergeCell ref="A1113:A1115"/>
    <mergeCell ref="B1113:B1115"/>
    <mergeCell ref="C1113:C1115"/>
    <mergeCell ref="D1113:D1115"/>
    <mergeCell ref="E1113:E1115"/>
    <mergeCell ref="D1128:D1130"/>
    <mergeCell ref="C64:C66"/>
    <mergeCell ref="D64:D66"/>
    <mergeCell ref="B309:B315"/>
    <mergeCell ref="C309:C315"/>
    <mergeCell ref="D309:D315"/>
    <mergeCell ref="E309:E315"/>
    <mergeCell ref="A408:A414"/>
    <mergeCell ref="G293:G295"/>
    <mergeCell ref="A316:A328"/>
    <mergeCell ref="B316:B328"/>
    <mergeCell ref="C316:C328"/>
    <mergeCell ref="D316:D328"/>
    <mergeCell ref="E316:E328"/>
    <mergeCell ref="F316:F328"/>
    <mergeCell ref="G317:G319"/>
    <mergeCell ref="G320:G322"/>
    <mergeCell ref="G323:G325"/>
    <mergeCell ref="G326:G328"/>
    <mergeCell ref="F9:F11"/>
    <mergeCell ref="A21:A23"/>
    <mergeCell ref="D1082:D1084"/>
    <mergeCell ref="E1082:E1084"/>
    <mergeCell ref="A49:A50"/>
    <mergeCell ref="B49:B50"/>
    <mergeCell ref="A60:A62"/>
    <mergeCell ref="A15:A17"/>
    <mergeCell ref="B15:B17"/>
    <mergeCell ref="C15:C17"/>
    <mergeCell ref="D15:D17"/>
    <mergeCell ref="E15:E17"/>
    <mergeCell ref="F15:F17"/>
    <mergeCell ref="D60:D62"/>
    <mergeCell ref="A13:A14"/>
    <mergeCell ref="A18:A20"/>
    <mergeCell ref="B18:B20"/>
    <mergeCell ref="C18:C20"/>
    <mergeCell ref="D18:D20"/>
    <mergeCell ref="E18:E20"/>
    <mergeCell ref="E278:E280"/>
    <mergeCell ref="B329:B344"/>
    <mergeCell ref="E39:E41"/>
    <mergeCell ref="F39:F41"/>
    <mergeCell ref="D1144:D1145"/>
    <mergeCell ref="E1144:E1145"/>
    <mergeCell ref="F1144:F1145"/>
    <mergeCell ref="A278:A280"/>
    <mergeCell ref="B278:B280"/>
    <mergeCell ref="C278:C280"/>
    <mergeCell ref="D278:D280"/>
    <mergeCell ref="B60:B62"/>
    <mergeCell ref="B34:B36"/>
    <mergeCell ref="F49:F50"/>
    <mergeCell ref="E49:E50"/>
    <mergeCell ref="F53:F55"/>
    <mergeCell ref="C45:C47"/>
    <mergeCell ref="F45:F47"/>
    <mergeCell ref="D53:D55"/>
    <mergeCell ref="A1132:A1133"/>
    <mergeCell ref="C1079:C1081"/>
    <mergeCell ref="D1079:D1081"/>
    <mergeCell ref="B1082:B1084"/>
    <mergeCell ref="C1082:C1084"/>
    <mergeCell ref="A1099:A1103"/>
    <mergeCell ref="B1099:B1103"/>
    <mergeCell ref="C1099:C1103"/>
    <mergeCell ref="D1099:D1103"/>
    <mergeCell ref="F293:F295"/>
    <mergeCell ref="A1061:A1065"/>
    <mergeCell ref="B1061:B1065"/>
    <mergeCell ref="C1061:C1065"/>
    <mergeCell ref="D1058:D1060"/>
    <mergeCell ref="A1203:A1204"/>
    <mergeCell ref="B1203:B1204"/>
    <mergeCell ref="C1203:C1204"/>
    <mergeCell ref="D1203:D1204"/>
    <mergeCell ref="E1203:E1204"/>
    <mergeCell ref="A24:A25"/>
    <mergeCell ref="B24:B25"/>
    <mergeCell ref="C24:C25"/>
    <mergeCell ref="D24:D25"/>
    <mergeCell ref="E24:E25"/>
    <mergeCell ref="F24:F25"/>
    <mergeCell ref="D28:D30"/>
    <mergeCell ref="E28:E30"/>
    <mergeCell ref="F28:F30"/>
    <mergeCell ref="A31:A33"/>
    <mergeCell ref="B31:B33"/>
    <mergeCell ref="C31:C33"/>
    <mergeCell ref="D31:D33"/>
    <mergeCell ref="E31:E33"/>
    <mergeCell ref="F31:F33"/>
    <mergeCell ref="A1153:A1154"/>
    <mergeCell ref="D1153:D1154"/>
    <mergeCell ref="E1153:E1154"/>
    <mergeCell ref="F1153:F1154"/>
    <mergeCell ref="D293:D295"/>
    <mergeCell ref="F374:F376"/>
    <mergeCell ref="B1134:B1136"/>
    <mergeCell ref="C1134:C1136"/>
    <mergeCell ref="A1150:A1152"/>
    <mergeCell ref="B1150:B1152"/>
    <mergeCell ref="C1150:C1152"/>
    <mergeCell ref="B57:B59"/>
    <mergeCell ref="G18:G20"/>
    <mergeCell ref="G34:G36"/>
    <mergeCell ref="D34:D36"/>
    <mergeCell ref="E37:E38"/>
    <mergeCell ref="F37:F38"/>
    <mergeCell ref="G37:G38"/>
    <mergeCell ref="D1132:D1133"/>
    <mergeCell ref="F1138:F1139"/>
    <mergeCell ref="A1140:A1142"/>
    <mergeCell ref="B1140:B1142"/>
    <mergeCell ref="C1140:C1142"/>
    <mergeCell ref="D1140:D1142"/>
    <mergeCell ref="C1069:C1071"/>
    <mergeCell ref="D1069:D1071"/>
    <mergeCell ref="A1082:A1084"/>
    <mergeCell ref="A1085:A1087"/>
    <mergeCell ref="C1051:C1053"/>
    <mergeCell ref="D1051:D1053"/>
    <mergeCell ref="F329:F344"/>
    <mergeCell ref="A309:A315"/>
    <mergeCell ref="B374:B376"/>
    <mergeCell ref="C374:C376"/>
    <mergeCell ref="D374:D376"/>
    <mergeCell ref="E374:E376"/>
    <mergeCell ref="A1058:A1060"/>
    <mergeCell ref="B1058:B1060"/>
    <mergeCell ref="A291:A292"/>
    <mergeCell ref="B291:B292"/>
    <mergeCell ref="C291:C292"/>
    <mergeCell ref="D291:D292"/>
    <mergeCell ref="E291:E292"/>
    <mergeCell ref="F291:F292"/>
    <mergeCell ref="G291:G292"/>
    <mergeCell ref="A293:A295"/>
    <mergeCell ref="B293:B295"/>
    <mergeCell ref="C293:C295"/>
    <mergeCell ref="G51:G52"/>
    <mergeCell ref="A64:A66"/>
    <mergeCell ref="B64:B66"/>
    <mergeCell ref="A1051:A1053"/>
    <mergeCell ref="E1051:E1053"/>
    <mergeCell ref="F1051:F1053"/>
    <mergeCell ref="D51:D52"/>
    <mergeCell ref="F278:F280"/>
    <mergeCell ref="G1051:G1053"/>
    <mergeCell ref="G60:G62"/>
    <mergeCell ref="G57:G59"/>
    <mergeCell ref="G284:G286"/>
    <mergeCell ref="A296:A308"/>
    <mergeCell ref="B296:B308"/>
    <mergeCell ref="C296:C308"/>
    <mergeCell ref="D296:D308"/>
    <mergeCell ref="E296:E308"/>
    <mergeCell ref="F296:F308"/>
    <mergeCell ref="G297:G299"/>
    <mergeCell ref="G300:G302"/>
    <mergeCell ref="G303:G305"/>
    <mergeCell ref="G306:G308"/>
    <mergeCell ref="E51:E52"/>
    <mergeCell ref="F51:F52"/>
    <mergeCell ref="C57:C59"/>
    <mergeCell ref="A57:A59"/>
    <mergeCell ref="B51:B52"/>
    <mergeCell ref="C51:C52"/>
    <mergeCell ref="G53:G55"/>
    <mergeCell ref="E53:E55"/>
    <mergeCell ref="A287:A288"/>
    <mergeCell ref="B287:B288"/>
    <mergeCell ref="C287:C288"/>
    <mergeCell ref="D287:D288"/>
    <mergeCell ref="A45:A47"/>
    <mergeCell ref="C2504:C2505"/>
    <mergeCell ref="E57:E59"/>
    <mergeCell ref="F57:F59"/>
    <mergeCell ref="E60:E62"/>
    <mergeCell ref="F60:F62"/>
    <mergeCell ref="D1227:D1228"/>
    <mergeCell ref="G2504:G2505"/>
    <mergeCell ref="C1244:C1246"/>
    <mergeCell ref="G1203:G1204"/>
    <mergeCell ref="D1198:D1199"/>
    <mergeCell ref="C1198:C1199"/>
    <mergeCell ref="D1200:D1201"/>
    <mergeCell ref="E2504:E2505"/>
    <mergeCell ref="F2504:F2505"/>
    <mergeCell ref="E1221:E1223"/>
    <mergeCell ref="C1227:C1228"/>
    <mergeCell ref="C1211:C1213"/>
    <mergeCell ref="G278:G280"/>
    <mergeCell ref="E1058:E1060"/>
    <mergeCell ref="F1058:F1060"/>
    <mergeCell ref="G1058:G1060"/>
    <mergeCell ref="F1055:F1057"/>
    <mergeCell ref="G1193:G1195"/>
    <mergeCell ref="G1200:G1201"/>
    <mergeCell ref="E1863:E1865"/>
    <mergeCell ref="C1058:C1060"/>
    <mergeCell ref="D1150:D1152"/>
    <mergeCell ref="F2507:F2509"/>
    <mergeCell ref="G2507:G2509"/>
    <mergeCell ref="G1234:G1236"/>
    <mergeCell ref="E1224:E1226"/>
    <mergeCell ref="F1224:F1226"/>
    <mergeCell ref="G1224:G1226"/>
    <mergeCell ref="G1231:G1233"/>
    <mergeCell ref="E1132:E1133"/>
    <mergeCell ref="F1132:F1133"/>
    <mergeCell ref="E1069:E1071"/>
    <mergeCell ref="F1069:F1071"/>
    <mergeCell ref="E1211:E1213"/>
    <mergeCell ref="F1211:F1213"/>
    <mergeCell ref="E1216:E1218"/>
    <mergeCell ref="E1207:E1208"/>
    <mergeCell ref="F1207:F1208"/>
    <mergeCell ref="E1171:E1173"/>
    <mergeCell ref="F1171:F1173"/>
    <mergeCell ref="E1146:E1148"/>
    <mergeCell ref="E1140:E1142"/>
    <mergeCell ref="E1156:E1158"/>
    <mergeCell ref="F1156:F1158"/>
    <mergeCell ref="G1156:G1158"/>
    <mergeCell ref="F1082:F1084"/>
    <mergeCell ref="G1082:G1084"/>
    <mergeCell ref="C1200:C1201"/>
    <mergeCell ref="G1198:G1199"/>
    <mergeCell ref="C1146:C1148"/>
    <mergeCell ref="G1452:G1453"/>
    <mergeCell ref="D1061:D1065"/>
    <mergeCell ref="F1067:F1068"/>
    <mergeCell ref="G1067:G1068"/>
    <mergeCell ref="F1227:F1228"/>
    <mergeCell ref="G1227:G1228"/>
    <mergeCell ref="F1203:F1204"/>
    <mergeCell ref="E1061:E1065"/>
    <mergeCell ref="F1061:F1065"/>
    <mergeCell ref="G1061:G1065"/>
    <mergeCell ref="E1214:E1215"/>
    <mergeCell ref="F1214:F1215"/>
    <mergeCell ref="G1168:G1170"/>
    <mergeCell ref="F1079:F1081"/>
    <mergeCell ref="G1079:G1081"/>
    <mergeCell ref="E1231:E1233"/>
    <mergeCell ref="F1231:F1233"/>
    <mergeCell ref="G1070:G1071"/>
    <mergeCell ref="G1132:G1133"/>
    <mergeCell ref="E1079:E1081"/>
    <mergeCell ref="E1099:E1103"/>
    <mergeCell ref="F1099:F1103"/>
    <mergeCell ref="G1099:G1103"/>
    <mergeCell ref="E1094:E1098"/>
    <mergeCell ref="F1094:F1098"/>
    <mergeCell ref="G1094:G1098"/>
    <mergeCell ref="E1085:E1087"/>
    <mergeCell ref="F1085:F1087"/>
    <mergeCell ref="G1207:G1208"/>
    <mergeCell ref="G1138:G1139"/>
    <mergeCell ref="G1140:G1142"/>
    <mergeCell ref="G1211:G1213"/>
    <mergeCell ref="F1205:F1206"/>
    <mergeCell ref="G1165:G1167"/>
    <mergeCell ref="F2779:F2781"/>
    <mergeCell ref="G2779:G2781"/>
    <mergeCell ref="C2782:C2788"/>
    <mergeCell ref="E2837:E2841"/>
    <mergeCell ref="F2837:F2841"/>
    <mergeCell ref="E2705:E2707"/>
    <mergeCell ref="F2705:F2707"/>
    <mergeCell ref="B2887:B2888"/>
    <mergeCell ref="C2887:C2888"/>
    <mergeCell ref="E2510:E2512"/>
    <mergeCell ref="F2510:F2512"/>
    <mergeCell ref="F1216:F1218"/>
    <mergeCell ref="G1216:G1218"/>
    <mergeCell ref="F1140:F1142"/>
    <mergeCell ref="F1146:F1148"/>
    <mergeCell ref="E1209:E1210"/>
    <mergeCell ref="F1209:F1210"/>
    <mergeCell ref="G1150:G1152"/>
    <mergeCell ref="F1589:F1594"/>
    <mergeCell ref="G1691:G1693"/>
    <mergeCell ref="E1710:E1711"/>
    <mergeCell ref="F1710:F1711"/>
    <mergeCell ref="G1710:G1711"/>
    <mergeCell ref="G1146:G1148"/>
    <mergeCell ref="E1168:E1170"/>
    <mergeCell ref="E2507:E2509"/>
    <mergeCell ref="G2510:G2512"/>
    <mergeCell ref="E1159:E1161"/>
    <mergeCell ref="E1520:E1521"/>
    <mergeCell ref="G1462:G1463"/>
    <mergeCell ref="G1464:G1465"/>
    <mergeCell ref="F1189:F1191"/>
    <mergeCell ref="A1168:A1170"/>
    <mergeCell ref="A1171:A1173"/>
    <mergeCell ref="A1165:A1167"/>
    <mergeCell ref="A1193:A1195"/>
    <mergeCell ref="B1193:B1195"/>
    <mergeCell ref="C1193:C1195"/>
    <mergeCell ref="D1185:D1187"/>
    <mergeCell ref="E1185:E1187"/>
    <mergeCell ref="F1185:F1187"/>
    <mergeCell ref="G1185:G1187"/>
    <mergeCell ref="D1193:D1195"/>
    <mergeCell ref="E2895:E2896"/>
    <mergeCell ref="F2895:F2896"/>
    <mergeCell ref="A2705:A2707"/>
    <mergeCell ref="G2691:G2693"/>
    <mergeCell ref="C2881:C2883"/>
    <mergeCell ref="D2881:D2883"/>
    <mergeCell ref="E2881:E2883"/>
    <mergeCell ref="C2705:C2707"/>
    <mergeCell ref="G2705:G2707"/>
    <mergeCell ref="G2765:G2767"/>
    <mergeCell ref="G2759:G2761"/>
    <mergeCell ref="G2739:G2741"/>
    <mergeCell ref="G2742:G2744"/>
    <mergeCell ref="A2745:A2747"/>
    <mergeCell ref="B2745:B2747"/>
    <mergeCell ref="C2745:C2747"/>
    <mergeCell ref="D2745:D2747"/>
    <mergeCell ref="E2745:E2747"/>
    <mergeCell ref="F2745:F2747"/>
    <mergeCell ref="G2745:G2746"/>
    <mergeCell ref="F1165:F1167"/>
    <mergeCell ref="B1168:B1170"/>
    <mergeCell ref="C1168:C1170"/>
    <mergeCell ref="G2622:G2623"/>
    <mergeCell ref="B1171:B1173"/>
    <mergeCell ref="C1171:C1173"/>
    <mergeCell ref="D2691:D2693"/>
    <mergeCell ref="F2691:F2693"/>
    <mergeCell ref="B2687:B2689"/>
    <mergeCell ref="C2687:C2689"/>
    <mergeCell ref="D2687:D2689"/>
    <mergeCell ref="D2683:D2685"/>
    <mergeCell ref="E2683:E2685"/>
    <mergeCell ref="E2687:E2689"/>
    <mergeCell ref="E2616:E2618"/>
    <mergeCell ref="B2667:B2669"/>
    <mergeCell ref="B1165:B1167"/>
    <mergeCell ref="C1165:C1167"/>
    <mergeCell ref="B2631:B2633"/>
    <mergeCell ref="C2631:C2633"/>
    <mergeCell ref="D1503:D1504"/>
    <mergeCell ref="E1503:E1504"/>
    <mergeCell ref="D1165:D1167"/>
    <mergeCell ref="E1165:E1167"/>
    <mergeCell ref="D1171:D1173"/>
    <mergeCell ref="D1168:D1170"/>
    <mergeCell ref="F1168:F1170"/>
    <mergeCell ref="E1193:E1195"/>
    <mergeCell ref="F1193:F1195"/>
    <mergeCell ref="C2629:C2630"/>
    <mergeCell ref="D2629:D2630"/>
    <mergeCell ref="B1205:B1206"/>
    <mergeCell ref="C1205:C1206"/>
    <mergeCell ref="G2762:G2764"/>
    <mergeCell ref="D2631:D2633"/>
    <mergeCell ref="E2631:E2633"/>
    <mergeCell ref="F2631:F2633"/>
    <mergeCell ref="G2631:G2633"/>
    <mergeCell ref="B2619:B2621"/>
    <mergeCell ref="C2619:C2621"/>
    <mergeCell ref="D2619:D2621"/>
    <mergeCell ref="E2619:E2621"/>
    <mergeCell ref="A2624:A2626"/>
    <mergeCell ref="B2624:B2626"/>
    <mergeCell ref="C2624:C2626"/>
    <mergeCell ref="D2887:D2888"/>
    <mergeCell ref="E2887:E2888"/>
    <mergeCell ref="G2612:G2613"/>
    <mergeCell ref="C2622:C2623"/>
    <mergeCell ref="D2622:D2623"/>
    <mergeCell ref="E2622:E2623"/>
    <mergeCell ref="F2622:F2623"/>
    <mergeCell ref="A2711:A2713"/>
    <mergeCell ref="B2711:B2713"/>
    <mergeCell ref="G2850:G2851"/>
    <mergeCell ref="F2881:F2883"/>
    <mergeCell ref="E2858:E2868"/>
    <mergeCell ref="F2858:F2868"/>
    <mergeCell ref="G2852:G2853"/>
    <mergeCell ref="C2869:C2871"/>
    <mergeCell ref="D2869:D2871"/>
    <mergeCell ref="G2656:G2657"/>
    <mergeCell ref="F2677:F2679"/>
    <mergeCell ref="G2677:G2679"/>
    <mergeCell ref="E2708:E2710"/>
    <mergeCell ref="E2629:E2630"/>
    <mergeCell ref="F2629:F2630"/>
    <mergeCell ref="G2629:G2630"/>
    <mergeCell ref="G2616:G2618"/>
    <mergeCell ref="D2705:D2707"/>
    <mergeCell ref="A2631:A2633"/>
    <mergeCell ref="A2529:A2531"/>
    <mergeCell ref="B2529:B2531"/>
    <mergeCell ref="C2529:C2531"/>
    <mergeCell ref="D2529:D2531"/>
    <mergeCell ref="E2529:E2531"/>
    <mergeCell ref="F2529:F2531"/>
    <mergeCell ref="C1251:C1252"/>
    <mergeCell ref="D1251:D1252"/>
    <mergeCell ref="A1416:A1418"/>
    <mergeCell ref="C1503:C1504"/>
    <mergeCell ref="F2616:F2618"/>
    <mergeCell ref="A2622:A2623"/>
    <mergeCell ref="G1466:G1467"/>
    <mergeCell ref="E1441:E1443"/>
    <mergeCell ref="F1441:F1443"/>
    <mergeCell ref="G1441:G1443"/>
    <mergeCell ref="E1474:E1475"/>
    <mergeCell ref="F1474:F1475"/>
    <mergeCell ref="G1474:G1475"/>
    <mergeCell ref="F1854:F1855"/>
    <mergeCell ref="E1870:E1872"/>
    <mergeCell ref="F1870:F1872"/>
    <mergeCell ref="G1554:G1555"/>
    <mergeCell ref="G1556:G1557"/>
    <mergeCell ref="D1505:D1507"/>
    <mergeCell ref="E1505:E1507"/>
    <mergeCell ref="A1200:A1201"/>
    <mergeCell ref="A1207:A1208"/>
    <mergeCell ref="B1200:B1201"/>
    <mergeCell ref="A1185:A1187"/>
    <mergeCell ref="B1185:B1187"/>
    <mergeCell ref="C1185:C1187"/>
    <mergeCell ref="F3245:F3247"/>
    <mergeCell ref="D2670:D2672"/>
    <mergeCell ref="A2614:A2615"/>
    <mergeCell ref="B2614:B2615"/>
    <mergeCell ref="C2614:C2615"/>
    <mergeCell ref="D2614:D2615"/>
    <mergeCell ref="G2614:G2615"/>
    <mergeCell ref="A2616:A2618"/>
    <mergeCell ref="B2616:B2618"/>
    <mergeCell ref="C2616:C2618"/>
    <mergeCell ref="D2616:D2618"/>
    <mergeCell ref="B2622:B2623"/>
    <mergeCell ref="D2627:D2628"/>
    <mergeCell ref="E2627:E2628"/>
    <mergeCell ref="F2627:F2628"/>
    <mergeCell ref="G2627:G2628"/>
    <mergeCell ref="A2627:A2628"/>
    <mergeCell ref="B2627:B2628"/>
    <mergeCell ref="C2627:C2628"/>
    <mergeCell ref="E2659:E2662"/>
    <mergeCell ref="B2670:B2672"/>
    <mergeCell ref="C2670:C2672"/>
    <mergeCell ref="A2629:A2630"/>
    <mergeCell ref="B2629:B2630"/>
    <mergeCell ref="D2601:D2602"/>
    <mergeCell ref="E2601:E2602"/>
    <mergeCell ref="G1171:G1173"/>
    <mergeCell ref="A1174:A1176"/>
    <mergeCell ref="B1174:B1176"/>
    <mergeCell ref="C1174:C1176"/>
    <mergeCell ref="D1174:D1176"/>
    <mergeCell ref="E1174:E1176"/>
    <mergeCell ref="F1174:F1176"/>
    <mergeCell ref="G1174:G1176"/>
    <mergeCell ref="G1244:G1246"/>
    <mergeCell ref="G1237:G1239"/>
    <mergeCell ref="A1227:A1228"/>
    <mergeCell ref="B1227:B1228"/>
    <mergeCell ref="A1214:A1215"/>
    <mergeCell ref="A1216:A1218"/>
    <mergeCell ref="D1211:D1213"/>
    <mergeCell ref="B1207:B1208"/>
    <mergeCell ref="C1207:C1208"/>
    <mergeCell ref="D1216:D1218"/>
    <mergeCell ref="D1207:D1208"/>
    <mergeCell ref="A1177:A1179"/>
    <mergeCell ref="B1177:B1179"/>
    <mergeCell ref="C1177:C1179"/>
    <mergeCell ref="D1177:D1179"/>
    <mergeCell ref="E1177:E1179"/>
    <mergeCell ref="F1177:F1179"/>
    <mergeCell ref="G1177:G1178"/>
    <mergeCell ref="A1180:A1184"/>
    <mergeCell ref="B1180:B1184"/>
    <mergeCell ref="C1180:C1184"/>
    <mergeCell ref="D1180:D1184"/>
    <mergeCell ref="E1180:E1184"/>
    <mergeCell ref="F1180:F1184"/>
    <mergeCell ref="D2565:D2567"/>
    <mergeCell ref="E2565:E2567"/>
    <mergeCell ref="F2565:F2567"/>
    <mergeCell ref="G2565:G2566"/>
    <mergeCell ref="A2568:A2570"/>
    <mergeCell ref="G2596:G2597"/>
    <mergeCell ref="G2583:G2584"/>
    <mergeCell ref="G2576:G2578"/>
    <mergeCell ref="G2552:G2554"/>
    <mergeCell ref="A2547:A2548"/>
    <mergeCell ref="B2547:B2548"/>
    <mergeCell ref="A2565:A2567"/>
    <mergeCell ref="B2565:B2567"/>
    <mergeCell ref="F2555:F2559"/>
    <mergeCell ref="G2555:G2559"/>
    <mergeCell ref="A2560:A2564"/>
    <mergeCell ref="B2560:B2564"/>
    <mergeCell ref="C2560:C2564"/>
    <mergeCell ref="D2560:D2564"/>
    <mergeCell ref="E2560:E2564"/>
    <mergeCell ref="F2560:F2564"/>
    <mergeCell ref="G2560:G2564"/>
    <mergeCell ref="C2565:C2567"/>
    <mergeCell ref="C2542:C2546"/>
    <mergeCell ref="D2542:D2546"/>
    <mergeCell ref="E2542:E2546"/>
    <mergeCell ref="F2542:F2546"/>
    <mergeCell ref="G2542:G2546"/>
    <mergeCell ref="A2687:A2689"/>
    <mergeCell ref="B2656:B2657"/>
    <mergeCell ref="C2656:C2657"/>
    <mergeCell ref="D2656:D2657"/>
    <mergeCell ref="E2656:E2657"/>
    <mergeCell ref="B2568:B2570"/>
    <mergeCell ref="D2624:D2626"/>
    <mergeCell ref="E2624:E2626"/>
    <mergeCell ref="D2641:D2643"/>
    <mergeCell ref="E2641:E2643"/>
    <mergeCell ref="F2641:F2643"/>
    <mergeCell ref="G2641:G2643"/>
    <mergeCell ref="A2634:A2635"/>
    <mergeCell ref="B2634:B2635"/>
    <mergeCell ref="C2634:C2635"/>
    <mergeCell ref="D2634:D2635"/>
    <mergeCell ref="E2634:E2635"/>
    <mergeCell ref="F2634:F2635"/>
    <mergeCell ref="G2634:G2635"/>
    <mergeCell ref="A2636:A2637"/>
    <mergeCell ref="C2547:C2548"/>
    <mergeCell ref="D2547:D2548"/>
    <mergeCell ref="E2547:E2548"/>
    <mergeCell ref="F2547:F2548"/>
    <mergeCell ref="G2547:G2548"/>
    <mergeCell ref="F2549:F2551"/>
    <mergeCell ref="A2555:A2559"/>
    <mergeCell ref="A2762:A2764"/>
    <mergeCell ref="B2762:B2764"/>
    <mergeCell ref="C2762:C2764"/>
    <mergeCell ref="D2762:D2764"/>
    <mergeCell ref="B1209:B1210"/>
    <mergeCell ref="C1209:C1210"/>
    <mergeCell ref="D1209:D1210"/>
    <mergeCell ref="E1229:E1230"/>
    <mergeCell ref="F1229:F1230"/>
    <mergeCell ref="F2624:F2626"/>
    <mergeCell ref="G2624:G2626"/>
    <mergeCell ref="B2532:B2533"/>
    <mergeCell ref="C2532:C2533"/>
    <mergeCell ref="D2532:D2533"/>
    <mergeCell ref="E2532:E2533"/>
    <mergeCell ref="F2532:F2533"/>
    <mergeCell ref="G2532:G2533"/>
    <mergeCell ref="A2534:A2536"/>
    <mergeCell ref="B2534:B2536"/>
    <mergeCell ref="C2534:C2536"/>
    <mergeCell ref="C1214:C1215"/>
    <mergeCell ref="G2549:G2551"/>
    <mergeCell ref="A2552:A2554"/>
    <mergeCell ref="B2552:B2554"/>
    <mergeCell ref="C2552:C2554"/>
    <mergeCell ref="D2552:D2554"/>
    <mergeCell ref="E2552:E2554"/>
    <mergeCell ref="F2552:F2554"/>
    <mergeCell ref="D2568:D2570"/>
    <mergeCell ref="E2568:E2570"/>
    <mergeCell ref="F2568:F2570"/>
    <mergeCell ref="G2568:G2570"/>
    <mergeCell ref="E3245:E3247"/>
    <mergeCell ref="E2680:E2682"/>
    <mergeCell ref="F2680:F2682"/>
    <mergeCell ref="G2828:G2830"/>
    <mergeCell ref="F2789:F2791"/>
    <mergeCell ref="B2822:B2824"/>
    <mergeCell ref="C2822:C2824"/>
    <mergeCell ref="D2822:D2824"/>
    <mergeCell ref="E2822:E2824"/>
    <mergeCell ref="F2822:F2824"/>
    <mergeCell ref="G2822:G2824"/>
    <mergeCell ref="A2768:A2769"/>
    <mergeCell ref="B2768:B2769"/>
    <mergeCell ref="B2776:B2778"/>
    <mergeCell ref="A2770:A2772"/>
    <mergeCell ref="B2770:B2772"/>
    <mergeCell ref="C2770:C2772"/>
    <mergeCell ref="D2770:D2772"/>
    <mergeCell ref="E2770:E2772"/>
    <mergeCell ref="F2770:F2772"/>
    <mergeCell ref="G2770:G2772"/>
    <mergeCell ref="A2773:A2775"/>
    <mergeCell ref="B2773:B2775"/>
    <mergeCell ref="C2773:C2775"/>
    <mergeCell ref="G2687:G2689"/>
    <mergeCell ref="A3245:A3247"/>
    <mergeCell ref="A2759:A2761"/>
    <mergeCell ref="B2759:B2761"/>
    <mergeCell ref="C2759:C2761"/>
    <mergeCell ref="D2759:D2761"/>
    <mergeCell ref="A2765:A2767"/>
    <mergeCell ref="B2765:B2767"/>
    <mergeCell ref="G2911:G2913"/>
    <mergeCell ref="F2884:F2886"/>
    <mergeCell ref="G3181:G3183"/>
    <mergeCell ref="F3184:F3186"/>
    <mergeCell ref="G3184:G3186"/>
    <mergeCell ref="B2705:B2707"/>
    <mergeCell ref="F3235:F3237"/>
    <mergeCell ref="G3235:G3237"/>
    <mergeCell ref="A3227:A3229"/>
    <mergeCell ref="B3227:B3229"/>
    <mergeCell ref="C3227:C3229"/>
    <mergeCell ref="D3227:D3229"/>
    <mergeCell ref="E3227:E3229"/>
    <mergeCell ref="F3227:F3229"/>
    <mergeCell ref="G3227:G3229"/>
    <mergeCell ref="G2789:G2791"/>
    <mergeCell ref="F2813:F2814"/>
    <mergeCell ref="G2813:G2814"/>
    <mergeCell ref="A2735:A2744"/>
    <mergeCell ref="B2735:B2744"/>
    <mergeCell ref="C2735:C2744"/>
    <mergeCell ref="D2735:D2744"/>
    <mergeCell ref="E2735:E2744"/>
    <mergeCell ref="F2735:F2744"/>
    <mergeCell ref="D2773:D2775"/>
    <mergeCell ref="E2773:E2775"/>
    <mergeCell ref="F2773:F2775"/>
    <mergeCell ref="G2773:G2775"/>
    <mergeCell ref="C2768:C2769"/>
    <mergeCell ref="D2768:D2769"/>
    <mergeCell ref="E2762:E2764"/>
    <mergeCell ref="F2762:F2764"/>
    <mergeCell ref="G2768:G2769"/>
    <mergeCell ref="G2736:G2738"/>
    <mergeCell ref="F2847:F2857"/>
    <mergeCell ref="B2858:B2868"/>
    <mergeCell ref="C2858:C2868"/>
    <mergeCell ref="F3150:F3152"/>
    <mergeCell ref="A3230:A3234"/>
    <mergeCell ref="B3230:B3234"/>
    <mergeCell ref="C3230:C3234"/>
    <mergeCell ref="D3230:D3234"/>
    <mergeCell ref="E3230:E3234"/>
    <mergeCell ref="F3230:F3234"/>
    <mergeCell ref="G3230:G3234"/>
    <mergeCell ref="A3238:A3240"/>
    <mergeCell ref="B3238:B3240"/>
    <mergeCell ref="C3238:C3240"/>
    <mergeCell ref="D3238:D3240"/>
    <mergeCell ref="E3238:E3240"/>
    <mergeCell ref="F3238:F3240"/>
    <mergeCell ref="G3238:G3240"/>
    <mergeCell ref="B2842:B2846"/>
    <mergeCell ref="C2842:C2846"/>
    <mergeCell ref="D2842:D2846"/>
    <mergeCell ref="E2842:E2846"/>
    <mergeCell ref="F2842:F2846"/>
    <mergeCell ref="A2847:A2857"/>
    <mergeCell ref="B2847:B2857"/>
    <mergeCell ref="C2847:C2857"/>
    <mergeCell ref="D2847:D2857"/>
    <mergeCell ref="A2842:A2846"/>
    <mergeCell ref="E2759:E2761"/>
    <mergeCell ref="F2759:F2761"/>
    <mergeCell ref="A3235:A3237"/>
    <mergeCell ref="B3235:B3237"/>
    <mergeCell ref="C3235:C3237"/>
    <mergeCell ref="D3235:D3237"/>
    <mergeCell ref="E3235:E3237"/>
    <mergeCell ref="G2863:G2864"/>
    <mergeCell ref="G2865:G2866"/>
    <mergeCell ref="G2879:G2880"/>
    <mergeCell ref="A3241:A3243"/>
    <mergeCell ref="B3241:B3243"/>
    <mergeCell ref="C3241:C3243"/>
    <mergeCell ref="D3241:D3243"/>
    <mergeCell ref="E3241:E3243"/>
    <mergeCell ref="F3241:F3243"/>
    <mergeCell ref="G3241:G3243"/>
    <mergeCell ref="A1073:A1075"/>
    <mergeCell ref="B1073:B1075"/>
    <mergeCell ref="C1073:C1075"/>
    <mergeCell ref="D1073:D1075"/>
    <mergeCell ref="E1073:E1075"/>
    <mergeCell ref="F1073:F1075"/>
    <mergeCell ref="G1073:G1075"/>
    <mergeCell ref="A1076:A1078"/>
    <mergeCell ref="B1076:B1078"/>
    <mergeCell ref="C1076:C1078"/>
    <mergeCell ref="D1076:D1078"/>
    <mergeCell ref="E1076:E1078"/>
    <mergeCell ref="F1076:F1078"/>
    <mergeCell ref="G1077:G1078"/>
    <mergeCell ref="A1079:A1081"/>
    <mergeCell ref="B1079:B1081"/>
    <mergeCell ref="A1091:A1093"/>
    <mergeCell ref="B1091:B1093"/>
    <mergeCell ref="C1091:C1093"/>
    <mergeCell ref="D1091:D1093"/>
    <mergeCell ref="E1091:E1093"/>
    <mergeCell ref="F1091:F1093"/>
    <mergeCell ref="G1091:G1093"/>
    <mergeCell ref="A1094:A1098"/>
    <mergeCell ref="B1094:B1098"/>
    <mergeCell ref="G1085:G1087"/>
    <mergeCell ref="A1088:A1090"/>
    <mergeCell ref="B1088:B1090"/>
    <mergeCell ref="C1088:C1090"/>
    <mergeCell ref="D1088:D1090"/>
    <mergeCell ref="E1088:E1090"/>
    <mergeCell ref="F1088:F1090"/>
    <mergeCell ref="G1088:G1090"/>
    <mergeCell ref="A1107:A1109"/>
    <mergeCell ref="B1107:B1109"/>
    <mergeCell ref="C1107:C1109"/>
    <mergeCell ref="D1107:D1109"/>
    <mergeCell ref="E1107:E1109"/>
    <mergeCell ref="F1107:F1109"/>
    <mergeCell ref="G1107:G1109"/>
    <mergeCell ref="A1110:A1112"/>
    <mergeCell ref="B1110:B1112"/>
    <mergeCell ref="C1110:C1112"/>
    <mergeCell ref="D1110:D1112"/>
    <mergeCell ref="E1110:E1112"/>
    <mergeCell ref="F1110:F1112"/>
    <mergeCell ref="G1110:G1112"/>
    <mergeCell ref="A1104:A1106"/>
    <mergeCell ref="B1104:B1106"/>
    <mergeCell ref="C1104:C1106"/>
    <mergeCell ref="D1104:D1106"/>
    <mergeCell ref="E1104:E1106"/>
    <mergeCell ref="F1104:F1106"/>
    <mergeCell ref="G1104:G1106"/>
    <mergeCell ref="F1113:F1115"/>
    <mergeCell ref="G1113:G1115"/>
    <mergeCell ref="A1116:A1118"/>
    <mergeCell ref="B1116:B1118"/>
    <mergeCell ref="C1116:C1118"/>
    <mergeCell ref="D1116:D1118"/>
    <mergeCell ref="E1116:E1118"/>
    <mergeCell ref="F1116:F1118"/>
    <mergeCell ref="G1116:G1118"/>
    <mergeCell ref="B1162:B1164"/>
    <mergeCell ref="C1162:C1164"/>
    <mergeCell ref="D1162:D1164"/>
    <mergeCell ref="E1162:E1164"/>
    <mergeCell ref="F1162:F1164"/>
    <mergeCell ref="E1150:E1152"/>
    <mergeCell ref="F1150:F1152"/>
    <mergeCell ref="F1134:F1136"/>
    <mergeCell ref="A1134:A1136"/>
    <mergeCell ref="D1134:D1136"/>
    <mergeCell ref="E1134:E1136"/>
    <mergeCell ref="C1119:C1121"/>
    <mergeCell ref="D1119:D1121"/>
    <mergeCell ref="E1119:E1121"/>
    <mergeCell ref="F1119:F1121"/>
    <mergeCell ref="G1119:G1121"/>
    <mergeCell ref="A1122:A1124"/>
    <mergeCell ref="B1122:B1124"/>
    <mergeCell ref="C1122:C1124"/>
    <mergeCell ref="D1122:D1124"/>
    <mergeCell ref="E1122:E1124"/>
    <mergeCell ref="F1122:F1124"/>
    <mergeCell ref="G1122:G1124"/>
    <mergeCell ref="G1162:G1164"/>
    <mergeCell ref="B1146:B1148"/>
    <mergeCell ref="D1146:D1148"/>
    <mergeCell ref="A1146:A1148"/>
    <mergeCell ref="F1159:F1161"/>
    <mergeCell ref="G1159:G1161"/>
    <mergeCell ref="G1144:G1145"/>
    <mergeCell ref="B1198:B1199"/>
    <mergeCell ref="A1211:A1213"/>
    <mergeCell ref="B1211:B1213"/>
    <mergeCell ref="A1162:A1164"/>
    <mergeCell ref="G2537:G2539"/>
    <mergeCell ref="A2540:A2541"/>
    <mergeCell ref="B2540:B2541"/>
    <mergeCell ref="C2540:C2541"/>
    <mergeCell ref="D2540:D2541"/>
    <mergeCell ref="E2540:E2541"/>
    <mergeCell ref="F2540:F2541"/>
    <mergeCell ref="G2540:G2541"/>
    <mergeCell ref="A1503:A1504"/>
    <mergeCell ref="B1503:B1504"/>
    <mergeCell ref="A1574:A1576"/>
    <mergeCell ref="B1574:B1576"/>
    <mergeCell ref="C1574:C1576"/>
    <mergeCell ref="D1574:D1576"/>
    <mergeCell ref="E1574:E1576"/>
    <mergeCell ref="F1574:F1576"/>
    <mergeCell ref="G1574:G1576"/>
    <mergeCell ref="G1565:G1566"/>
    <mergeCell ref="A1567:A1573"/>
    <mergeCell ref="B1567:B1573"/>
    <mergeCell ref="A1553:A1559"/>
    <mergeCell ref="B1553:B1559"/>
    <mergeCell ref="C1553:C1559"/>
    <mergeCell ref="D1553:D1559"/>
    <mergeCell ref="E1553:E1559"/>
    <mergeCell ref="F1553:F1559"/>
    <mergeCell ref="C1567:C1573"/>
    <mergeCell ref="D1567:D1573"/>
    <mergeCell ref="E64:E66"/>
    <mergeCell ref="F64:F66"/>
    <mergeCell ref="G64:G66"/>
    <mergeCell ref="A74:A76"/>
    <mergeCell ref="B74:B76"/>
    <mergeCell ref="C74:C76"/>
    <mergeCell ref="D74:D76"/>
    <mergeCell ref="E74:E76"/>
    <mergeCell ref="F74:F76"/>
    <mergeCell ref="G74:G76"/>
    <mergeCell ref="A2581:A2582"/>
    <mergeCell ref="B2581:B2582"/>
    <mergeCell ref="C2581:C2582"/>
    <mergeCell ref="D2581:D2582"/>
    <mergeCell ref="E2581:E2582"/>
    <mergeCell ref="F2581:F2582"/>
    <mergeCell ref="G2581:G2582"/>
    <mergeCell ref="A2571:A2572"/>
    <mergeCell ref="B2571:B2572"/>
    <mergeCell ref="C2571:C2572"/>
    <mergeCell ref="D2571:D2572"/>
    <mergeCell ref="E2571:E2572"/>
    <mergeCell ref="F2571:F2572"/>
    <mergeCell ref="G2571:G2572"/>
    <mergeCell ref="A2573:A2575"/>
    <mergeCell ref="B2573:B2575"/>
    <mergeCell ref="C2573:C2575"/>
    <mergeCell ref="D2573:D2575"/>
    <mergeCell ref="A84:A87"/>
    <mergeCell ref="B84:B87"/>
    <mergeCell ref="A67:A73"/>
    <mergeCell ref="B67:B73"/>
    <mergeCell ref="C67:C73"/>
    <mergeCell ref="D67:D73"/>
    <mergeCell ref="E67:E73"/>
    <mergeCell ref="F67:F73"/>
    <mergeCell ref="G68:G69"/>
    <mergeCell ref="G70:G71"/>
    <mergeCell ref="G72:G73"/>
    <mergeCell ref="A77:A83"/>
    <mergeCell ref="B77:B83"/>
    <mergeCell ref="C77:C83"/>
    <mergeCell ref="D77:D83"/>
    <mergeCell ref="E77:E83"/>
    <mergeCell ref="F77:F83"/>
    <mergeCell ref="G78:G79"/>
    <mergeCell ref="G80:G81"/>
    <mergeCell ref="G82:G83"/>
    <mergeCell ref="C84:C87"/>
    <mergeCell ref="D84:D87"/>
    <mergeCell ref="E84:E87"/>
    <mergeCell ref="F84:F87"/>
    <mergeCell ref="G84:G87"/>
    <mergeCell ref="A94:A99"/>
    <mergeCell ref="B94:B99"/>
    <mergeCell ref="C94:C99"/>
    <mergeCell ref="D94:D99"/>
    <mergeCell ref="E94:E99"/>
    <mergeCell ref="F94:F99"/>
    <mergeCell ref="A100:A101"/>
    <mergeCell ref="B100:B101"/>
    <mergeCell ref="C100:C101"/>
    <mergeCell ref="D100:D101"/>
    <mergeCell ref="E100:E101"/>
    <mergeCell ref="F100:F101"/>
    <mergeCell ref="G100:G101"/>
    <mergeCell ref="A88:A90"/>
    <mergeCell ref="B88:B90"/>
    <mergeCell ref="C88:C90"/>
    <mergeCell ref="D88:D90"/>
    <mergeCell ref="E88:E90"/>
    <mergeCell ref="F88:F90"/>
    <mergeCell ref="G88:G90"/>
    <mergeCell ref="A91:A93"/>
    <mergeCell ref="B91:B93"/>
    <mergeCell ref="C91:C93"/>
    <mergeCell ref="D91:D93"/>
    <mergeCell ref="E91:E93"/>
    <mergeCell ref="F91:F93"/>
    <mergeCell ref="G91:G93"/>
    <mergeCell ref="A108:A114"/>
    <mergeCell ref="B108:B114"/>
    <mergeCell ref="C108:C114"/>
    <mergeCell ref="D108:D114"/>
    <mergeCell ref="E108:E114"/>
    <mergeCell ref="F108:F114"/>
    <mergeCell ref="G109:G110"/>
    <mergeCell ref="G111:G112"/>
    <mergeCell ref="G113:G114"/>
    <mergeCell ref="A115:A117"/>
    <mergeCell ref="B115:B117"/>
    <mergeCell ref="C115:C117"/>
    <mergeCell ref="D115:D117"/>
    <mergeCell ref="E115:E117"/>
    <mergeCell ref="F115:F117"/>
    <mergeCell ref="G115:G117"/>
    <mergeCell ref="A102:A104"/>
    <mergeCell ref="B102:B104"/>
    <mergeCell ref="C102:C104"/>
    <mergeCell ref="D102:D104"/>
    <mergeCell ref="E102:E104"/>
    <mergeCell ref="F102:F104"/>
    <mergeCell ref="G102:G104"/>
    <mergeCell ref="A105:A107"/>
    <mergeCell ref="B105:B107"/>
    <mergeCell ref="C105:C107"/>
    <mergeCell ref="D105:D107"/>
    <mergeCell ref="E105:E107"/>
    <mergeCell ref="F105:F107"/>
    <mergeCell ref="A123:A127"/>
    <mergeCell ref="B123:B127"/>
    <mergeCell ref="C123:C127"/>
    <mergeCell ref="D123:D127"/>
    <mergeCell ref="E123:E127"/>
    <mergeCell ref="F123:F127"/>
    <mergeCell ref="G124:G125"/>
    <mergeCell ref="G126:G127"/>
    <mergeCell ref="A128:A130"/>
    <mergeCell ref="B128:B130"/>
    <mergeCell ref="C128:C130"/>
    <mergeCell ref="D128:D130"/>
    <mergeCell ref="E128:E130"/>
    <mergeCell ref="F128:F130"/>
    <mergeCell ref="G128:G130"/>
    <mergeCell ref="A118:A119"/>
    <mergeCell ref="B118:B119"/>
    <mergeCell ref="C118:C119"/>
    <mergeCell ref="D118:D119"/>
    <mergeCell ref="E118:E119"/>
    <mergeCell ref="F118:F119"/>
    <mergeCell ref="G118:G119"/>
    <mergeCell ref="A120:A122"/>
    <mergeCell ref="B120:B122"/>
    <mergeCell ref="C120:C122"/>
    <mergeCell ref="D120:D122"/>
    <mergeCell ref="E120:E122"/>
    <mergeCell ref="F120:F122"/>
    <mergeCell ref="G120:G122"/>
    <mergeCell ref="A137:A140"/>
    <mergeCell ref="B137:B140"/>
    <mergeCell ref="C137:C140"/>
    <mergeCell ref="D137:D140"/>
    <mergeCell ref="E137:E140"/>
    <mergeCell ref="F137:F140"/>
    <mergeCell ref="A141:A143"/>
    <mergeCell ref="B141:B143"/>
    <mergeCell ref="C141:C143"/>
    <mergeCell ref="D141:D143"/>
    <mergeCell ref="E141:E143"/>
    <mergeCell ref="F141:F143"/>
    <mergeCell ref="G141:G143"/>
    <mergeCell ref="A131:A133"/>
    <mergeCell ref="B131:B133"/>
    <mergeCell ref="C131:C133"/>
    <mergeCell ref="D131:D133"/>
    <mergeCell ref="E131:E133"/>
    <mergeCell ref="F131:F133"/>
    <mergeCell ref="G131:G133"/>
    <mergeCell ref="A134:A136"/>
    <mergeCell ref="B134:B136"/>
    <mergeCell ref="C134:C136"/>
    <mergeCell ref="D134:D136"/>
    <mergeCell ref="E134:E136"/>
    <mergeCell ref="F134:F136"/>
    <mergeCell ref="G134:G136"/>
    <mergeCell ref="A150:A151"/>
    <mergeCell ref="B150:B151"/>
    <mergeCell ref="C150:C151"/>
    <mergeCell ref="D150:D151"/>
    <mergeCell ref="E150:E151"/>
    <mergeCell ref="F150:F151"/>
    <mergeCell ref="G150:G151"/>
    <mergeCell ref="A152:A154"/>
    <mergeCell ref="B152:B154"/>
    <mergeCell ref="C152:C154"/>
    <mergeCell ref="D152:D154"/>
    <mergeCell ref="E152:E154"/>
    <mergeCell ref="F152:F154"/>
    <mergeCell ref="G152:G154"/>
    <mergeCell ref="A144:A146"/>
    <mergeCell ref="B144:B146"/>
    <mergeCell ref="C144:C146"/>
    <mergeCell ref="D144:D146"/>
    <mergeCell ref="E144:E146"/>
    <mergeCell ref="F144:F146"/>
    <mergeCell ref="G144:G146"/>
    <mergeCell ref="A147:A149"/>
    <mergeCell ref="B147:B149"/>
    <mergeCell ref="C147:C149"/>
    <mergeCell ref="D147:D149"/>
    <mergeCell ref="E147:E149"/>
    <mergeCell ref="F147:F149"/>
    <mergeCell ref="G147:G149"/>
    <mergeCell ref="A162:A163"/>
    <mergeCell ref="B162:B163"/>
    <mergeCell ref="C162:C163"/>
    <mergeCell ref="D162:D163"/>
    <mergeCell ref="E162:E163"/>
    <mergeCell ref="F162:F163"/>
    <mergeCell ref="G162:G163"/>
    <mergeCell ref="A164:A167"/>
    <mergeCell ref="B164:B167"/>
    <mergeCell ref="C164:C167"/>
    <mergeCell ref="D164:D167"/>
    <mergeCell ref="E164:E167"/>
    <mergeCell ref="F164:F167"/>
    <mergeCell ref="A155:A157"/>
    <mergeCell ref="B155:B157"/>
    <mergeCell ref="C155:C157"/>
    <mergeCell ref="D155:D157"/>
    <mergeCell ref="E155:E157"/>
    <mergeCell ref="F155:F157"/>
    <mergeCell ref="G155:G157"/>
    <mergeCell ref="A158:A161"/>
    <mergeCell ref="B158:B161"/>
    <mergeCell ref="C158:C161"/>
    <mergeCell ref="D158:D161"/>
    <mergeCell ref="E158:E161"/>
    <mergeCell ref="F158:F161"/>
    <mergeCell ref="G158:G161"/>
    <mergeCell ref="G198:G200"/>
    <mergeCell ref="G201:G203"/>
    <mergeCell ref="G204:G206"/>
    <mergeCell ref="G207:G209"/>
    <mergeCell ref="A168:A171"/>
    <mergeCell ref="B168:B171"/>
    <mergeCell ref="C168:C171"/>
    <mergeCell ref="D168:D171"/>
    <mergeCell ref="E168:E171"/>
    <mergeCell ref="F168:F171"/>
    <mergeCell ref="A172:A178"/>
    <mergeCell ref="B172:B178"/>
    <mergeCell ref="C172:C178"/>
    <mergeCell ref="D172:D178"/>
    <mergeCell ref="E172:E178"/>
    <mergeCell ref="F172:F178"/>
    <mergeCell ref="G173:G174"/>
    <mergeCell ref="G175:G176"/>
    <mergeCell ref="G177:G178"/>
    <mergeCell ref="A210:A213"/>
    <mergeCell ref="B210:B213"/>
    <mergeCell ref="C210:C213"/>
    <mergeCell ref="D210:D213"/>
    <mergeCell ref="E210:E213"/>
    <mergeCell ref="F210:F213"/>
    <mergeCell ref="G210:G213"/>
    <mergeCell ref="A214:A217"/>
    <mergeCell ref="B214:B217"/>
    <mergeCell ref="C214:C217"/>
    <mergeCell ref="D214:D217"/>
    <mergeCell ref="E214:E217"/>
    <mergeCell ref="F214:F217"/>
    <mergeCell ref="G214:G217"/>
    <mergeCell ref="A179:A181"/>
    <mergeCell ref="B179:B181"/>
    <mergeCell ref="C179:C181"/>
    <mergeCell ref="D179:D181"/>
    <mergeCell ref="E179:E181"/>
    <mergeCell ref="F179:F181"/>
    <mergeCell ref="G179:G181"/>
    <mergeCell ref="A182:A209"/>
    <mergeCell ref="B182:B209"/>
    <mergeCell ref="C182:C209"/>
    <mergeCell ref="D182:D209"/>
    <mergeCell ref="E182:E209"/>
    <mergeCell ref="F182:F209"/>
    <mergeCell ref="G183:G185"/>
    <mergeCell ref="G186:G188"/>
    <mergeCell ref="G189:G191"/>
    <mergeCell ref="G192:G194"/>
    <mergeCell ref="G195:G197"/>
    <mergeCell ref="A218:A236"/>
    <mergeCell ref="B218:B236"/>
    <mergeCell ref="C218:C236"/>
    <mergeCell ref="D218:D236"/>
    <mergeCell ref="E218:E236"/>
    <mergeCell ref="F218:F236"/>
    <mergeCell ref="G219:G221"/>
    <mergeCell ref="G222:G224"/>
    <mergeCell ref="G225:G227"/>
    <mergeCell ref="G228:G230"/>
    <mergeCell ref="G231:G233"/>
    <mergeCell ref="G234:G236"/>
    <mergeCell ref="A237:A238"/>
    <mergeCell ref="B237:B238"/>
    <mergeCell ref="C237:C238"/>
    <mergeCell ref="D237:D238"/>
    <mergeCell ref="E237:E238"/>
    <mergeCell ref="F237:F238"/>
    <mergeCell ref="G237:G238"/>
    <mergeCell ref="A246:A248"/>
    <mergeCell ref="B246:B248"/>
    <mergeCell ref="C246:C248"/>
    <mergeCell ref="D246:D248"/>
    <mergeCell ref="E246:E248"/>
    <mergeCell ref="F246:F248"/>
    <mergeCell ref="G246:G248"/>
    <mergeCell ref="A249:A251"/>
    <mergeCell ref="B249:B251"/>
    <mergeCell ref="C249:C251"/>
    <mergeCell ref="D249:D251"/>
    <mergeCell ref="E249:E251"/>
    <mergeCell ref="F249:F251"/>
    <mergeCell ref="G249:G251"/>
    <mergeCell ref="A239:A241"/>
    <mergeCell ref="B239:B241"/>
    <mergeCell ref="C239:C241"/>
    <mergeCell ref="D239:D241"/>
    <mergeCell ref="E239:E241"/>
    <mergeCell ref="F239:F241"/>
    <mergeCell ref="G239:G241"/>
    <mergeCell ref="A242:A245"/>
    <mergeCell ref="B242:B245"/>
    <mergeCell ref="C242:C245"/>
    <mergeCell ref="D242:D245"/>
    <mergeCell ref="E242:E245"/>
    <mergeCell ref="F242:F245"/>
    <mergeCell ref="A258:A259"/>
    <mergeCell ref="B258:B259"/>
    <mergeCell ref="C258:C259"/>
    <mergeCell ref="D258:D259"/>
    <mergeCell ref="E258:E259"/>
    <mergeCell ref="F258:F259"/>
    <mergeCell ref="G258:G259"/>
    <mergeCell ref="A260:A262"/>
    <mergeCell ref="B260:B262"/>
    <mergeCell ref="C260:C262"/>
    <mergeCell ref="D260:D262"/>
    <mergeCell ref="E260:E262"/>
    <mergeCell ref="F260:F262"/>
    <mergeCell ref="A252:A254"/>
    <mergeCell ref="B252:B254"/>
    <mergeCell ref="C252:C254"/>
    <mergeCell ref="D252:D254"/>
    <mergeCell ref="E252:E254"/>
    <mergeCell ref="F252:F254"/>
    <mergeCell ref="G252:G254"/>
    <mergeCell ref="A255:A257"/>
    <mergeCell ref="B255:B257"/>
    <mergeCell ref="C255:C257"/>
    <mergeCell ref="D255:D257"/>
    <mergeCell ref="E255:E257"/>
    <mergeCell ref="F255:F257"/>
    <mergeCell ref="G255:G257"/>
    <mergeCell ref="A263:A266"/>
    <mergeCell ref="B263:B266"/>
    <mergeCell ref="C263:C266"/>
    <mergeCell ref="D263:D266"/>
    <mergeCell ref="E263:E266"/>
    <mergeCell ref="F263:F266"/>
    <mergeCell ref="A267:A270"/>
    <mergeCell ref="B267:B270"/>
    <mergeCell ref="C267:C270"/>
    <mergeCell ref="D267:D270"/>
    <mergeCell ref="E267:E270"/>
    <mergeCell ref="F267:F270"/>
    <mergeCell ref="A271:A274"/>
    <mergeCell ref="B271:B274"/>
    <mergeCell ref="C271:C274"/>
    <mergeCell ref="D271:D274"/>
    <mergeCell ref="E271:E274"/>
    <mergeCell ref="F271:F274"/>
    <mergeCell ref="A275:A276"/>
    <mergeCell ref="B275:B276"/>
    <mergeCell ref="C275:C276"/>
    <mergeCell ref="D275:D276"/>
    <mergeCell ref="E275:E276"/>
    <mergeCell ref="F275:F276"/>
    <mergeCell ref="A1125:A1127"/>
    <mergeCell ref="B1125:B1127"/>
    <mergeCell ref="C1125:C1127"/>
    <mergeCell ref="D1125:D1127"/>
    <mergeCell ref="E1125:E1127"/>
    <mergeCell ref="F1125:F1127"/>
    <mergeCell ref="G1125:G1127"/>
    <mergeCell ref="A1128:A1130"/>
    <mergeCell ref="B1128:B1130"/>
    <mergeCell ref="A1296:A1298"/>
    <mergeCell ref="B1296:B1298"/>
    <mergeCell ref="C1128:C1130"/>
    <mergeCell ref="E1254:E1260"/>
    <mergeCell ref="F1254:F1260"/>
    <mergeCell ref="G1255:G1256"/>
    <mergeCell ref="G1257:G1258"/>
    <mergeCell ref="G1259:G1260"/>
    <mergeCell ref="A1261:A1263"/>
    <mergeCell ref="B1261:B1263"/>
    <mergeCell ref="C1261:C1263"/>
    <mergeCell ref="A1254:A1260"/>
    <mergeCell ref="E1128:E1130"/>
    <mergeCell ref="F1128:F1130"/>
    <mergeCell ref="G1128:G1130"/>
    <mergeCell ref="A1119:A1121"/>
    <mergeCell ref="B1119:B1121"/>
    <mergeCell ref="F1522:F1524"/>
    <mergeCell ref="G1522:G1524"/>
    <mergeCell ref="G1572:G1573"/>
    <mergeCell ref="A1528:A1529"/>
    <mergeCell ref="B1528:B1529"/>
    <mergeCell ref="C1528:C1529"/>
    <mergeCell ref="D1528:D1529"/>
    <mergeCell ref="E1528:E1529"/>
    <mergeCell ref="F1528:F1529"/>
    <mergeCell ref="G1528:G1529"/>
    <mergeCell ref="A1525:A1527"/>
    <mergeCell ref="B1525:B1527"/>
    <mergeCell ref="C1525:C1527"/>
    <mergeCell ref="D1525:D1527"/>
    <mergeCell ref="E1525:E1527"/>
    <mergeCell ref="F1525:F1527"/>
    <mergeCell ref="A1522:A1524"/>
    <mergeCell ref="B1522:B1524"/>
    <mergeCell ref="A1534:A1535"/>
    <mergeCell ref="B1534:B1535"/>
    <mergeCell ref="C1534:C1535"/>
    <mergeCell ref="D1534:D1535"/>
    <mergeCell ref="E1534:E1535"/>
    <mergeCell ref="F1534:F1535"/>
    <mergeCell ref="G1534:G1535"/>
    <mergeCell ref="A1530:A1531"/>
    <mergeCell ref="B1530:B1531"/>
    <mergeCell ref="C1530:C1531"/>
    <mergeCell ref="D1530:D1531"/>
    <mergeCell ref="E1530:E1531"/>
    <mergeCell ref="F1530:F1531"/>
    <mergeCell ref="G1530:G1531"/>
    <mergeCell ref="B1254:B1260"/>
    <mergeCell ref="C1254:C1260"/>
    <mergeCell ref="D1254:D1260"/>
    <mergeCell ref="G1497:G1499"/>
    <mergeCell ref="E1500:E1502"/>
    <mergeCell ref="F1500:F1502"/>
    <mergeCell ref="D1261:D1263"/>
    <mergeCell ref="E1261:E1263"/>
    <mergeCell ref="F1261:F1263"/>
    <mergeCell ref="G1261:G1263"/>
    <mergeCell ref="A1264:A1288"/>
    <mergeCell ref="B1264:B1288"/>
    <mergeCell ref="C1264:C1288"/>
    <mergeCell ref="D1264:D1288"/>
    <mergeCell ref="E1264:E1288"/>
    <mergeCell ref="F1264:F1288"/>
    <mergeCell ref="G1265:G1267"/>
    <mergeCell ref="G1268:G1270"/>
    <mergeCell ref="G1271:G1273"/>
    <mergeCell ref="G1274:G1276"/>
    <mergeCell ref="G1277:G1279"/>
    <mergeCell ref="G1280:G1282"/>
    <mergeCell ref="G1286:G1288"/>
    <mergeCell ref="G1283:G1285"/>
    <mergeCell ref="C1296:C1298"/>
    <mergeCell ref="B1497:B1499"/>
    <mergeCell ref="C1497:C1499"/>
    <mergeCell ref="D1497:D1499"/>
    <mergeCell ref="G1491:G1492"/>
    <mergeCell ref="G1493:G1494"/>
    <mergeCell ref="E1497:E1499"/>
    <mergeCell ref="F1497:F1499"/>
    <mergeCell ref="D1296:D1298"/>
    <mergeCell ref="E1296:E1298"/>
    <mergeCell ref="F1296:F1298"/>
    <mergeCell ref="G1296:G1298"/>
    <mergeCell ref="A1299:A1300"/>
    <mergeCell ref="B1299:B1300"/>
    <mergeCell ref="C1299:C1300"/>
    <mergeCell ref="D1299:D1300"/>
    <mergeCell ref="E1299:E1300"/>
    <mergeCell ref="F1299:F1300"/>
    <mergeCell ref="G1299:G1300"/>
    <mergeCell ref="A1301:A1303"/>
    <mergeCell ref="B1301:B1303"/>
    <mergeCell ref="C1301:C1303"/>
    <mergeCell ref="D1301:D1303"/>
    <mergeCell ref="E1301:E1303"/>
    <mergeCell ref="F1301:F1303"/>
    <mergeCell ref="G1301:G1303"/>
    <mergeCell ref="A1321:A1322"/>
    <mergeCell ref="B1321:B1322"/>
    <mergeCell ref="C1321:C1322"/>
    <mergeCell ref="D1321:D1322"/>
    <mergeCell ref="E1321:E1322"/>
    <mergeCell ref="F1321:F1322"/>
    <mergeCell ref="G1321:G1322"/>
    <mergeCell ref="A1304:A1306"/>
    <mergeCell ref="B1304:B1306"/>
    <mergeCell ref="C1304:C1306"/>
    <mergeCell ref="D1304:D1306"/>
    <mergeCell ref="E1304:E1306"/>
    <mergeCell ref="F1304:F1306"/>
    <mergeCell ref="G1304:G1306"/>
    <mergeCell ref="A1307:A1317"/>
    <mergeCell ref="B1307:B1317"/>
    <mergeCell ref="C1307:C1317"/>
    <mergeCell ref="D1307:D1317"/>
    <mergeCell ref="E1307:E1317"/>
    <mergeCell ref="F1307:F1317"/>
    <mergeCell ref="G1308:G1309"/>
    <mergeCell ref="G1310:G1311"/>
    <mergeCell ref="G1312:G1313"/>
    <mergeCell ref="G1314:G1315"/>
    <mergeCell ref="G1316:G1317"/>
    <mergeCell ref="A1340:A1342"/>
    <mergeCell ref="B1340:B1342"/>
    <mergeCell ref="C1340:C1342"/>
    <mergeCell ref="D1340:D1342"/>
    <mergeCell ref="E1340:E1342"/>
    <mergeCell ref="F1340:F1342"/>
    <mergeCell ref="G1340:G1342"/>
    <mergeCell ref="A1323:A1324"/>
    <mergeCell ref="B1323:B1324"/>
    <mergeCell ref="C1323:C1324"/>
    <mergeCell ref="D1323:D1324"/>
    <mergeCell ref="E1323:E1324"/>
    <mergeCell ref="F1323:F1324"/>
    <mergeCell ref="G1323:G1324"/>
    <mergeCell ref="A1325:A1331"/>
    <mergeCell ref="B1325:B1331"/>
    <mergeCell ref="C1325:C1331"/>
    <mergeCell ref="D1325:D1331"/>
    <mergeCell ref="E1325:E1331"/>
    <mergeCell ref="F1325:F1331"/>
    <mergeCell ref="G1326:G1327"/>
    <mergeCell ref="G1328:G1329"/>
    <mergeCell ref="G1330:G1331"/>
    <mergeCell ref="A1343:A1345"/>
    <mergeCell ref="B1343:B1345"/>
    <mergeCell ref="C1343:C1345"/>
    <mergeCell ref="D1343:D1345"/>
    <mergeCell ref="E1343:E1345"/>
    <mergeCell ref="F1343:F1345"/>
    <mergeCell ref="G1343:G1345"/>
    <mergeCell ref="A1346:A1352"/>
    <mergeCell ref="B1346:B1352"/>
    <mergeCell ref="C1346:C1352"/>
    <mergeCell ref="D1346:D1352"/>
    <mergeCell ref="E1346:E1352"/>
    <mergeCell ref="F1346:F1352"/>
    <mergeCell ref="G1346:G1348"/>
    <mergeCell ref="G1349:G1350"/>
    <mergeCell ref="G1351:G1352"/>
    <mergeCell ref="F1377:F1379"/>
    <mergeCell ref="G1377:G1379"/>
    <mergeCell ref="F1358:F1376"/>
    <mergeCell ref="G1359:G1361"/>
    <mergeCell ref="G1362:G1364"/>
    <mergeCell ref="G1365:G1367"/>
    <mergeCell ref="G1368:G1370"/>
    <mergeCell ref="G1371:G1373"/>
    <mergeCell ref="G1374:G1376"/>
    <mergeCell ref="A1353:A1354"/>
    <mergeCell ref="B1353:B1354"/>
    <mergeCell ref="C1353:C1354"/>
    <mergeCell ref="D1353:D1354"/>
    <mergeCell ref="E1353:E1354"/>
    <mergeCell ref="F1353:F1354"/>
    <mergeCell ref="G1353:G1354"/>
    <mergeCell ref="A1380:A1382"/>
    <mergeCell ref="B1380:B1382"/>
    <mergeCell ref="C1380:C1382"/>
    <mergeCell ref="D1380:D1382"/>
    <mergeCell ref="E1380:E1382"/>
    <mergeCell ref="F1380:F1382"/>
    <mergeCell ref="G1380:G1382"/>
    <mergeCell ref="A1355:A1357"/>
    <mergeCell ref="B1355:B1357"/>
    <mergeCell ref="C1355:C1357"/>
    <mergeCell ref="D1355:D1357"/>
    <mergeCell ref="E1355:E1357"/>
    <mergeCell ref="F1355:F1357"/>
    <mergeCell ref="G1355:G1357"/>
    <mergeCell ref="A1377:A1379"/>
    <mergeCell ref="B1377:B1379"/>
    <mergeCell ref="C1377:C1379"/>
    <mergeCell ref="D1377:D1379"/>
    <mergeCell ref="E1377:E1379"/>
    <mergeCell ref="A1358:A1376"/>
    <mergeCell ref="B1358:B1376"/>
    <mergeCell ref="C1358:C1376"/>
    <mergeCell ref="D1358:D1376"/>
    <mergeCell ref="E1358:E1376"/>
    <mergeCell ref="A1394:A1396"/>
    <mergeCell ref="B1394:B1396"/>
    <mergeCell ref="C1394:C1396"/>
    <mergeCell ref="D1394:D1396"/>
    <mergeCell ref="E1394:E1396"/>
    <mergeCell ref="F1394:F1396"/>
    <mergeCell ref="G1394:G1396"/>
    <mergeCell ref="A1397:A1399"/>
    <mergeCell ref="B1397:B1399"/>
    <mergeCell ref="C1397:C1399"/>
    <mergeCell ref="D1397:D1399"/>
    <mergeCell ref="E1397:E1399"/>
    <mergeCell ref="F1397:F1399"/>
    <mergeCell ref="G1397:G1399"/>
    <mergeCell ref="E1413:E1415"/>
    <mergeCell ref="F1413:F1415"/>
    <mergeCell ref="G1413:G1415"/>
    <mergeCell ref="C1458:C1460"/>
    <mergeCell ref="D1458:D1460"/>
    <mergeCell ref="E1458:E1460"/>
    <mergeCell ref="F1458:F1460"/>
    <mergeCell ref="A1451:A1457"/>
    <mergeCell ref="B1416:B1418"/>
    <mergeCell ref="C1416:C1418"/>
    <mergeCell ref="D1416:D1418"/>
    <mergeCell ref="E1416:E1418"/>
    <mergeCell ref="F1416:F1418"/>
    <mergeCell ref="G1416:G1418"/>
    <mergeCell ref="G1408:G1409"/>
    <mergeCell ref="G1404:G1405"/>
    <mergeCell ref="G1406:G1407"/>
    <mergeCell ref="A1413:A1415"/>
    <mergeCell ref="B1413:B1415"/>
    <mergeCell ref="C1413:C1415"/>
    <mergeCell ref="D1413:D1415"/>
    <mergeCell ref="C1468:C1469"/>
    <mergeCell ref="D1468:D1469"/>
    <mergeCell ref="E1468:E1469"/>
    <mergeCell ref="F1468:F1469"/>
    <mergeCell ref="C1474:C1475"/>
    <mergeCell ref="G1445:G1446"/>
    <mergeCell ref="G1447:G1448"/>
    <mergeCell ref="G1449:G1450"/>
    <mergeCell ref="A1441:A1443"/>
    <mergeCell ref="B1441:B1443"/>
    <mergeCell ref="C1441:C1443"/>
    <mergeCell ref="D1441:D1443"/>
    <mergeCell ref="A1461:A1467"/>
    <mergeCell ref="B1461:B1467"/>
    <mergeCell ref="G1454:G1455"/>
    <mergeCell ref="G1456:G1457"/>
    <mergeCell ref="A1419:A1420"/>
    <mergeCell ref="B1419:B1420"/>
    <mergeCell ref="C1419:C1420"/>
    <mergeCell ref="D1419:D1420"/>
    <mergeCell ref="E1419:E1420"/>
    <mergeCell ref="F1419:F1420"/>
    <mergeCell ref="A1425:A1426"/>
    <mergeCell ref="B1425:B1426"/>
    <mergeCell ref="C1425:C1426"/>
    <mergeCell ref="D1425:D1426"/>
    <mergeCell ref="E1425:E1426"/>
    <mergeCell ref="F1425:F1426"/>
    <mergeCell ref="G1425:G1426"/>
    <mergeCell ref="G1419:G1420"/>
    <mergeCell ref="A1458:A1460"/>
    <mergeCell ref="B1458:B1460"/>
    <mergeCell ref="B1515:B1517"/>
    <mergeCell ref="C1515:C1517"/>
    <mergeCell ref="D1515:D1517"/>
    <mergeCell ref="E1515:E1517"/>
    <mergeCell ref="F1515:F1517"/>
    <mergeCell ref="G1515:G1517"/>
    <mergeCell ref="A1488:A1489"/>
    <mergeCell ref="B1488:B1489"/>
    <mergeCell ref="C1488:C1489"/>
    <mergeCell ref="B1451:B1457"/>
    <mergeCell ref="C1451:C1457"/>
    <mergeCell ref="D1451:D1457"/>
    <mergeCell ref="E1451:E1457"/>
    <mergeCell ref="F1451:F1457"/>
    <mergeCell ref="C1461:C1467"/>
    <mergeCell ref="D1461:D1467"/>
    <mergeCell ref="E1461:E1467"/>
    <mergeCell ref="F1461:F1467"/>
    <mergeCell ref="F1505:F1507"/>
    <mergeCell ref="G1505:G1507"/>
    <mergeCell ref="G1488:G1489"/>
    <mergeCell ref="A1490:A1496"/>
    <mergeCell ref="B1490:B1496"/>
    <mergeCell ref="C1490:C1496"/>
    <mergeCell ref="D1490:D1496"/>
    <mergeCell ref="E1490:E1496"/>
    <mergeCell ref="F1503:F1504"/>
    <mergeCell ref="G1503:G1504"/>
    <mergeCell ref="A1505:A1507"/>
    <mergeCell ref="B1505:B1507"/>
    <mergeCell ref="C1505:C1507"/>
    <mergeCell ref="A1476:A1478"/>
    <mergeCell ref="C1522:C1524"/>
    <mergeCell ref="D1522:D1524"/>
    <mergeCell ref="E1522:E1524"/>
    <mergeCell ref="G1468:G1469"/>
    <mergeCell ref="E1470:E1471"/>
    <mergeCell ref="F1470:F1471"/>
    <mergeCell ref="G1470:G1471"/>
    <mergeCell ref="A1472:A1473"/>
    <mergeCell ref="B1472:B1473"/>
    <mergeCell ref="C1472:C1473"/>
    <mergeCell ref="D1472:D1473"/>
    <mergeCell ref="E1472:E1473"/>
    <mergeCell ref="F1472:F1473"/>
    <mergeCell ref="G1472:G1473"/>
    <mergeCell ref="A1470:A1471"/>
    <mergeCell ref="B1470:B1471"/>
    <mergeCell ref="C1470:C1471"/>
    <mergeCell ref="D1470:D1471"/>
    <mergeCell ref="A1518:A1519"/>
    <mergeCell ref="B1518:B1519"/>
    <mergeCell ref="B1474:B1475"/>
    <mergeCell ref="A1479:A1482"/>
    <mergeCell ref="B1479:B1482"/>
    <mergeCell ref="C1479:C1482"/>
    <mergeCell ref="D1479:D1482"/>
    <mergeCell ref="E1479:E1482"/>
    <mergeCell ref="C1518:C1519"/>
    <mergeCell ref="D1518:D1519"/>
    <mergeCell ref="E1518:E1519"/>
    <mergeCell ref="F1518:F1519"/>
    <mergeCell ref="G1518:G1519"/>
    <mergeCell ref="A1515:A1517"/>
    <mergeCell ref="A1532:A1533"/>
    <mergeCell ref="B1532:B1533"/>
    <mergeCell ref="C1532:C1533"/>
    <mergeCell ref="D1532:D1533"/>
    <mergeCell ref="E1532:E1533"/>
    <mergeCell ref="F1532:F1533"/>
    <mergeCell ref="G1532:G1533"/>
    <mergeCell ref="B1550:B1552"/>
    <mergeCell ref="C1550:C1552"/>
    <mergeCell ref="D1550:D1552"/>
    <mergeCell ref="G1561:G1562"/>
    <mergeCell ref="G1563:G1564"/>
    <mergeCell ref="A1536:A1538"/>
    <mergeCell ref="B1536:B1538"/>
    <mergeCell ref="C1536:C1538"/>
    <mergeCell ref="D1536:D1538"/>
    <mergeCell ref="E1536:E1538"/>
    <mergeCell ref="F1536:F1538"/>
    <mergeCell ref="G1536:G1537"/>
    <mergeCell ref="D1539:D1547"/>
    <mergeCell ref="E1539:E1547"/>
    <mergeCell ref="F1539:F1547"/>
    <mergeCell ref="G1540:G1541"/>
    <mergeCell ref="G1542:G1543"/>
    <mergeCell ref="G1544:G1545"/>
    <mergeCell ref="G1546:G1547"/>
    <mergeCell ref="A1539:A1547"/>
    <mergeCell ref="B1539:B1547"/>
    <mergeCell ref="C1539:C1547"/>
    <mergeCell ref="A1548:A1549"/>
    <mergeCell ref="B1548:B1549"/>
    <mergeCell ref="C1548:C1549"/>
    <mergeCell ref="D1548:D1549"/>
    <mergeCell ref="E1548:E1549"/>
    <mergeCell ref="A1550:A1552"/>
    <mergeCell ref="F1548:F1549"/>
    <mergeCell ref="G1548:G1549"/>
    <mergeCell ref="E1550:E1552"/>
    <mergeCell ref="F1550:F1552"/>
    <mergeCell ref="C1745:C1751"/>
    <mergeCell ref="D1745:D1751"/>
    <mergeCell ref="E1745:E1751"/>
    <mergeCell ref="F1745:F1751"/>
    <mergeCell ref="G1746:G1748"/>
    <mergeCell ref="G1749:G1751"/>
    <mergeCell ref="A1560:A1566"/>
    <mergeCell ref="B1560:B1566"/>
    <mergeCell ref="C1560:C1566"/>
    <mergeCell ref="D1560:D1566"/>
    <mergeCell ref="E1560:E1566"/>
    <mergeCell ref="F1560:F1566"/>
    <mergeCell ref="E1567:E1573"/>
    <mergeCell ref="F1567:F1573"/>
    <mergeCell ref="G1568:G1569"/>
    <mergeCell ref="G1558:G1559"/>
    <mergeCell ref="B1578:B1582"/>
    <mergeCell ref="C1578:C1582"/>
    <mergeCell ref="D1578:D1582"/>
    <mergeCell ref="E1578:E1582"/>
    <mergeCell ref="F1578:F1582"/>
    <mergeCell ref="C1641:C1643"/>
    <mergeCell ref="D1641:D1643"/>
    <mergeCell ref="E1641:E1643"/>
    <mergeCell ref="F1641:F1643"/>
    <mergeCell ref="C1755:C1757"/>
    <mergeCell ref="D1755:D1757"/>
    <mergeCell ref="E1755:E1757"/>
    <mergeCell ref="F1755:F1757"/>
    <mergeCell ref="A1758:A1759"/>
    <mergeCell ref="B1758:B1759"/>
    <mergeCell ref="C1758:C1759"/>
    <mergeCell ref="D1758:D1759"/>
    <mergeCell ref="E1758:E1759"/>
    <mergeCell ref="F1758:F1759"/>
    <mergeCell ref="G1758:G1759"/>
    <mergeCell ref="A1760:A1766"/>
    <mergeCell ref="B1760:B1766"/>
    <mergeCell ref="C1760:C1766"/>
    <mergeCell ref="D1760:D1766"/>
    <mergeCell ref="E1760:E1766"/>
    <mergeCell ref="F1760:F1766"/>
    <mergeCell ref="G1761:G1763"/>
    <mergeCell ref="G1764:G1766"/>
    <mergeCell ref="E1778:E1779"/>
    <mergeCell ref="F1778:F1779"/>
    <mergeCell ref="G1778:G1779"/>
    <mergeCell ref="A1767:A1769"/>
    <mergeCell ref="B1767:B1769"/>
    <mergeCell ref="C1767:C1769"/>
    <mergeCell ref="D1767:D1769"/>
    <mergeCell ref="E1767:E1769"/>
    <mergeCell ref="F1767:F1769"/>
    <mergeCell ref="G1767:G1769"/>
    <mergeCell ref="A1770:A1771"/>
    <mergeCell ref="B1770:B1771"/>
    <mergeCell ref="C1770:C1771"/>
    <mergeCell ref="D1770:D1771"/>
    <mergeCell ref="E1770:E1771"/>
    <mergeCell ref="F1770:F1771"/>
    <mergeCell ref="G1770:G1771"/>
    <mergeCell ref="A1772:A1774"/>
    <mergeCell ref="B1772:B1774"/>
    <mergeCell ref="C1772:C1774"/>
    <mergeCell ref="D1772:D1774"/>
    <mergeCell ref="A1775:A1777"/>
    <mergeCell ref="B1775:B1777"/>
    <mergeCell ref="C1775:C1777"/>
    <mergeCell ref="D1775:D1777"/>
    <mergeCell ref="E1775:E1777"/>
    <mergeCell ref="F1775:F1777"/>
    <mergeCell ref="G1775:G1777"/>
    <mergeCell ref="G1772:G1774"/>
    <mergeCell ref="A1778:A1779"/>
    <mergeCell ref="B1778:B1779"/>
    <mergeCell ref="C1778:C1779"/>
    <mergeCell ref="C1780:C1782"/>
    <mergeCell ref="D1780:D1782"/>
    <mergeCell ref="E1780:E1782"/>
    <mergeCell ref="F1780:F1782"/>
    <mergeCell ref="G1780:G1782"/>
    <mergeCell ref="A1783:A1785"/>
    <mergeCell ref="B1783:B1785"/>
    <mergeCell ref="C1783:C1785"/>
    <mergeCell ref="D1783:D1785"/>
    <mergeCell ref="E1783:E1785"/>
    <mergeCell ref="F1783:F1785"/>
    <mergeCell ref="G1783:G1785"/>
    <mergeCell ref="A1786:A1788"/>
    <mergeCell ref="B1786:B1788"/>
    <mergeCell ref="C1786:C1788"/>
    <mergeCell ref="D1786:D1788"/>
    <mergeCell ref="G1786:G1788"/>
    <mergeCell ref="D1778:D1779"/>
    <mergeCell ref="A1791:A1793"/>
    <mergeCell ref="B1791:B1793"/>
    <mergeCell ref="C1791:C1793"/>
    <mergeCell ref="D1791:D1793"/>
    <mergeCell ref="E1791:E1793"/>
    <mergeCell ref="F1791:F1793"/>
    <mergeCell ref="G1792:G1793"/>
    <mergeCell ref="A1794:A1795"/>
    <mergeCell ref="B1794:B1795"/>
    <mergeCell ref="C1794:C1795"/>
    <mergeCell ref="D1794:D1795"/>
    <mergeCell ref="E1794:E1795"/>
    <mergeCell ref="F1794:F1795"/>
    <mergeCell ref="G1794:G1795"/>
    <mergeCell ref="A1799:A1805"/>
    <mergeCell ref="B1799:B1805"/>
    <mergeCell ref="C1799:C1805"/>
    <mergeCell ref="D1799:D1805"/>
    <mergeCell ref="E1799:E1805"/>
    <mergeCell ref="F1799:F1805"/>
    <mergeCell ref="G1803:G1805"/>
    <mergeCell ref="A1796:A1798"/>
    <mergeCell ref="B1796:B1798"/>
    <mergeCell ref="C1796:C1798"/>
    <mergeCell ref="D1796:D1798"/>
    <mergeCell ref="E1796:E1798"/>
    <mergeCell ref="F1796:F1798"/>
    <mergeCell ref="G1796:G1798"/>
    <mergeCell ref="G1800:G1802"/>
    <mergeCell ref="A1780:A1782"/>
    <mergeCell ref="B1780:B1782"/>
    <mergeCell ref="A1806:A1812"/>
    <mergeCell ref="G1815:G1817"/>
    <mergeCell ref="G1824:G1825"/>
    <mergeCell ref="G1826:G1827"/>
    <mergeCell ref="G1828:G1829"/>
    <mergeCell ref="G1830:G1832"/>
    <mergeCell ref="A1833:A1834"/>
    <mergeCell ref="B1833:B1834"/>
    <mergeCell ref="C1833:C1834"/>
    <mergeCell ref="D1833:D1834"/>
    <mergeCell ref="E1833:E1834"/>
    <mergeCell ref="F1833:F1834"/>
    <mergeCell ref="G1833:G1834"/>
    <mergeCell ref="B1806:B1812"/>
    <mergeCell ref="C1806:C1812"/>
    <mergeCell ref="D1806:D1812"/>
    <mergeCell ref="A1815:A1817"/>
    <mergeCell ref="B1815:B1817"/>
    <mergeCell ref="C1815:C1817"/>
    <mergeCell ref="D1815:D1817"/>
    <mergeCell ref="E1815:E1817"/>
    <mergeCell ref="F1815:F1817"/>
    <mergeCell ref="A1818:A1819"/>
    <mergeCell ref="B1818:B1819"/>
    <mergeCell ref="C1818:C1819"/>
    <mergeCell ref="D1818:D1819"/>
    <mergeCell ref="A1823:A1832"/>
    <mergeCell ref="B1823:B1832"/>
    <mergeCell ref="C1823:C1832"/>
    <mergeCell ref="D1823:D1832"/>
    <mergeCell ref="E1823:E1832"/>
    <mergeCell ref="A1820:A1822"/>
    <mergeCell ref="B1863:B1865"/>
    <mergeCell ref="C1863:C1865"/>
    <mergeCell ref="D1863:D1865"/>
    <mergeCell ref="A1866:A1869"/>
    <mergeCell ref="B1866:B1869"/>
    <mergeCell ref="D1848:D1850"/>
    <mergeCell ref="E1848:E1850"/>
    <mergeCell ref="F1848:F1850"/>
    <mergeCell ref="A1851:A1853"/>
    <mergeCell ref="F1851:F1853"/>
    <mergeCell ref="B1851:B1853"/>
    <mergeCell ref="F1863:F1865"/>
    <mergeCell ref="A1854:A1855"/>
    <mergeCell ref="A1856:A1862"/>
    <mergeCell ref="B1856:B1862"/>
    <mergeCell ref="C1856:C1862"/>
    <mergeCell ref="D1856:D1862"/>
    <mergeCell ref="E1856:E1862"/>
    <mergeCell ref="F1856:F1862"/>
    <mergeCell ref="C1866:C1869"/>
    <mergeCell ref="D1866:D1869"/>
    <mergeCell ref="E1866:E1869"/>
    <mergeCell ref="B1854:B1855"/>
    <mergeCell ref="B1870:B1872"/>
    <mergeCell ref="C1870:C1872"/>
    <mergeCell ref="A2901:A2903"/>
    <mergeCell ref="B2901:B2903"/>
    <mergeCell ref="C2901:C2903"/>
    <mergeCell ref="D2901:D2903"/>
    <mergeCell ref="E2901:E2903"/>
    <mergeCell ref="F2901:F2903"/>
    <mergeCell ref="E2588:E2590"/>
    <mergeCell ref="F2588:F2590"/>
    <mergeCell ref="F1936:F1938"/>
    <mergeCell ref="F2583:F2584"/>
    <mergeCell ref="E2573:E2575"/>
    <mergeCell ref="F2573:F2575"/>
    <mergeCell ref="A2549:A2551"/>
    <mergeCell ref="B2549:B2551"/>
    <mergeCell ref="C2549:C2551"/>
    <mergeCell ref="D2549:D2551"/>
    <mergeCell ref="E2549:E2551"/>
    <mergeCell ref="E2579:E2580"/>
    <mergeCell ref="C1930:C1931"/>
    <mergeCell ref="D1930:D1931"/>
    <mergeCell ref="E1930:E1931"/>
    <mergeCell ref="F1930:F1931"/>
    <mergeCell ref="A1905:A1908"/>
    <mergeCell ref="B1905:B1908"/>
    <mergeCell ref="D2099:D2111"/>
    <mergeCell ref="E2099:E2111"/>
    <mergeCell ref="D2833:D2835"/>
    <mergeCell ref="A1895:A1898"/>
    <mergeCell ref="A2585:A2587"/>
    <mergeCell ref="B2585:B2587"/>
    <mergeCell ref="F2776:F2778"/>
    <mergeCell ref="E2828:E2830"/>
    <mergeCell ref="E1883:E1884"/>
    <mergeCell ref="F1883:F1884"/>
    <mergeCell ref="A1885:A1889"/>
    <mergeCell ref="B1885:B1889"/>
    <mergeCell ref="C1885:C1889"/>
    <mergeCell ref="D1885:D1889"/>
    <mergeCell ref="A2576:A2578"/>
    <mergeCell ref="B2576:B2578"/>
    <mergeCell ref="C2576:C2578"/>
    <mergeCell ref="D2576:D2578"/>
    <mergeCell ref="E2576:E2578"/>
    <mergeCell ref="F2576:F2578"/>
    <mergeCell ref="A2579:A2580"/>
    <mergeCell ref="B2579:B2580"/>
    <mergeCell ref="C2579:C2580"/>
    <mergeCell ref="D2579:D2580"/>
    <mergeCell ref="C2585:C2587"/>
    <mergeCell ref="E2768:E2769"/>
    <mergeCell ref="F2768:F2769"/>
    <mergeCell ref="B2636:B2637"/>
    <mergeCell ref="C2636:C2637"/>
    <mergeCell ref="D2636:D2637"/>
    <mergeCell ref="E2636:E2637"/>
    <mergeCell ref="F2636:F2637"/>
    <mergeCell ref="C2765:C2767"/>
    <mergeCell ref="D2765:D2767"/>
    <mergeCell ref="E2765:E2767"/>
    <mergeCell ref="F2765:F2767"/>
    <mergeCell ref="C2711:C2713"/>
    <mergeCell ref="D2711:D2713"/>
    <mergeCell ref="D2638:D2640"/>
    <mergeCell ref="E2638:E2640"/>
    <mergeCell ref="F2638:F2640"/>
    <mergeCell ref="G2638:G2640"/>
    <mergeCell ref="A2641:A2643"/>
    <mergeCell ref="B2641:B2643"/>
    <mergeCell ref="C2641:C2643"/>
    <mergeCell ref="A1873:A1877"/>
    <mergeCell ref="B1873:B1877"/>
    <mergeCell ref="C1873:C1877"/>
    <mergeCell ref="D1873:D1877"/>
    <mergeCell ref="E1873:E1877"/>
    <mergeCell ref="F1873:F1877"/>
    <mergeCell ref="A2583:A2584"/>
    <mergeCell ref="B2583:B2584"/>
    <mergeCell ref="C2583:C2584"/>
    <mergeCell ref="D2583:D2584"/>
    <mergeCell ref="E2583:E2584"/>
    <mergeCell ref="C2588:C2590"/>
    <mergeCell ref="D2588:D2590"/>
    <mergeCell ref="G2636:G2637"/>
    <mergeCell ref="B2555:B2559"/>
    <mergeCell ref="C2555:C2559"/>
    <mergeCell ref="D2555:D2559"/>
    <mergeCell ref="E2555:E2559"/>
    <mergeCell ref="D2534:D2536"/>
    <mergeCell ref="E2534:E2536"/>
    <mergeCell ref="F2534:F2536"/>
    <mergeCell ref="G2534:G2536"/>
    <mergeCell ref="A2532:A2533"/>
    <mergeCell ref="A2542:A2546"/>
    <mergeCell ref="B2542:B2546"/>
    <mergeCell ref="A2653:A2654"/>
    <mergeCell ref="B2653:B2654"/>
    <mergeCell ref="C2653:C2654"/>
    <mergeCell ref="D2653:D2654"/>
    <mergeCell ref="E2653:E2654"/>
    <mergeCell ref="F2653:F2654"/>
    <mergeCell ref="G2653:G2654"/>
    <mergeCell ref="C2667:C2669"/>
    <mergeCell ref="D2667:D2669"/>
    <mergeCell ref="G2711:G2713"/>
    <mergeCell ref="A2719:A2721"/>
    <mergeCell ref="B2719:B2721"/>
    <mergeCell ref="C2719:C2721"/>
    <mergeCell ref="D2719:D2721"/>
    <mergeCell ref="E2719:E2721"/>
    <mergeCell ref="F2656:F2657"/>
    <mergeCell ref="C2701:C2704"/>
    <mergeCell ref="E2711:E2713"/>
    <mergeCell ref="F2711:F2713"/>
    <mergeCell ref="F2719:F2721"/>
    <mergeCell ref="A2708:A2710"/>
    <mergeCell ref="B2708:B2710"/>
    <mergeCell ref="C2708:C2710"/>
    <mergeCell ref="D2708:D2710"/>
    <mergeCell ref="A2789:A2791"/>
    <mergeCell ref="B2789:B2791"/>
    <mergeCell ref="C2789:C2791"/>
    <mergeCell ref="D2789:D2791"/>
    <mergeCell ref="E2789:E2791"/>
    <mergeCell ref="E2776:E2778"/>
    <mergeCell ref="G2831:G2832"/>
    <mergeCell ref="B2898:B2900"/>
    <mergeCell ref="C2898:C2900"/>
    <mergeCell ref="E2833:E2835"/>
    <mergeCell ref="F2833:F2835"/>
    <mergeCell ref="G2833:G2835"/>
    <mergeCell ref="G2887:G2888"/>
    <mergeCell ref="A2782:A2788"/>
    <mergeCell ref="G2776:G2778"/>
    <mergeCell ref="A2779:A2781"/>
    <mergeCell ref="B2779:B2781"/>
    <mergeCell ref="C2779:C2781"/>
    <mergeCell ref="D2779:D2781"/>
    <mergeCell ref="A2831:A2832"/>
    <mergeCell ref="B2831:B2832"/>
    <mergeCell ref="C2831:C2832"/>
    <mergeCell ref="D2831:D2832"/>
    <mergeCell ref="E2831:E2832"/>
    <mergeCell ref="F2831:F2832"/>
    <mergeCell ref="A2833:A2835"/>
    <mergeCell ref="B2833:B2835"/>
    <mergeCell ref="C2833:C2835"/>
    <mergeCell ref="D2776:D2778"/>
    <mergeCell ref="A2776:A2778"/>
    <mergeCell ref="F2887:F2888"/>
    <mergeCell ref="G2873:G2874"/>
    <mergeCell ref="A1902:A1904"/>
    <mergeCell ref="B1902:B1904"/>
    <mergeCell ref="C1902:C1904"/>
    <mergeCell ref="D1902:D1904"/>
    <mergeCell ref="E1902:E1904"/>
    <mergeCell ref="A2914:A2916"/>
    <mergeCell ref="B2914:B2916"/>
    <mergeCell ref="C2914:C2916"/>
    <mergeCell ref="D2914:D2916"/>
    <mergeCell ref="E2914:E2916"/>
    <mergeCell ref="F2914:F2916"/>
    <mergeCell ref="G2915:G2916"/>
    <mergeCell ref="A2917:A2921"/>
    <mergeCell ref="B2917:B2921"/>
    <mergeCell ref="C2917:C2921"/>
    <mergeCell ref="D2917:D2921"/>
    <mergeCell ref="E2917:E2921"/>
    <mergeCell ref="F2917:F2921"/>
    <mergeCell ref="G2918:G2919"/>
    <mergeCell ref="G2920:G2921"/>
    <mergeCell ref="A2904:A2910"/>
    <mergeCell ref="B2904:B2910"/>
    <mergeCell ref="C2904:C2910"/>
    <mergeCell ref="D2904:D2910"/>
    <mergeCell ref="E2904:E2910"/>
    <mergeCell ref="F2904:F2910"/>
    <mergeCell ref="G2905:G2908"/>
    <mergeCell ref="G2909:G2910"/>
    <mergeCell ref="A2898:A2900"/>
    <mergeCell ref="G2898:G2900"/>
    <mergeCell ref="C2776:C2778"/>
    <mergeCell ref="B2782:B2788"/>
    <mergeCell ref="B2939:B2941"/>
    <mergeCell ref="C2939:C2941"/>
    <mergeCell ref="D2939:D2941"/>
    <mergeCell ref="E2939:E2941"/>
    <mergeCell ref="F2939:F2941"/>
    <mergeCell ref="G2939:G2941"/>
    <mergeCell ref="G2923:G2924"/>
    <mergeCell ref="G2925:G2926"/>
    <mergeCell ref="A2927:A2929"/>
    <mergeCell ref="B2927:B2929"/>
    <mergeCell ref="C2927:C2929"/>
    <mergeCell ref="D2927:D2929"/>
    <mergeCell ref="E2927:E2929"/>
    <mergeCell ref="F2927:F2929"/>
    <mergeCell ref="G2927:G2929"/>
    <mergeCell ref="A2930:A2932"/>
    <mergeCell ref="B2930:B2932"/>
    <mergeCell ref="C2930:C2932"/>
    <mergeCell ref="D2930:D2932"/>
    <mergeCell ref="E2930:E2932"/>
    <mergeCell ref="F2930:F2932"/>
    <mergeCell ref="G2930:G2932"/>
    <mergeCell ref="C2922:C2926"/>
    <mergeCell ref="D2922:D2926"/>
    <mergeCell ref="E2922:E2926"/>
    <mergeCell ref="F2922:F2926"/>
    <mergeCell ref="A2954:A2958"/>
    <mergeCell ref="B2954:B2958"/>
    <mergeCell ref="C2954:C2958"/>
    <mergeCell ref="D2954:D2958"/>
    <mergeCell ref="E2954:E2958"/>
    <mergeCell ref="F2954:F2958"/>
    <mergeCell ref="G2955:G2956"/>
    <mergeCell ref="G2957:G2958"/>
    <mergeCell ref="A2942:A2950"/>
    <mergeCell ref="B2942:B2950"/>
    <mergeCell ref="C2942:C2950"/>
    <mergeCell ref="D2942:D2950"/>
    <mergeCell ref="E2942:E2950"/>
    <mergeCell ref="F2942:F2950"/>
    <mergeCell ref="G2960:G2961"/>
    <mergeCell ref="A2933:A2935"/>
    <mergeCell ref="B2933:B2935"/>
    <mergeCell ref="C2933:C2935"/>
    <mergeCell ref="D2933:D2935"/>
    <mergeCell ref="E2933:E2935"/>
    <mergeCell ref="F2933:F2935"/>
    <mergeCell ref="G2933:G2935"/>
    <mergeCell ref="G2943:G2946"/>
    <mergeCell ref="G2947:G2948"/>
    <mergeCell ref="G2949:G2950"/>
    <mergeCell ref="A2951:A2953"/>
    <mergeCell ref="B2951:B2953"/>
    <mergeCell ref="C2951:C2953"/>
    <mergeCell ref="D2951:D2953"/>
    <mergeCell ref="E2951:E2953"/>
    <mergeCell ref="F2951:F2953"/>
    <mergeCell ref="A2936:A2938"/>
    <mergeCell ref="A2964:A2970"/>
    <mergeCell ref="B2964:B2970"/>
    <mergeCell ref="C2964:C2970"/>
    <mergeCell ref="D2964:D2970"/>
    <mergeCell ref="E2964:E2970"/>
    <mergeCell ref="F2964:F2970"/>
    <mergeCell ref="G2969:G2970"/>
    <mergeCell ref="A2971:A2973"/>
    <mergeCell ref="B2971:B2973"/>
    <mergeCell ref="C2971:C2973"/>
    <mergeCell ref="D2971:D2973"/>
    <mergeCell ref="E2971:E2973"/>
    <mergeCell ref="F2971:F2973"/>
    <mergeCell ref="G2971:G2973"/>
    <mergeCell ref="G2965:G2966"/>
    <mergeCell ref="A2974:A2976"/>
    <mergeCell ref="A2988:A2990"/>
    <mergeCell ref="B2988:B2990"/>
    <mergeCell ref="C2988:C2990"/>
    <mergeCell ref="D2988:D2990"/>
    <mergeCell ref="E2988:E2990"/>
    <mergeCell ref="F2988:F2990"/>
    <mergeCell ref="G2988:G2990"/>
    <mergeCell ref="A2977:A2979"/>
    <mergeCell ref="B2977:B2979"/>
    <mergeCell ref="C2977:C2979"/>
    <mergeCell ref="D2977:D2979"/>
    <mergeCell ref="E2977:E2979"/>
    <mergeCell ref="F2977:F2979"/>
    <mergeCell ref="G2977:G2979"/>
    <mergeCell ref="A2985:A2987"/>
    <mergeCell ref="B2985:B2987"/>
    <mergeCell ref="E2980:E2984"/>
    <mergeCell ref="F2980:F2984"/>
    <mergeCell ref="G2980:G2982"/>
    <mergeCell ref="G3024:G3026"/>
    <mergeCell ref="A3013:A3017"/>
    <mergeCell ref="B3013:B3017"/>
    <mergeCell ref="C3013:C3017"/>
    <mergeCell ref="D3013:D3017"/>
    <mergeCell ref="E3013:E3017"/>
    <mergeCell ref="F3013:F3017"/>
    <mergeCell ref="G3014:G3015"/>
    <mergeCell ref="G3016:G3017"/>
    <mergeCell ref="G3001:G3002"/>
    <mergeCell ref="G3003:G3004"/>
    <mergeCell ref="G3005:G3006"/>
    <mergeCell ref="D3018:D3020"/>
    <mergeCell ref="E3018:E3020"/>
    <mergeCell ref="F3018:F3020"/>
    <mergeCell ref="G3018:G3020"/>
    <mergeCell ref="A3007:A3009"/>
    <mergeCell ref="B3007:B3009"/>
    <mergeCell ref="G2983:G2984"/>
    <mergeCell ref="E3021:E3023"/>
    <mergeCell ref="E2985:E2987"/>
    <mergeCell ref="A3027:A3029"/>
    <mergeCell ref="B3027:B3029"/>
    <mergeCell ref="C3027:C3029"/>
    <mergeCell ref="D3027:D3029"/>
    <mergeCell ref="E3027:E3029"/>
    <mergeCell ref="F3027:F3029"/>
    <mergeCell ref="G3027:G3029"/>
    <mergeCell ref="G3045:G3047"/>
    <mergeCell ref="F3021:F3023"/>
    <mergeCell ref="G3021:G3023"/>
    <mergeCell ref="A3021:A3023"/>
    <mergeCell ref="B3021:B3023"/>
    <mergeCell ref="C3021:C3023"/>
    <mergeCell ref="D3021:D3023"/>
    <mergeCell ref="A3033:A3035"/>
    <mergeCell ref="B3033:B3035"/>
    <mergeCell ref="C3033:C3035"/>
    <mergeCell ref="D3033:D3035"/>
    <mergeCell ref="E3033:E3035"/>
    <mergeCell ref="F3033:F3035"/>
    <mergeCell ref="A3036:A3038"/>
    <mergeCell ref="B3036:B3038"/>
    <mergeCell ref="C3036:C3038"/>
    <mergeCell ref="D3036:D3038"/>
    <mergeCell ref="E3036:E3038"/>
    <mergeCell ref="A3024:A3026"/>
    <mergeCell ref="B3024:B3026"/>
    <mergeCell ref="C3024:C3026"/>
    <mergeCell ref="D3024:D3026"/>
    <mergeCell ref="E3024:E3026"/>
    <mergeCell ref="F3024:F3026"/>
    <mergeCell ref="D3030:D3032"/>
    <mergeCell ref="E3030:E3032"/>
    <mergeCell ref="F3030:F3032"/>
    <mergeCell ref="G3030:G3032"/>
    <mergeCell ref="A3030:A3032"/>
    <mergeCell ref="B3030:B3032"/>
    <mergeCell ref="B3057:B3059"/>
    <mergeCell ref="C3057:C3059"/>
    <mergeCell ref="D3057:D3059"/>
    <mergeCell ref="E3057:E3059"/>
    <mergeCell ref="F3057:F3059"/>
    <mergeCell ref="G3057:G3059"/>
    <mergeCell ref="C3030:C3032"/>
    <mergeCell ref="A3042:A3044"/>
    <mergeCell ref="B3042:B3044"/>
    <mergeCell ref="C3042:C3044"/>
    <mergeCell ref="D3042:D3044"/>
    <mergeCell ref="E3042:E3044"/>
    <mergeCell ref="F3042:F3044"/>
    <mergeCell ref="A3045:A3047"/>
    <mergeCell ref="B3045:B3047"/>
    <mergeCell ref="C3045:C3047"/>
    <mergeCell ref="D3045:D3047"/>
    <mergeCell ref="E3045:E3047"/>
    <mergeCell ref="B3051:B3053"/>
    <mergeCell ref="C3051:C3053"/>
    <mergeCell ref="D3051:D3053"/>
    <mergeCell ref="E3051:E3053"/>
    <mergeCell ref="F3051:F3053"/>
    <mergeCell ref="F3045:F3047"/>
    <mergeCell ref="A3039:A3041"/>
    <mergeCell ref="B3039:B3041"/>
    <mergeCell ref="C3039:C3041"/>
    <mergeCell ref="F3088:F3092"/>
    <mergeCell ref="G3089:G3090"/>
    <mergeCell ref="G3091:G3092"/>
    <mergeCell ref="F3075:F3081"/>
    <mergeCell ref="G3076:G3077"/>
    <mergeCell ref="G3078:G3079"/>
    <mergeCell ref="D3039:D3041"/>
    <mergeCell ref="E3039:E3041"/>
    <mergeCell ref="A3048:A3050"/>
    <mergeCell ref="B3048:B3050"/>
    <mergeCell ref="A3063:A3065"/>
    <mergeCell ref="B3063:B3065"/>
    <mergeCell ref="C3063:C3065"/>
    <mergeCell ref="D3063:D3065"/>
    <mergeCell ref="E3063:E3065"/>
    <mergeCell ref="F3063:F3065"/>
    <mergeCell ref="A3060:A3062"/>
    <mergeCell ref="B3060:B3062"/>
    <mergeCell ref="C3060:C3062"/>
    <mergeCell ref="D3060:D3062"/>
    <mergeCell ref="E3060:E3062"/>
    <mergeCell ref="F3060:F3062"/>
    <mergeCell ref="A3054:A3056"/>
    <mergeCell ref="B3054:B3056"/>
    <mergeCell ref="C3054:C3056"/>
    <mergeCell ref="D3054:D3056"/>
    <mergeCell ref="E3054:E3056"/>
    <mergeCell ref="F3054:F3056"/>
    <mergeCell ref="C3048:C3050"/>
    <mergeCell ref="G3042:G3044"/>
    <mergeCell ref="G3080:G3081"/>
    <mergeCell ref="A3085:A3087"/>
    <mergeCell ref="G3054:G3056"/>
    <mergeCell ref="A3057:A3059"/>
    <mergeCell ref="A3072:A3074"/>
    <mergeCell ref="B3072:B3074"/>
    <mergeCell ref="C3072:C3074"/>
    <mergeCell ref="D3072:D3074"/>
    <mergeCell ref="E3072:E3074"/>
    <mergeCell ref="F3072:F3074"/>
    <mergeCell ref="G3072:G3074"/>
    <mergeCell ref="A3069:A3071"/>
    <mergeCell ref="B3069:B3071"/>
    <mergeCell ref="C3069:C3071"/>
    <mergeCell ref="D3069:D3071"/>
    <mergeCell ref="E3069:E3071"/>
    <mergeCell ref="F3069:F3071"/>
    <mergeCell ref="G3069:G3071"/>
    <mergeCell ref="G3063:G3065"/>
    <mergeCell ref="G3060:G3062"/>
    <mergeCell ref="A3066:A3068"/>
    <mergeCell ref="B3066:B3068"/>
    <mergeCell ref="C3066:C3068"/>
    <mergeCell ref="D3066:D3068"/>
    <mergeCell ref="E3066:E3068"/>
    <mergeCell ref="F3066:F3068"/>
    <mergeCell ref="G3066:G3068"/>
    <mergeCell ref="A3093:A3095"/>
    <mergeCell ref="B3093:B3095"/>
    <mergeCell ref="C3093:C3095"/>
    <mergeCell ref="D3093:D3095"/>
    <mergeCell ref="E3093:E3095"/>
    <mergeCell ref="F3093:F3095"/>
    <mergeCell ref="G3093:G3095"/>
    <mergeCell ref="A3099:A3101"/>
    <mergeCell ref="B3099:B3101"/>
    <mergeCell ref="A3102:A3104"/>
    <mergeCell ref="A3096:A3098"/>
    <mergeCell ref="B3096:B3098"/>
    <mergeCell ref="C3096:C3098"/>
    <mergeCell ref="D3096:D3098"/>
    <mergeCell ref="E3096:E3098"/>
    <mergeCell ref="F3096:F3098"/>
    <mergeCell ref="G3096:G3098"/>
    <mergeCell ref="C3099:C3101"/>
    <mergeCell ref="D3099:D3101"/>
    <mergeCell ref="E3099:E3101"/>
    <mergeCell ref="F3099:F3101"/>
    <mergeCell ref="G3099:G3101"/>
    <mergeCell ref="B3102:B3104"/>
    <mergeCell ref="C3102:C3104"/>
    <mergeCell ref="E3105:E3107"/>
    <mergeCell ref="F3105:F3107"/>
    <mergeCell ref="G3105:G3107"/>
    <mergeCell ref="A3108:A3110"/>
    <mergeCell ref="B3108:B3110"/>
    <mergeCell ref="C3108:C3110"/>
    <mergeCell ref="D3108:D3110"/>
    <mergeCell ref="E3108:E3110"/>
    <mergeCell ref="F3108:F3110"/>
    <mergeCell ref="G3108:G3110"/>
    <mergeCell ref="E3117:E3119"/>
    <mergeCell ref="F3117:F3119"/>
    <mergeCell ref="F3111:F3113"/>
    <mergeCell ref="G3111:G3113"/>
    <mergeCell ref="D3117:D3119"/>
    <mergeCell ref="D3102:D3104"/>
    <mergeCell ref="E3102:E3104"/>
    <mergeCell ref="F3102:F3104"/>
    <mergeCell ref="G3102:G3104"/>
    <mergeCell ref="A3146:A3148"/>
    <mergeCell ref="B3146:B3148"/>
    <mergeCell ref="C3146:C3148"/>
    <mergeCell ref="D3146:D3148"/>
    <mergeCell ref="E3146:E3148"/>
    <mergeCell ref="F3146:F3148"/>
    <mergeCell ref="G3146:G3148"/>
    <mergeCell ref="A3143:A3145"/>
    <mergeCell ref="B3143:B3145"/>
    <mergeCell ref="C3143:C3145"/>
    <mergeCell ref="D3143:D3145"/>
    <mergeCell ref="E3143:E3145"/>
    <mergeCell ref="F3143:F3145"/>
    <mergeCell ref="G3143:G3145"/>
    <mergeCell ref="F3137:F3139"/>
    <mergeCell ref="G3137:G3139"/>
    <mergeCell ref="A3128:A3130"/>
    <mergeCell ref="B3128:B3130"/>
    <mergeCell ref="C3128:C3130"/>
    <mergeCell ref="D3128:D3130"/>
    <mergeCell ref="E3128:E3130"/>
    <mergeCell ref="F3128:F3130"/>
    <mergeCell ref="G3129:G3130"/>
    <mergeCell ref="A3131:A3133"/>
    <mergeCell ref="B3131:B3133"/>
    <mergeCell ref="C3131:C3133"/>
    <mergeCell ref="D3131:D3133"/>
    <mergeCell ref="E3131:E3133"/>
    <mergeCell ref="F3131:F3133"/>
    <mergeCell ref="A3137:A3139"/>
    <mergeCell ref="B3137:B3139"/>
    <mergeCell ref="C3137:C3139"/>
    <mergeCell ref="G3010:G3012"/>
    <mergeCell ref="D3010:D3012"/>
    <mergeCell ref="E3010:E3012"/>
    <mergeCell ref="A3140:A3142"/>
    <mergeCell ref="B3140:B3142"/>
    <mergeCell ref="C3140:C3142"/>
    <mergeCell ref="D3140:D3142"/>
    <mergeCell ref="E3140:E3142"/>
    <mergeCell ref="F3140:F3142"/>
    <mergeCell ref="G3140:G3142"/>
    <mergeCell ref="D3137:D3139"/>
    <mergeCell ref="E3137:E3139"/>
    <mergeCell ref="G3131:G3133"/>
    <mergeCell ref="G3134:G3136"/>
    <mergeCell ref="A3134:A3136"/>
    <mergeCell ref="B3134:B3136"/>
    <mergeCell ref="C3134:C3136"/>
    <mergeCell ref="D3134:D3136"/>
    <mergeCell ref="E3134:E3136"/>
    <mergeCell ref="F3134:F3136"/>
    <mergeCell ref="G3117:G3119"/>
    <mergeCell ref="A3114:A3116"/>
    <mergeCell ref="B3114:B3116"/>
    <mergeCell ref="C3114:C3116"/>
    <mergeCell ref="D3114:D3116"/>
    <mergeCell ref="E3114:E3116"/>
    <mergeCell ref="F3114:F3116"/>
    <mergeCell ref="G3114:G3116"/>
    <mergeCell ref="A3105:A3107"/>
    <mergeCell ref="B3105:B3107"/>
    <mergeCell ref="C3105:C3107"/>
    <mergeCell ref="D3105:D3107"/>
    <mergeCell ref="D2813:D2814"/>
    <mergeCell ref="E2813:E2814"/>
    <mergeCell ref="G2810:G2812"/>
    <mergeCell ref="A2815:A2821"/>
    <mergeCell ref="B2815:B2821"/>
    <mergeCell ref="C2815:C2821"/>
    <mergeCell ref="D2815:D2821"/>
    <mergeCell ref="E2815:E2821"/>
    <mergeCell ref="F2815:F2821"/>
    <mergeCell ref="G2816:G2818"/>
    <mergeCell ref="G2819:G2821"/>
    <mergeCell ref="B2792:B2793"/>
    <mergeCell ref="A3000:A3006"/>
    <mergeCell ref="B3000:B3006"/>
    <mergeCell ref="C3000:C3006"/>
    <mergeCell ref="D3000:D3006"/>
    <mergeCell ref="E3000:E3006"/>
    <mergeCell ref="F3000:F3006"/>
    <mergeCell ref="E2997:E2999"/>
    <mergeCell ref="F2997:F2999"/>
    <mergeCell ref="G2997:G2999"/>
    <mergeCell ref="A2991:A2993"/>
    <mergeCell ref="B2991:B2993"/>
    <mergeCell ref="C2991:C2993"/>
    <mergeCell ref="D2991:D2993"/>
    <mergeCell ref="E2991:E2993"/>
    <mergeCell ref="F2991:F2993"/>
    <mergeCell ref="G2991:G2993"/>
    <mergeCell ref="A2980:A2984"/>
    <mergeCell ref="B2980:B2984"/>
    <mergeCell ref="C2980:C2984"/>
    <mergeCell ref="D2980:D2984"/>
    <mergeCell ref="C3007:C3009"/>
    <mergeCell ref="D3007:D3009"/>
    <mergeCell ref="E3007:E3009"/>
    <mergeCell ref="F3007:F3009"/>
    <mergeCell ref="A3010:A3012"/>
    <mergeCell ref="A2994:A2996"/>
    <mergeCell ref="A1975:A1981"/>
    <mergeCell ref="B1975:B1981"/>
    <mergeCell ref="C1975:C1981"/>
    <mergeCell ref="D1975:D1981"/>
    <mergeCell ref="E1975:E1981"/>
    <mergeCell ref="F1975:F1981"/>
    <mergeCell ref="D2792:D2793"/>
    <mergeCell ref="E2792:E2793"/>
    <mergeCell ref="F2792:F2793"/>
    <mergeCell ref="G2792:G2793"/>
    <mergeCell ref="A2828:A2830"/>
    <mergeCell ref="B2828:B2830"/>
    <mergeCell ref="C2828:C2830"/>
    <mergeCell ref="D2828:D2830"/>
    <mergeCell ref="D2825:D2827"/>
    <mergeCell ref="E2825:E2827"/>
    <mergeCell ref="F2825:F2827"/>
    <mergeCell ref="G2825:G2827"/>
    <mergeCell ref="A2822:A2824"/>
    <mergeCell ref="F2828:F2830"/>
    <mergeCell ref="A2813:A2814"/>
    <mergeCell ref="B2813:B2814"/>
    <mergeCell ref="C2813:C2814"/>
    <mergeCell ref="A2825:A2827"/>
    <mergeCell ref="B2825:B2827"/>
    <mergeCell ref="C2825:C2827"/>
    <mergeCell ref="A3198:A3200"/>
    <mergeCell ref="B3198:B3200"/>
    <mergeCell ref="C3198:C3200"/>
    <mergeCell ref="D3198:D3200"/>
    <mergeCell ref="E3198:E3200"/>
    <mergeCell ref="F3198:F3200"/>
    <mergeCell ref="G3198:G3199"/>
    <mergeCell ref="C2695:C2697"/>
    <mergeCell ref="D2695:D2697"/>
    <mergeCell ref="E2695:E2697"/>
    <mergeCell ref="F2695:F2697"/>
    <mergeCell ref="G2695:G2697"/>
    <mergeCell ref="C3018:C3020"/>
    <mergeCell ref="B2994:B2996"/>
    <mergeCell ref="C2994:C2996"/>
    <mergeCell ref="D2994:D2996"/>
    <mergeCell ref="E2994:E2996"/>
    <mergeCell ref="F2994:F2996"/>
    <mergeCell ref="G2994:G2996"/>
    <mergeCell ref="G3008:G3009"/>
    <mergeCell ref="A2997:A2999"/>
    <mergeCell ref="B2997:B2999"/>
    <mergeCell ref="C2997:C2999"/>
    <mergeCell ref="D2997:D2999"/>
    <mergeCell ref="A3159:A3163"/>
    <mergeCell ref="B3159:B3163"/>
    <mergeCell ref="C3159:C3163"/>
    <mergeCell ref="D3159:D3163"/>
    <mergeCell ref="E3159:E3163"/>
    <mergeCell ref="F3159:F3163"/>
    <mergeCell ref="G3159:G3163"/>
    <mergeCell ref="A3018:A3020"/>
    <mergeCell ref="A1332:A1334"/>
    <mergeCell ref="B1332:B1334"/>
    <mergeCell ref="C1332:C1334"/>
    <mergeCell ref="D1332:D1334"/>
    <mergeCell ref="E1332:E1334"/>
    <mergeCell ref="F1332:F1334"/>
    <mergeCell ref="G1332:G1334"/>
    <mergeCell ref="A1318:A1320"/>
    <mergeCell ref="B1318:B1320"/>
    <mergeCell ref="C1318:C1320"/>
    <mergeCell ref="D1318:D1320"/>
    <mergeCell ref="E1318:E1320"/>
    <mergeCell ref="F1318:F1320"/>
    <mergeCell ref="G1318:G1320"/>
    <mergeCell ref="A3191:A3197"/>
    <mergeCell ref="B3191:B3197"/>
    <mergeCell ref="C3191:C3197"/>
    <mergeCell ref="D3191:D3197"/>
    <mergeCell ref="E3191:E3197"/>
    <mergeCell ref="F3191:F3197"/>
    <mergeCell ref="G3191:G3194"/>
    <mergeCell ref="G3195:G3197"/>
    <mergeCell ref="A1930:A1931"/>
    <mergeCell ref="B1930:B1931"/>
    <mergeCell ref="B3018:B3020"/>
    <mergeCell ref="A2698:A2699"/>
    <mergeCell ref="B2698:B2699"/>
    <mergeCell ref="C2698:C2699"/>
    <mergeCell ref="D2698:D2699"/>
    <mergeCell ref="E2698:E2699"/>
    <mergeCell ref="F2698:F2699"/>
    <mergeCell ref="G2698:G2699"/>
    <mergeCell ref="A1383:A1385"/>
    <mergeCell ref="B1383:B1385"/>
    <mergeCell ref="C1383:C1385"/>
    <mergeCell ref="D1383:D1385"/>
    <mergeCell ref="E1383:E1385"/>
    <mergeCell ref="F1383:F1385"/>
    <mergeCell ref="G1383:G1385"/>
    <mergeCell ref="G1387:G1388"/>
    <mergeCell ref="G1389:G1390"/>
    <mergeCell ref="A1400:A1402"/>
    <mergeCell ref="B1400:B1402"/>
    <mergeCell ref="C1400:C1402"/>
    <mergeCell ref="D1400:D1402"/>
    <mergeCell ref="E1400:E1402"/>
    <mergeCell ref="F1400:F1402"/>
    <mergeCell ref="G1400:G1402"/>
    <mergeCell ref="A1289:A1295"/>
    <mergeCell ref="B1289:B1295"/>
    <mergeCell ref="C1289:C1295"/>
    <mergeCell ref="D1289:D1295"/>
    <mergeCell ref="E1289:E1295"/>
    <mergeCell ref="F1289:F1295"/>
    <mergeCell ref="G1290:G1292"/>
    <mergeCell ref="G1293:G1295"/>
    <mergeCell ref="A1335:A1339"/>
    <mergeCell ref="B1335:B1339"/>
    <mergeCell ref="C1335:C1339"/>
    <mergeCell ref="D1335:D1339"/>
    <mergeCell ref="E1335:E1339"/>
    <mergeCell ref="F1335:F1339"/>
    <mergeCell ref="G1336:G1337"/>
    <mergeCell ref="G1338:G1339"/>
    <mergeCell ref="G1476:G1478"/>
    <mergeCell ref="A1474:A1475"/>
    <mergeCell ref="F1479:F1482"/>
    <mergeCell ref="G1479:G1482"/>
    <mergeCell ref="A1386:A1393"/>
    <mergeCell ref="B1386:B1393"/>
    <mergeCell ref="C1386:C1393"/>
    <mergeCell ref="D1386:D1393"/>
    <mergeCell ref="E1386:E1393"/>
    <mergeCell ref="F1386:F1393"/>
    <mergeCell ref="G1391:G1393"/>
    <mergeCell ref="A1403:A1412"/>
    <mergeCell ref="B1403:B1412"/>
    <mergeCell ref="C1403:C1412"/>
    <mergeCell ref="D1403:D1412"/>
    <mergeCell ref="E1403:E1412"/>
    <mergeCell ref="F1403:F1412"/>
    <mergeCell ref="G1410:G1412"/>
    <mergeCell ref="A1444:A1450"/>
    <mergeCell ref="B1444:B1450"/>
    <mergeCell ref="C1444:C1450"/>
    <mergeCell ref="D1444:D1450"/>
    <mergeCell ref="E1444:E1450"/>
    <mergeCell ref="F1444:F1450"/>
    <mergeCell ref="B1476:B1478"/>
    <mergeCell ref="C1476:C1478"/>
    <mergeCell ref="D1476:D1478"/>
    <mergeCell ref="E1476:E1478"/>
    <mergeCell ref="F1476:F1478"/>
    <mergeCell ref="D1474:D1475"/>
    <mergeCell ref="A1468:A1469"/>
    <mergeCell ref="B1468:B1469"/>
    <mergeCell ref="A1421:A1424"/>
    <mergeCell ref="B1421:B1424"/>
    <mergeCell ref="C1421:C1424"/>
    <mergeCell ref="D1421:D1424"/>
    <mergeCell ref="E1421:E1424"/>
    <mergeCell ref="F1421:F1424"/>
    <mergeCell ref="G1421:G1424"/>
    <mergeCell ref="A1427:A1430"/>
    <mergeCell ref="B1427:B1430"/>
    <mergeCell ref="C1427:C1430"/>
    <mergeCell ref="D1427:D1430"/>
    <mergeCell ref="E1427:E1430"/>
    <mergeCell ref="F1427:F1430"/>
    <mergeCell ref="G1427:G1430"/>
    <mergeCell ref="A1431:A1440"/>
    <mergeCell ref="B1431:B1440"/>
    <mergeCell ref="C1431:C1440"/>
    <mergeCell ref="D1431:D1440"/>
    <mergeCell ref="E1431:E1440"/>
    <mergeCell ref="F1431:F1440"/>
    <mergeCell ref="G1432:G1434"/>
    <mergeCell ref="G1435:G1437"/>
    <mergeCell ref="G1438:G1440"/>
    <mergeCell ref="A1508:A1514"/>
    <mergeCell ref="B1508:B1514"/>
    <mergeCell ref="C1508:C1514"/>
    <mergeCell ref="D1508:D1514"/>
    <mergeCell ref="E1508:E1514"/>
    <mergeCell ref="F1508:F1514"/>
    <mergeCell ref="G1508:G1510"/>
    <mergeCell ref="G1511:G1512"/>
    <mergeCell ref="G1513:G1514"/>
    <mergeCell ref="E1483:E1484"/>
    <mergeCell ref="F1483:F1484"/>
    <mergeCell ref="G1483:G1484"/>
    <mergeCell ref="A1485:A1487"/>
    <mergeCell ref="B1485:B1487"/>
    <mergeCell ref="C1485:C1487"/>
    <mergeCell ref="D1485:D1487"/>
    <mergeCell ref="E1485:E1487"/>
    <mergeCell ref="F1485:F1487"/>
    <mergeCell ref="G1485:G1487"/>
    <mergeCell ref="A1483:A1484"/>
    <mergeCell ref="D1488:D1489"/>
    <mergeCell ref="E1488:E1489"/>
    <mergeCell ref="F1488:F1489"/>
    <mergeCell ref="F1490:F1496"/>
    <mergeCell ref="G1495:G1496"/>
    <mergeCell ref="A1500:A1502"/>
    <mergeCell ref="B1500:B1502"/>
    <mergeCell ref="C1500:C1502"/>
    <mergeCell ref="B1483:B1484"/>
    <mergeCell ref="C1483:C1484"/>
    <mergeCell ref="D1483:D1484"/>
    <mergeCell ref="D1500:D1502"/>
    <mergeCell ref="F2579:F2580"/>
    <mergeCell ref="G2579:G2580"/>
    <mergeCell ref="G2573:G2575"/>
    <mergeCell ref="D2585:D2587"/>
    <mergeCell ref="E2585:E2587"/>
    <mergeCell ref="F2585:F2587"/>
    <mergeCell ref="G2588:G2590"/>
    <mergeCell ref="A2588:A2590"/>
    <mergeCell ref="B2588:B2590"/>
    <mergeCell ref="F2708:F2710"/>
    <mergeCell ref="G2708:G2710"/>
    <mergeCell ref="C2568:C2570"/>
    <mergeCell ref="A2128:A2130"/>
    <mergeCell ref="B2128:B2130"/>
    <mergeCell ref="C2128:C2130"/>
    <mergeCell ref="D2128:D2130"/>
    <mergeCell ref="G2585:G2587"/>
    <mergeCell ref="A2644:A2652"/>
    <mergeCell ref="B2644:B2652"/>
    <mergeCell ref="C2644:C2652"/>
    <mergeCell ref="D2644:D2652"/>
    <mergeCell ref="E2644:E2652"/>
    <mergeCell ref="F2644:F2652"/>
    <mergeCell ref="G2645:G2646"/>
    <mergeCell ref="G2647:G2648"/>
    <mergeCell ref="A2695:A2697"/>
    <mergeCell ref="B2695:B2697"/>
    <mergeCell ref="G2649:G2650"/>
    <mergeCell ref="A2638:A2640"/>
    <mergeCell ref="B2638:B2640"/>
    <mergeCell ref="C2638:C2640"/>
    <mergeCell ref="A2701:A2704"/>
    <mergeCell ref="E2752:E2758"/>
    <mergeCell ref="F2752:F2758"/>
    <mergeCell ref="G2753:G2755"/>
    <mergeCell ref="G2756:G2758"/>
    <mergeCell ref="D2701:D2704"/>
    <mergeCell ref="E2701:E2704"/>
    <mergeCell ref="F2701:F2704"/>
    <mergeCell ref="G2701:G2704"/>
    <mergeCell ref="A2714:A2718"/>
    <mergeCell ref="B2714:B2718"/>
    <mergeCell ref="C2714:C2718"/>
    <mergeCell ref="D2714:D2718"/>
    <mergeCell ref="E2714:E2718"/>
    <mergeCell ref="F2714:F2718"/>
    <mergeCell ref="G2715:G2716"/>
    <mergeCell ref="G2717:G2718"/>
    <mergeCell ref="G2719:G2721"/>
    <mergeCell ref="G2729:G2731"/>
    <mergeCell ref="G2726:G2728"/>
    <mergeCell ref="B2701:B2704"/>
    <mergeCell ref="A2722:A2734"/>
    <mergeCell ref="B2722:B2734"/>
    <mergeCell ref="C2722:C2734"/>
    <mergeCell ref="D2722:D2734"/>
    <mergeCell ref="E2722:E2734"/>
    <mergeCell ref="F2722:F2734"/>
    <mergeCell ref="B2748:B2751"/>
    <mergeCell ref="C2748:C2751"/>
    <mergeCell ref="D2748:D2751"/>
    <mergeCell ref="E2748:E2751"/>
    <mergeCell ref="F2748:F2751"/>
    <mergeCell ref="F2099:F2111"/>
    <mergeCell ref="G2100:G2102"/>
    <mergeCell ref="G2103:G2105"/>
    <mergeCell ref="G2106:G2108"/>
    <mergeCell ref="G2109:G2111"/>
    <mergeCell ref="A2221:A2227"/>
    <mergeCell ref="B2221:B2227"/>
    <mergeCell ref="C2221:C2227"/>
    <mergeCell ref="D2221:D2227"/>
    <mergeCell ref="E2221:E2227"/>
    <mergeCell ref="F2221:F2227"/>
    <mergeCell ref="G2222:G2224"/>
    <mergeCell ref="G2225:G2227"/>
    <mergeCell ref="A2464:A2471"/>
    <mergeCell ref="B2464:B2471"/>
    <mergeCell ref="C2464:C2471"/>
    <mergeCell ref="D2464:D2471"/>
    <mergeCell ref="E2464:E2471"/>
    <mergeCell ref="F2464:F2471"/>
    <mergeCell ref="G2466:G2468"/>
    <mergeCell ref="F2128:F2130"/>
    <mergeCell ref="G2128:G2130"/>
    <mergeCell ref="A2131:A2132"/>
    <mergeCell ref="B2131:B2132"/>
    <mergeCell ref="C2131:C2132"/>
    <mergeCell ref="G2112:G2113"/>
    <mergeCell ref="A2099:A2111"/>
    <mergeCell ref="B2099:B2111"/>
    <mergeCell ref="C2099:C2111"/>
    <mergeCell ref="E2112:E2113"/>
    <mergeCell ref="F2112:F2113"/>
    <mergeCell ref="A2114:A2123"/>
    <mergeCell ref="B3252:K3252"/>
    <mergeCell ref="B3253:K3253"/>
    <mergeCell ref="B3254:K3254"/>
    <mergeCell ref="B3255:K3255"/>
    <mergeCell ref="D2782:D2788"/>
    <mergeCell ref="E2782:E2788"/>
    <mergeCell ref="F2782:F2787"/>
    <mergeCell ref="G2783:G2784"/>
    <mergeCell ref="G2785:G2786"/>
    <mergeCell ref="G2787:G2788"/>
    <mergeCell ref="G2723:G2725"/>
    <mergeCell ref="A2794:A2812"/>
    <mergeCell ref="B2794:B2812"/>
    <mergeCell ref="C2794:C2812"/>
    <mergeCell ref="D2794:D2812"/>
    <mergeCell ref="E2794:E2812"/>
    <mergeCell ref="F2794:F2812"/>
    <mergeCell ref="G2795:G2797"/>
    <mergeCell ref="G2798:G2800"/>
    <mergeCell ref="G2801:G2803"/>
    <mergeCell ref="G2804:G2806"/>
    <mergeCell ref="G2807:G2809"/>
    <mergeCell ref="E2779:E2781"/>
    <mergeCell ref="A2792:A2793"/>
    <mergeCell ref="C2792:C2793"/>
    <mergeCell ref="G2732:G2734"/>
    <mergeCell ref="A2748:A2751"/>
    <mergeCell ref="G2748:G2751"/>
    <mergeCell ref="A2752:A2758"/>
    <mergeCell ref="B2752:B2758"/>
    <mergeCell ref="C2752:C2758"/>
    <mergeCell ref="D2752:D2758"/>
  </mergeCells>
  <printOptions horizontalCentered="1"/>
  <pageMargins left="0.19685039370078741" right="0.19685039370078741" top="0.78740157480314965" bottom="0.39370078740157483" header="0.31496062992125984" footer="0.31496062992125984"/>
  <pageSetup paperSize="9" scale="60" fitToHeight="90" orientation="landscape"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4</vt:i4>
      </vt:variant>
    </vt:vector>
  </HeadingPairs>
  <TitlesOfParts>
    <vt:vector size="6" baseType="lpstr">
      <vt:lpstr>форма 1</vt:lpstr>
      <vt:lpstr>Форма 2</vt:lpstr>
      <vt:lpstr>'форма 1'!Заголовки_для_печати</vt:lpstr>
      <vt:lpstr>'Форма 2'!Заголовки_для_печати</vt:lpstr>
      <vt:lpstr>'форма 1'!Область_печати</vt:lpstr>
      <vt:lpstr>'Форма 2'!Область_печати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dc:creator>
  <cp:lastModifiedBy>Михаил Румянцев</cp:lastModifiedBy>
  <cp:lastPrinted>2018-06-08T07:49:08Z</cp:lastPrinted>
  <dcterms:created xsi:type="dcterms:W3CDTF">2014-04-25T08:41:06Z</dcterms:created>
  <dcterms:modified xsi:type="dcterms:W3CDTF">2018-06-08T07:49:25Z</dcterms:modified>
</cp:coreProperties>
</file>